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2.xml" ContentType="application/vnd.openxmlformats-officedocument.drawing+xml"/>
  <Override PartName="/xl/comments12.xml" ContentType="application/vnd.openxmlformats-officedocument.spreadsheetml.comments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3.xml" ContentType="application/vnd.openxmlformats-officedocument.drawing+xml"/>
  <Override PartName="/xl/comments13.xml" ContentType="application/vnd.openxmlformats-officedocument.spreadsheetml.comments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4.xml" ContentType="application/vnd.openxmlformats-officedocument.drawing+xml"/>
  <Override PartName="/xl/comments14.xml" ContentType="application/vnd.openxmlformats-officedocument.spreadsheetml.comments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omments15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6.xml" ContentType="application/vnd.openxmlformats-officedocument.drawing+xml"/>
  <Override PartName="/xl/comments16.xml" ContentType="application/vnd.openxmlformats-officedocument.spreadsheetml.comments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7.xml" ContentType="application/vnd.openxmlformats-officedocument.drawing+xml"/>
  <Override PartName="/xl/comments17.xml" ContentType="application/vnd.openxmlformats-officedocument.spreadsheetml.comments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8.xml" ContentType="application/vnd.openxmlformats-officedocument.drawing+xml"/>
  <Override PartName="/xl/comments18.xml" ContentType="application/vnd.openxmlformats-officedocument.spreadsheetml.comments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9.xml" ContentType="application/vnd.openxmlformats-officedocument.drawing+xml"/>
  <Override PartName="/xl/comments19.xml" ContentType="application/vnd.openxmlformats-officedocument.spreadsheetml.comments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20.xml" ContentType="application/vnd.openxmlformats-officedocument.drawing+xml"/>
  <Override PartName="/xl/comments20.xml" ContentType="application/vnd.openxmlformats-officedocument.spreadsheetml.comments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omments21.xml" ContentType="application/vnd.openxmlformats-officedocument.spreadsheetml.comments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22.xml" ContentType="application/vnd.openxmlformats-officedocument.drawing+xml"/>
  <Override PartName="/xl/comments22.xml" ContentType="application/vnd.openxmlformats-officedocument.spreadsheetml.comments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3.xml" ContentType="application/vnd.openxmlformats-officedocument.drawing+xml"/>
  <Override PartName="/xl/comments23.xml" ContentType="application/vnd.openxmlformats-officedocument.spreadsheetml.comments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24.xml" ContentType="application/vnd.openxmlformats-officedocument.drawing+xml"/>
  <Override PartName="/xl/comments24.xml" ContentType="application/vnd.openxmlformats-officedocument.spreadsheetml.comments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5.xml" ContentType="application/vnd.openxmlformats-officedocument.drawing+xml"/>
  <Override PartName="/xl/comments25.xml" ContentType="application/vnd.openxmlformats-officedocument.spreadsheetml.comments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26.xml" ContentType="application/vnd.openxmlformats-officedocument.drawing+xml"/>
  <Override PartName="/xl/comments26.xml" ContentType="application/vnd.openxmlformats-officedocument.spreadsheetml.comments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drawings/drawing27.xml" ContentType="application/vnd.openxmlformats-officedocument.drawing+xml"/>
  <Override PartName="/xl/comments27.xml" ContentType="application/vnd.openxmlformats-officedocument.spreadsheetml.comments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8.xml" ContentType="application/vnd.openxmlformats-officedocument.drawing+xml"/>
  <Override PartName="/xl/comments28.xml" ContentType="application/vnd.openxmlformats-officedocument.spreadsheetml.comments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29.xml" ContentType="application/vnd.openxmlformats-officedocument.drawing+xml"/>
  <Override PartName="/xl/comments29.xml" ContentType="application/vnd.openxmlformats-officedocument.spreadsheetml.comments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30.xml" ContentType="application/vnd.openxmlformats-officedocument.drawing+xml"/>
  <Override PartName="/xl/comments30.xml" ContentType="application/vnd.openxmlformats-officedocument.spreadsheetml.comments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drawings/drawing31.xml" ContentType="application/vnd.openxmlformats-officedocument.drawing+xml"/>
  <Override PartName="/xl/comments31.xml" ContentType="application/vnd.openxmlformats-officedocument.spreadsheetml.comments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drawings/drawing32.xml" ContentType="application/vnd.openxmlformats-officedocument.drawing+xml"/>
  <Override PartName="/xl/comments32.xml" ContentType="application/vnd.openxmlformats-officedocument.spreadsheetml.comments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33.xml" ContentType="application/vnd.openxmlformats-officedocument.drawing+xml"/>
  <Override PartName="/xl/comments33.xml" ContentType="application/vnd.openxmlformats-officedocument.spreadsheetml.comments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79\"/>
    </mc:Choice>
  </mc:AlternateContent>
  <xr:revisionPtr revIDLastSave="0" documentId="13_ncr:1_{FAA979ED-6C86-4AA2-9ECC-326EDBFDAE08}" xr6:coauthVersionLast="47" xr6:coauthVersionMax="47" xr10:uidLastSave="{00000000-0000-0000-0000-000000000000}"/>
  <bookViews>
    <workbookView xWindow="-120" yWindow="-120" windowWidth="29040" windowHeight="15720" firstSheet="18" activeTab="18" xr2:uid="{00000000-000D-0000-FFFF-FFFF00000000}"/>
  </bookViews>
  <sheets>
    <sheet name="1" sheetId="4" r:id="rId1"/>
    <sheet name="2" sheetId="7" r:id="rId2"/>
    <sheet name="3" sheetId="8" r:id="rId3"/>
    <sheet name="4" sheetId="9" r:id="rId4"/>
    <sheet name="5" sheetId="10" r:id="rId5"/>
    <sheet name="6" sheetId="11" r:id="rId6"/>
    <sheet name="7" sheetId="12" r:id="rId7"/>
    <sheet name="8" sheetId="13" r:id="rId8"/>
    <sheet name="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34" r:id="rId29"/>
    <sheet name="30" sheetId="35" r:id="rId30"/>
    <sheet name="31" sheetId="36" r:id="rId31"/>
    <sheet name="kartik1" sheetId="37" r:id="rId32"/>
    <sheet name="Sample" sheetId="6" r:id="rId33"/>
    <sheet name="Sheet1" sheetId="1" r:id="rId34"/>
    <sheet name="Sheet2" sheetId="2" r:id="rId35"/>
    <sheet name="Sheet3" sheetId="3" r:id="rId36"/>
  </sheets>
  <externalReferences>
    <externalReference r:id="rId37"/>
    <externalReference r:id="rId38"/>
  </externalReferences>
  <definedNames>
    <definedName name="IPP" localSheetId="0">#REF!</definedName>
    <definedName name="IPP" localSheetId="9">#REF!</definedName>
    <definedName name="IPP" localSheetId="10">#REF!</definedName>
    <definedName name="IPP" localSheetId="11">#REF!</definedName>
    <definedName name="IPP" localSheetId="12">#REF!</definedName>
    <definedName name="IPP" localSheetId="13">#REF!</definedName>
    <definedName name="IPP" localSheetId="14">#REF!</definedName>
    <definedName name="IPP" localSheetId="15">#REF!</definedName>
    <definedName name="IPP" localSheetId="16">#REF!</definedName>
    <definedName name="IPP" localSheetId="17">#REF!</definedName>
    <definedName name="IPP" localSheetId="18">#REF!</definedName>
    <definedName name="IPP" localSheetId="1">#REF!</definedName>
    <definedName name="IPP" localSheetId="19">#REF!</definedName>
    <definedName name="IPP" localSheetId="20">#REF!</definedName>
    <definedName name="IPP" localSheetId="21">#REF!</definedName>
    <definedName name="IPP" localSheetId="22">#REF!</definedName>
    <definedName name="IPP" localSheetId="23">#REF!</definedName>
    <definedName name="IPP" localSheetId="24">#REF!</definedName>
    <definedName name="IPP" localSheetId="25">#REF!</definedName>
    <definedName name="IPP" localSheetId="26">#REF!</definedName>
    <definedName name="IPP" localSheetId="27">#REF!</definedName>
    <definedName name="IPP" localSheetId="28">#REF!</definedName>
    <definedName name="IPP" localSheetId="2">#REF!</definedName>
    <definedName name="IPP" localSheetId="29">#REF!</definedName>
    <definedName name="IPP" localSheetId="30">#REF!</definedName>
    <definedName name="IPP" localSheetId="3">#REF!</definedName>
    <definedName name="IPP" localSheetId="4">#REF!</definedName>
    <definedName name="IPP" localSheetId="5">#REF!</definedName>
    <definedName name="IPP" localSheetId="6">#REF!</definedName>
    <definedName name="IPP" localSheetId="7">#REF!</definedName>
    <definedName name="IPP" localSheetId="8">#REF!</definedName>
    <definedName name="IPP" localSheetId="31">#REF!</definedName>
    <definedName name="IPP" localSheetId="32">#REF!</definedName>
    <definedName name="IPP">#REF!</definedName>
    <definedName name="ippp" localSheetId="0">#REF!</definedName>
    <definedName name="ippp" localSheetId="9">#REF!</definedName>
    <definedName name="ippp" localSheetId="10">#REF!</definedName>
    <definedName name="ippp" localSheetId="11">#REF!</definedName>
    <definedName name="ippp" localSheetId="12">#REF!</definedName>
    <definedName name="ippp" localSheetId="13">#REF!</definedName>
    <definedName name="ippp" localSheetId="14">#REF!</definedName>
    <definedName name="ippp" localSheetId="15">#REF!</definedName>
    <definedName name="ippp" localSheetId="16">#REF!</definedName>
    <definedName name="ippp" localSheetId="17">#REF!</definedName>
    <definedName name="ippp" localSheetId="18">#REF!</definedName>
    <definedName name="ippp" localSheetId="1">#REF!</definedName>
    <definedName name="ippp" localSheetId="19">#REF!</definedName>
    <definedName name="ippp" localSheetId="20">#REF!</definedName>
    <definedName name="ippp" localSheetId="21">#REF!</definedName>
    <definedName name="ippp" localSheetId="22">#REF!</definedName>
    <definedName name="ippp" localSheetId="23">#REF!</definedName>
    <definedName name="ippp" localSheetId="24">#REF!</definedName>
    <definedName name="ippp" localSheetId="25">#REF!</definedName>
    <definedName name="ippp" localSheetId="26">#REF!</definedName>
    <definedName name="ippp" localSheetId="27">#REF!</definedName>
    <definedName name="ippp" localSheetId="28">#REF!</definedName>
    <definedName name="ippp" localSheetId="2">#REF!</definedName>
    <definedName name="ippp" localSheetId="29">#REF!</definedName>
    <definedName name="ippp" localSheetId="30">#REF!</definedName>
    <definedName name="ippp" localSheetId="3">#REF!</definedName>
    <definedName name="ippp" localSheetId="4">#REF!</definedName>
    <definedName name="ippp" localSheetId="5">#REF!</definedName>
    <definedName name="ippp" localSheetId="6">#REF!</definedName>
    <definedName name="ippp" localSheetId="7">#REF!</definedName>
    <definedName name="ippp" localSheetId="8">#REF!</definedName>
    <definedName name="ippp" localSheetId="31">#REF!</definedName>
    <definedName name="ippp" localSheetId="32">#REF!</definedName>
    <definedName name="ippp">#REF!</definedName>
    <definedName name="sdasdf" localSheetId="0">#REF!</definedName>
    <definedName name="sdasdf" localSheetId="9">#REF!</definedName>
    <definedName name="sdasdf" localSheetId="10">#REF!</definedName>
    <definedName name="sdasdf" localSheetId="11">#REF!</definedName>
    <definedName name="sdasdf" localSheetId="12">#REF!</definedName>
    <definedName name="sdasdf" localSheetId="13">#REF!</definedName>
    <definedName name="sdasdf" localSheetId="14">#REF!</definedName>
    <definedName name="sdasdf" localSheetId="15">#REF!</definedName>
    <definedName name="sdasdf" localSheetId="16">#REF!</definedName>
    <definedName name="sdasdf" localSheetId="17">#REF!</definedName>
    <definedName name="sdasdf" localSheetId="18">#REF!</definedName>
    <definedName name="sdasdf" localSheetId="1">#REF!</definedName>
    <definedName name="sdasdf" localSheetId="19">#REF!</definedName>
    <definedName name="sdasdf" localSheetId="20">#REF!</definedName>
    <definedName name="sdasdf" localSheetId="21">#REF!</definedName>
    <definedName name="sdasdf" localSheetId="22">#REF!</definedName>
    <definedName name="sdasdf" localSheetId="23">#REF!</definedName>
    <definedName name="sdasdf" localSheetId="24">#REF!</definedName>
    <definedName name="sdasdf" localSheetId="25">#REF!</definedName>
    <definedName name="sdasdf" localSheetId="26">#REF!</definedName>
    <definedName name="sdasdf" localSheetId="27">#REF!</definedName>
    <definedName name="sdasdf" localSheetId="28">#REF!</definedName>
    <definedName name="sdasdf" localSheetId="2">#REF!</definedName>
    <definedName name="sdasdf" localSheetId="29">#REF!</definedName>
    <definedName name="sdasdf" localSheetId="30">#REF!</definedName>
    <definedName name="sdasdf" localSheetId="3">#REF!</definedName>
    <definedName name="sdasdf" localSheetId="4">#REF!</definedName>
    <definedName name="sdasdf" localSheetId="5">#REF!</definedName>
    <definedName name="sdasdf" localSheetId="6">#REF!</definedName>
    <definedName name="sdasdf" localSheetId="7">#REF!</definedName>
    <definedName name="sdasdf" localSheetId="8">#REF!</definedName>
    <definedName name="sdasdf" localSheetId="31">#REF!</definedName>
    <definedName name="sdasdf" localSheetId="32">#REF!</definedName>
    <definedName name="sdasd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37" l="1"/>
  <c r="K39" i="37"/>
  <c r="J39" i="37"/>
  <c r="I39" i="37"/>
  <c r="H39" i="37"/>
  <c r="G39" i="37"/>
  <c r="E39" i="37"/>
  <c r="AI39" i="37" s="1"/>
  <c r="AF263" i="37"/>
  <c r="AE263" i="37"/>
  <c r="AD263" i="37"/>
  <c r="AC263" i="37"/>
  <c r="AB263" i="37"/>
  <c r="AA263" i="37"/>
  <c r="Z263" i="37"/>
  <c r="Y263" i="37"/>
  <c r="X263" i="37"/>
  <c r="W263" i="37"/>
  <c r="V263" i="37"/>
  <c r="U263" i="37"/>
  <c r="T263" i="37"/>
  <c r="S263" i="37"/>
  <c r="R263" i="37"/>
  <c r="Q263" i="37"/>
  <c r="P263" i="37"/>
  <c r="O263" i="37"/>
  <c r="N263" i="37"/>
  <c r="M263" i="37"/>
  <c r="L263" i="37"/>
  <c r="K263" i="37"/>
  <c r="J263" i="37"/>
  <c r="I263" i="37"/>
  <c r="H263" i="37"/>
  <c r="G263" i="37"/>
  <c r="F263" i="37"/>
  <c r="E263" i="37"/>
  <c r="D263" i="37"/>
  <c r="C263" i="37"/>
  <c r="B263" i="37"/>
  <c r="A263" i="37"/>
  <c r="AF262" i="37"/>
  <c r="AE262" i="37"/>
  <c r="AD262" i="37"/>
  <c r="AC262" i="37"/>
  <c r="AB262" i="37"/>
  <c r="AA262" i="37"/>
  <c r="Z262" i="37"/>
  <c r="Y262" i="37"/>
  <c r="X262" i="37"/>
  <c r="W262" i="37"/>
  <c r="V262" i="37"/>
  <c r="U262" i="37"/>
  <c r="T262" i="37"/>
  <c r="S262" i="37"/>
  <c r="R262" i="37"/>
  <c r="Q262" i="37"/>
  <c r="P262" i="37"/>
  <c r="O262" i="37"/>
  <c r="N262" i="37"/>
  <c r="M262" i="37"/>
  <c r="L262" i="37"/>
  <c r="K262" i="37"/>
  <c r="J262" i="37"/>
  <c r="I262" i="37"/>
  <c r="H262" i="37"/>
  <c r="G262" i="37"/>
  <c r="F262" i="37"/>
  <c r="E262" i="37"/>
  <c r="D262" i="37"/>
  <c r="C262" i="37"/>
  <c r="B262" i="37"/>
  <c r="A262" i="37"/>
  <c r="AF261" i="37"/>
  <c r="AE261" i="37"/>
  <c r="AD261" i="37"/>
  <c r="AC261" i="37"/>
  <c r="AB261" i="37"/>
  <c r="AA261" i="37"/>
  <c r="Z261" i="37"/>
  <c r="Y261" i="37"/>
  <c r="X261" i="37"/>
  <c r="W261" i="37"/>
  <c r="V261" i="37"/>
  <c r="U261" i="37"/>
  <c r="T261" i="37"/>
  <c r="S261" i="37"/>
  <c r="R261" i="37"/>
  <c r="Q261" i="37"/>
  <c r="P261" i="37"/>
  <c r="O261" i="37"/>
  <c r="N261" i="37"/>
  <c r="M261" i="37"/>
  <c r="L261" i="37"/>
  <c r="K261" i="37"/>
  <c r="J261" i="37"/>
  <c r="I261" i="37"/>
  <c r="H261" i="37"/>
  <c r="G261" i="37"/>
  <c r="F261" i="37"/>
  <c r="E261" i="37"/>
  <c r="D261" i="37"/>
  <c r="C261" i="37"/>
  <c r="B261" i="37"/>
  <c r="A261" i="37"/>
  <c r="AF260" i="37"/>
  <c r="AE260" i="37"/>
  <c r="AD260" i="37"/>
  <c r="AC260" i="37"/>
  <c r="AB260" i="37"/>
  <c r="AA260" i="37"/>
  <c r="Z260" i="37"/>
  <c r="Y260" i="37"/>
  <c r="X260" i="37"/>
  <c r="W260" i="37"/>
  <c r="V260" i="37"/>
  <c r="U260" i="37"/>
  <c r="T260" i="37"/>
  <c r="S260" i="37"/>
  <c r="R260" i="37"/>
  <c r="Q260" i="37"/>
  <c r="P260" i="37"/>
  <c r="O260" i="37"/>
  <c r="N260" i="37"/>
  <c r="M260" i="37"/>
  <c r="L260" i="37"/>
  <c r="K260" i="37"/>
  <c r="J260" i="37"/>
  <c r="I260" i="37"/>
  <c r="H260" i="37"/>
  <c r="G260" i="37"/>
  <c r="F260" i="37"/>
  <c r="E260" i="37"/>
  <c r="D260" i="37"/>
  <c r="C260" i="37"/>
  <c r="B260" i="37"/>
  <c r="A260" i="37"/>
  <c r="AE259" i="37"/>
  <c r="AD259" i="37"/>
  <c r="AC259" i="37"/>
  <c r="AB259" i="37"/>
  <c r="AA259" i="37"/>
  <c r="Z259" i="37"/>
  <c r="Y259" i="37"/>
  <c r="X259" i="37"/>
  <c r="W259" i="37"/>
  <c r="V259" i="37"/>
  <c r="U259" i="37"/>
  <c r="T259" i="37"/>
  <c r="S259" i="37"/>
  <c r="R259" i="37"/>
  <c r="Q259" i="37"/>
  <c r="P259" i="37"/>
  <c r="B259" i="37"/>
  <c r="S234" i="37"/>
  <c r="AG224" i="37"/>
  <c r="AG57" i="37" s="1"/>
  <c r="AG58" i="37" s="1"/>
  <c r="AG3" i="37" s="1"/>
  <c r="AF224" i="37"/>
  <c r="AE224" i="37"/>
  <c r="AD224" i="37"/>
  <c r="AC224" i="37"/>
  <c r="AB224" i="37"/>
  <c r="AA224" i="37"/>
  <c r="Z224" i="37"/>
  <c r="Y224" i="37"/>
  <c r="X224" i="37"/>
  <c r="W224" i="37"/>
  <c r="V224" i="37"/>
  <c r="U224" i="37"/>
  <c r="T224" i="37"/>
  <c r="S224" i="37"/>
  <c r="R224" i="37"/>
  <c r="Q224" i="37"/>
  <c r="C224" i="37"/>
  <c r="D223" i="37"/>
  <c r="C259" i="37" s="1"/>
  <c r="B223" i="37"/>
  <c r="AF259" i="37" s="1"/>
  <c r="D222" i="37"/>
  <c r="E222" i="37" s="1"/>
  <c r="F222" i="37" s="1"/>
  <c r="G222" i="37" s="1"/>
  <c r="H222" i="37" s="1"/>
  <c r="I222" i="37" s="1"/>
  <c r="J222" i="37" s="1"/>
  <c r="K222" i="37" s="1"/>
  <c r="L222" i="37" s="1"/>
  <c r="M222" i="37" s="1"/>
  <c r="N222" i="37" s="1"/>
  <c r="O222" i="37" s="1"/>
  <c r="P222" i="37" s="1"/>
  <c r="B222" i="37"/>
  <c r="D221" i="37"/>
  <c r="E221" i="37" s="1"/>
  <c r="F221" i="37" s="1"/>
  <c r="G221" i="37" s="1"/>
  <c r="H221" i="37" s="1"/>
  <c r="I221" i="37" s="1"/>
  <c r="J221" i="37" s="1"/>
  <c r="K221" i="37" s="1"/>
  <c r="L221" i="37" s="1"/>
  <c r="M221" i="37" s="1"/>
  <c r="N221" i="37" s="1"/>
  <c r="O221" i="37" s="1"/>
  <c r="P221" i="37" s="1"/>
  <c r="B221" i="37"/>
  <c r="D220" i="37"/>
  <c r="E220" i="37" s="1"/>
  <c r="F220" i="37" s="1"/>
  <c r="G220" i="37" s="1"/>
  <c r="H220" i="37" s="1"/>
  <c r="I220" i="37" s="1"/>
  <c r="J220" i="37" s="1"/>
  <c r="K220" i="37" s="1"/>
  <c r="L220" i="37" s="1"/>
  <c r="M220" i="37" s="1"/>
  <c r="N220" i="37" s="1"/>
  <c r="O220" i="37" s="1"/>
  <c r="P220" i="37" s="1"/>
  <c r="B220" i="37"/>
  <c r="E219" i="37"/>
  <c r="F219" i="37" s="1"/>
  <c r="G219" i="37" s="1"/>
  <c r="H219" i="37" s="1"/>
  <c r="I219" i="37" s="1"/>
  <c r="J219" i="37" s="1"/>
  <c r="K219" i="37" s="1"/>
  <c r="L219" i="37" s="1"/>
  <c r="M219" i="37" s="1"/>
  <c r="N219" i="37" s="1"/>
  <c r="O219" i="37" s="1"/>
  <c r="P219" i="37" s="1"/>
  <c r="D219" i="37"/>
  <c r="B219" i="37"/>
  <c r="D218" i="37"/>
  <c r="D224" i="37" s="1"/>
  <c r="B218" i="37"/>
  <c r="B100" i="37" s="1"/>
  <c r="AG216" i="37"/>
  <c r="AF216" i="37"/>
  <c r="AE216" i="37"/>
  <c r="AD216" i="37"/>
  <c r="AC216" i="37"/>
  <c r="AB216" i="37"/>
  <c r="AA216" i="37"/>
  <c r="Z216" i="37"/>
  <c r="Y216" i="37"/>
  <c r="X216" i="37"/>
  <c r="W216" i="37"/>
  <c r="V216" i="37"/>
  <c r="U216" i="37"/>
  <c r="T216" i="37"/>
  <c r="S216" i="37"/>
  <c r="R216" i="37"/>
  <c r="Q216" i="37"/>
  <c r="P216" i="37"/>
  <c r="O216" i="37"/>
  <c r="N216" i="37"/>
  <c r="M216" i="37"/>
  <c r="L216" i="37"/>
  <c r="K216" i="37"/>
  <c r="J216" i="37"/>
  <c r="I216" i="37"/>
  <c r="H216" i="37"/>
  <c r="G216" i="37"/>
  <c r="F216" i="37"/>
  <c r="E216" i="37"/>
  <c r="D216" i="37"/>
  <c r="C216" i="37"/>
  <c r="B216" i="37"/>
  <c r="AI109" i="37"/>
  <c r="AH109" i="37"/>
  <c r="AI108" i="37"/>
  <c r="AH108" i="37"/>
  <c r="AI107" i="37"/>
  <c r="AH107" i="37"/>
  <c r="AI106" i="37"/>
  <c r="AH106" i="37"/>
  <c r="AI105" i="37"/>
  <c r="AH105" i="37"/>
  <c r="AI104" i="37"/>
  <c r="AH104" i="37"/>
  <c r="AI103" i="37"/>
  <c r="AH103" i="37"/>
  <c r="AI102" i="37"/>
  <c r="AH102" i="37"/>
  <c r="AI101" i="37"/>
  <c r="AH101" i="37"/>
  <c r="AF100" i="37"/>
  <c r="AE100" i="37"/>
  <c r="AD100" i="37"/>
  <c r="AC100" i="37"/>
  <c r="AB100" i="37"/>
  <c r="AA100" i="37"/>
  <c r="Z100" i="37"/>
  <c r="Y100" i="37"/>
  <c r="X100" i="37"/>
  <c r="W100" i="37"/>
  <c r="V100" i="37"/>
  <c r="U100" i="37"/>
  <c r="T100" i="37"/>
  <c r="S100" i="37"/>
  <c r="R100" i="37"/>
  <c r="Q100" i="37"/>
  <c r="C100" i="37"/>
  <c r="AI99" i="37"/>
  <c r="AH99" i="37"/>
  <c r="AI98" i="37"/>
  <c r="AH98" i="37"/>
  <c r="AI97" i="37"/>
  <c r="AH97" i="37"/>
  <c r="AI96" i="37"/>
  <c r="AH96" i="37"/>
  <c r="AI95" i="37"/>
  <c r="AH95" i="37"/>
  <c r="AI94" i="37"/>
  <c r="AH94" i="37"/>
  <c r="AI93" i="37"/>
  <c r="AH93" i="37"/>
  <c r="AI92" i="37"/>
  <c r="AH92" i="37"/>
  <c r="AI91" i="37"/>
  <c r="AH91" i="37"/>
  <c r="AI88" i="37"/>
  <c r="AH88" i="37"/>
  <c r="AF87" i="37"/>
  <c r="AE87" i="37"/>
  <c r="AD87" i="37"/>
  <c r="AC87" i="37"/>
  <c r="AB87" i="37"/>
  <c r="AA87" i="37"/>
  <c r="Z87" i="37"/>
  <c r="Y87" i="37"/>
  <c r="X87" i="37"/>
  <c r="W87" i="37"/>
  <c r="V87" i="37"/>
  <c r="U87" i="37"/>
  <c r="T87" i="37"/>
  <c r="S87" i="37"/>
  <c r="S89" i="37" s="1"/>
  <c r="S90" i="37" s="1"/>
  <c r="R87" i="37"/>
  <c r="Q87" i="37"/>
  <c r="P87" i="37"/>
  <c r="O87" i="37"/>
  <c r="N87" i="37"/>
  <c r="M87" i="37"/>
  <c r="L87" i="37"/>
  <c r="K87" i="37"/>
  <c r="J87" i="37"/>
  <c r="I87" i="37"/>
  <c r="H87" i="37"/>
  <c r="G87" i="37"/>
  <c r="F87" i="37"/>
  <c r="E87" i="37"/>
  <c r="D87" i="37"/>
  <c r="C87" i="37"/>
  <c r="B87" i="37"/>
  <c r="AF86" i="37"/>
  <c r="AE86" i="37"/>
  <c r="AD86" i="37"/>
  <c r="AC86" i="37"/>
  <c r="AB86" i="37"/>
  <c r="AA86" i="37"/>
  <c r="Z86" i="37"/>
  <c r="Y86" i="37"/>
  <c r="X86" i="37"/>
  <c r="W86" i="37"/>
  <c r="V86" i="37"/>
  <c r="U86" i="37"/>
  <c r="T86" i="37"/>
  <c r="S86" i="37"/>
  <c r="R86" i="37"/>
  <c r="Q86" i="37"/>
  <c r="P86" i="37"/>
  <c r="O86" i="37"/>
  <c r="N86" i="37"/>
  <c r="M86" i="37"/>
  <c r="L86" i="37"/>
  <c r="K86" i="37"/>
  <c r="J86" i="37"/>
  <c r="I86" i="37"/>
  <c r="H86" i="37"/>
  <c r="G86" i="37"/>
  <c r="F86" i="37"/>
  <c r="E86" i="37"/>
  <c r="D86" i="37"/>
  <c r="C86" i="37"/>
  <c r="B86" i="37"/>
  <c r="AF85" i="37"/>
  <c r="AE85" i="37"/>
  <c r="AD85" i="37"/>
  <c r="AC85" i="37"/>
  <c r="AB85" i="37"/>
  <c r="AA85" i="37"/>
  <c r="Z85" i="37"/>
  <c r="Y85" i="37"/>
  <c r="X85" i="37"/>
  <c r="W85" i="37"/>
  <c r="V85" i="37"/>
  <c r="U85" i="37"/>
  <c r="T85" i="37"/>
  <c r="S85" i="37"/>
  <c r="R85" i="37"/>
  <c r="Q85" i="37"/>
  <c r="P85" i="37"/>
  <c r="O85" i="37"/>
  <c r="N85" i="37"/>
  <c r="M85" i="37"/>
  <c r="L85" i="37"/>
  <c r="K85" i="37"/>
  <c r="J85" i="37"/>
  <c r="I85" i="37"/>
  <c r="H85" i="37"/>
  <c r="G85" i="37"/>
  <c r="F85" i="37"/>
  <c r="E85" i="37"/>
  <c r="D85" i="37"/>
  <c r="C85" i="37"/>
  <c r="B85" i="37"/>
  <c r="AF84" i="37"/>
  <c r="AE84" i="37"/>
  <c r="AD84" i="37"/>
  <c r="AC84" i="37"/>
  <c r="AB84" i="37"/>
  <c r="AA84" i="37"/>
  <c r="Z84" i="37"/>
  <c r="Y84" i="37"/>
  <c r="X84" i="37"/>
  <c r="W84" i="37"/>
  <c r="V84" i="37"/>
  <c r="U84" i="37"/>
  <c r="T84" i="37"/>
  <c r="S84" i="37"/>
  <c r="R84" i="37"/>
  <c r="Q84" i="37"/>
  <c r="P84" i="37"/>
  <c r="O84" i="37"/>
  <c r="N84" i="37"/>
  <c r="M84" i="37"/>
  <c r="L84" i="37"/>
  <c r="K84" i="37"/>
  <c r="J84" i="37"/>
  <c r="I84" i="37"/>
  <c r="H84" i="37"/>
  <c r="G84" i="37"/>
  <c r="F84" i="37"/>
  <c r="E84" i="37"/>
  <c r="D84" i="37"/>
  <c r="C84" i="37"/>
  <c r="B84" i="37"/>
  <c r="AF83" i="37"/>
  <c r="AE83" i="37"/>
  <c r="AE89" i="37" s="1"/>
  <c r="AE90" i="37" s="1"/>
  <c r="AD83" i="37"/>
  <c r="AC83" i="37"/>
  <c r="AB83" i="37"/>
  <c r="AA83" i="37"/>
  <c r="AA89" i="37" s="1"/>
  <c r="AA90" i="37" s="1"/>
  <c r="Z83" i="37"/>
  <c r="Y83" i="37"/>
  <c r="X83" i="37"/>
  <c r="W83" i="37"/>
  <c r="W89" i="37" s="1"/>
  <c r="W90" i="37" s="1"/>
  <c r="V83" i="37"/>
  <c r="U83" i="37"/>
  <c r="T83" i="37"/>
  <c r="S83" i="37"/>
  <c r="R83" i="37"/>
  <c r="Q83" i="37"/>
  <c r="P83" i="37"/>
  <c r="O83" i="37"/>
  <c r="O89" i="37" s="1"/>
  <c r="O90" i="37" s="1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AI80" i="37"/>
  <c r="AH80" i="37"/>
  <c r="AI78" i="37"/>
  <c r="AH78" i="37"/>
  <c r="AG78" i="37"/>
  <c r="AI77" i="37"/>
  <c r="AH77" i="37"/>
  <c r="AI76" i="37"/>
  <c r="AH76" i="37"/>
  <c r="AI75" i="37"/>
  <c r="AH75" i="37"/>
  <c r="AG74" i="37"/>
  <c r="AF74" i="37"/>
  <c r="AE5" i="37" s="1"/>
  <c r="AE74" i="37"/>
  <c r="AD5" i="37" s="1"/>
  <c r="AD74" i="37"/>
  <c r="AC74" i="37"/>
  <c r="AB74" i="37"/>
  <c r="AA74" i="37"/>
  <c r="Z74" i="37"/>
  <c r="Y74" i="37"/>
  <c r="X74" i="37"/>
  <c r="W5" i="37" s="1"/>
  <c r="W74" i="37"/>
  <c r="V5" i="37" s="1"/>
  <c r="V74" i="37"/>
  <c r="U74" i="37"/>
  <c r="T74" i="37"/>
  <c r="S74" i="37"/>
  <c r="R74" i="37"/>
  <c r="Q74" i="37"/>
  <c r="P74" i="37"/>
  <c r="O5" i="37" s="1"/>
  <c r="O74" i="37"/>
  <c r="N5" i="37" s="1"/>
  <c r="N74" i="37"/>
  <c r="M74" i="37"/>
  <c r="L74" i="37"/>
  <c r="K74" i="37"/>
  <c r="J5" i="37" s="1"/>
  <c r="J74" i="37"/>
  <c r="I74" i="37"/>
  <c r="H74" i="37"/>
  <c r="G5" i="37" s="1"/>
  <c r="G74" i="37"/>
  <c r="F5" i="37" s="1"/>
  <c r="F74" i="37"/>
  <c r="E5" i="37" s="1"/>
  <c r="E74" i="37"/>
  <c r="D5" i="37" s="1"/>
  <c r="D74" i="37"/>
  <c r="C74" i="37"/>
  <c r="B5" i="37" s="1"/>
  <c r="B74" i="37"/>
  <c r="AF5" i="37" s="1"/>
  <c r="AI73" i="37"/>
  <c r="AH73" i="37"/>
  <c r="AI72" i="37"/>
  <c r="AH72" i="37"/>
  <c r="AI71" i="37"/>
  <c r="AH71" i="37"/>
  <c r="AI70" i="37"/>
  <c r="AH70" i="37"/>
  <c r="AI69" i="37"/>
  <c r="AH69" i="37"/>
  <c r="AI68" i="37"/>
  <c r="AH68" i="37"/>
  <c r="AI67" i="37"/>
  <c r="AH67" i="37"/>
  <c r="AI66" i="37"/>
  <c r="AH66" i="37"/>
  <c r="AI65" i="37"/>
  <c r="AH65" i="37"/>
  <c r="AI64" i="37"/>
  <c r="AH64" i="37"/>
  <c r="AI63" i="37"/>
  <c r="AH63" i="37"/>
  <c r="AG62" i="37"/>
  <c r="AF62" i="37"/>
  <c r="AE62" i="37"/>
  <c r="AD62" i="37"/>
  <c r="AC62" i="37"/>
  <c r="AB62" i="37"/>
  <c r="AA62" i="37"/>
  <c r="Z62" i="37"/>
  <c r="Y62" i="37"/>
  <c r="X62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AI61" i="37"/>
  <c r="AH61" i="37"/>
  <c r="AI60" i="37"/>
  <c r="AH60" i="37"/>
  <c r="AI59" i="37"/>
  <c r="AH59" i="37"/>
  <c r="AF58" i="37"/>
  <c r="AE58" i="37"/>
  <c r="AD58" i="37"/>
  <c r="AC58" i="37"/>
  <c r="AB58" i="37"/>
  <c r="AA58" i="37"/>
  <c r="Z58" i="37"/>
  <c r="Y58" i="37"/>
  <c r="X58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AI57" i="37"/>
  <c r="AH57" i="37"/>
  <c r="AI56" i="37"/>
  <c r="AH56" i="37"/>
  <c r="AI55" i="37"/>
  <c r="AH55" i="37"/>
  <c r="AI54" i="37"/>
  <c r="AH54" i="37"/>
  <c r="AI53" i="37"/>
  <c r="AH53" i="37"/>
  <c r="AI52" i="37"/>
  <c r="AH52" i="37"/>
  <c r="AI51" i="37"/>
  <c r="AH51" i="37"/>
  <c r="AI50" i="37"/>
  <c r="AH50" i="37"/>
  <c r="AI49" i="37"/>
  <c r="AH49" i="37"/>
  <c r="AI48" i="37"/>
  <c r="AH48" i="37"/>
  <c r="AI47" i="37"/>
  <c r="AH47" i="37"/>
  <c r="AI46" i="37"/>
  <c r="AH46" i="37"/>
  <c r="AI45" i="37"/>
  <c r="AH45" i="37"/>
  <c r="AG44" i="37"/>
  <c r="AF44" i="37"/>
  <c r="AE44" i="37"/>
  <c r="AD44" i="37"/>
  <c r="AC44" i="37"/>
  <c r="AB44" i="37"/>
  <c r="AA44" i="37"/>
  <c r="Z44" i="37"/>
  <c r="Y44" i="37"/>
  <c r="X44" i="37"/>
  <c r="W44" i="37"/>
  <c r="V44" i="37"/>
  <c r="U44" i="37"/>
  <c r="T44" i="37"/>
  <c r="S44" i="37"/>
  <c r="R44" i="37"/>
  <c r="Q44" i="37"/>
  <c r="P44" i="37"/>
  <c r="O44" i="37"/>
  <c r="N44" i="37"/>
  <c r="M44" i="37"/>
  <c r="L44" i="37"/>
  <c r="K44" i="37"/>
  <c r="J44" i="37"/>
  <c r="I44" i="37"/>
  <c r="H44" i="37"/>
  <c r="G44" i="37"/>
  <c r="F44" i="37"/>
  <c r="E44" i="37"/>
  <c r="D44" i="37"/>
  <c r="C44" i="37"/>
  <c r="B44" i="37"/>
  <c r="AI43" i="37"/>
  <c r="AH43" i="37"/>
  <c r="AI42" i="37"/>
  <c r="AH42" i="37"/>
  <c r="AI41" i="37"/>
  <c r="AH41" i="37"/>
  <c r="AG40" i="37"/>
  <c r="AG79" i="37" s="1"/>
  <c r="AF40" i="37"/>
  <c r="AE40" i="37"/>
  <c r="AD40" i="37"/>
  <c r="AD79" i="37" s="1"/>
  <c r="AD81" i="37" s="1"/>
  <c r="AC40" i="37"/>
  <c r="AC79" i="37" s="1"/>
  <c r="AC81" i="37" s="1"/>
  <c r="AB40" i="37"/>
  <c r="AB79" i="37" s="1"/>
  <c r="AB81" i="37" s="1"/>
  <c r="AA40" i="37"/>
  <c r="AA79" i="37" s="1"/>
  <c r="AA81" i="37" s="1"/>
  <c r="Z40" i="37"/>
  <c r="Y40" i="37"/>
  <c r="Y79" i="37" s="1"/>
  <c r="Y81" i="37" s="1"/>
  <c r="X40" i="37"/>
  <c r="W40" i="37"/>
  <c r="V40" i="37"/>
  <c r="V79" i="37" s="1"/>
  <c r="V81" i="37" s="1"/>
  <c r="U40" i="37"/>
  <c r="U79" i="37" s="1"/>
  <c r="U81" i="37" s="1"/>
  <c r="T40" i="37"/>
  <c r="T79" i="37" s="1"/>
  <c r="T81" i="37" s="1"/>
  <c r="S40" i="37"/>
  <c r="S79" i="37" s="1"/>
  <c r="S81" i="37" s="1"/>
  <c r="R40" i="37"/>
  <c r="Q40" i="37"/>
  <c r="Q79" i="37" s="1"/>
  <c r="Q81" i="37" s="1"/>
  <c r="P40" i="37"/>
  <c r="O40" i="37"/>
  <c r="N40" i="37"/>
  <c r="N79" i="37" s="1"/>
  <c r="N81" i="37" s="1"/>
  <c r="M40" i="37"/>
  <c r="M79" i="37" s="1"/>
  <c r="M81" i="37" s="1"/>
  <c r="L40" i="37"/>
  <c r="K40" i="37"/>
  <c r="J40" i="37"/>
  <c r="I40" i="37"/>
  <c r="H40" i="37"/>
  <c r="G40" i="37"/>
  <c r="F40" i="37"/>
  <c r="E40" i="37"/>
  <c r="D40" i="37"/>
  <c r="C40" i="37"/>
  <c r="B40" i="37"/>
  <c r="AI38" i="37"/>
  <c r="AH38" i="37"/>
  <c r="AI37" i="37"/>
  <c r="AH37" i="37"/>
  <c r="AI36" i="37"/>
  <c r="AH36" i="37"/>
  <c r="AI35" i="37"/>
  <c r="AH35" i="37"/>
  <c r="AI34" i="37"/>
  <c r="AH34" i="37"/>
  <c r="AI33" i="37"/>
  <c r="AH33" i="37"/>
  <c r="AI32" i="37"/>
  <c r="AH32" i="37"/>
  <c r="AI31" i="37"/>
  <c r="AH31" i="37"/>
  <c r="AI30" i="37"/>
  <c r="AH30" i="37"/>
  <c r="AI29" i="37"/>
  <c r="AH29" i="37"/>
  <c r="AI28" i="37"/>
  <c r="AH28" i="37"/>
  <c r="AI27" i="37"/>
  <c r="AH27" i="37"/>
  <c r="AI26" i="37"/>
  <c r="AH26" i="37"/>
  <c r="AI25" i="37"/>
  <c r="AH25" i="37"/>
  <c r="AI24" i="37"/>
  <c r="AH24" i="37"/>
  <c r="AI23" i="37"/>
  <c r="AH23" i="37"/>
  <c r="AI22" i="37"/>
  <c r="AH22" i="37"/>
  <c r="AI21" i="37"/>
  <c r="AH21" i="37"/>
  <c r="AI20" i="37"/>
  <c r="AH20" i="37"/>
  <c r="AI19" i="37"/>
  <c r="AH19" i="37"/>
  <c r="AI18" i="37"/>
  <c r="AH18" i="37"/>
  <c r="AI17" i="37"/>
  <c r="AH17" i="37"/>
  <c r="AI16" i="37"/>
  <c r="AH16" i="37"/>
  <c r="AI15" i="37"/>
  <c r="AH15" i="37"/>
  <c r="AI14" i="37"/>
  <c r="AH14" i="37"/>
  <c r="AI13" i="37"/>
  <c r="AH13" i="37"/>
  <c r="AI12" i="37"/>
  <c r="AH12" i="37"/>
  <c r="AI11" i="37"/>
  <c r="AH11" i="37"/>
  <c r="AC5" i="37"/>
  <c r="AB5" i="37"/>
  <c r="Z5" i="37"/>
  <c r="X5" i="37"/>
  <c r="U5" i="37"/>
  <c r="T5" i="37"/>
  <c r="R5" i="37"/>
  <c r="P5" i="37"/>
  <c r="M5" i="37"/>
  <c r="L5" i="37"/>
  <c r="H5" i="37"/>
  <c r="AG4" i="37"/>
  <c r="K4" i="37"/>
  <c r="B4" i="37"/>
  <c r="S235" i="37" s="1"/>
  <c r="AD39" i="36"/>
  <c r="AC39" i="36"/>
  <c r="AB39" i="36"/>
  <c r="AA103" i="36"/>
  <c r="AH103" i="36" s="1"/>
  <c r="AA39" i="36"/>
  <c r="Z103" i="36"/>
  <c r="Z39" i="36"/>
  <c r="Y103" i="36"/>
  <c r="X103" i="36"/>
  <c r="X39" i="36"/>
  <c r="W103" i="36"/>
  <c r="W39" i="36"/>
  <c r="V103" i="36"/>
  <c r="V39" i="36"/>
  <c r="U103" i="36"/>
  <c r="U39" i="36"/>
  <c r="T103" i="36"/>
  <c r="T39" i="36"/>
  <c r="S103" i="36"/>
  <c r="S39" i="36"/>
  <c r="R103" i="36"/>
  <c r="R39" i="36"/>
  <c r="Q103" i="36"/>
  <c r="Q39" i="36"/>
  <c r="P103" i="36"/>
  <c r="P39" i="36"/>
  <c r="O103" i="36"/>
  <c r="O39" i="36"/>
  <c r="AI39" i="36" s="1"/>
  <c r="N39" i="36"/>
  <c r="M103" i="36"/>
  <c r="M39" i="36"/>
  <c r="M40" i="36"/>
  <c r="G39" i="36"/>
  <c r="F39" i="36"/>
  <c r="E39" i="36"/>
  <c r="AH39" i="36" s="1"/>
  <c r="AF263" i="36"/>
  <c r="AE263" i="36"/>
  <c r="AD263" i="36"/>
  <c r="AC263" i="36"/>
  <c r="AB263" i="36"/>
  <c r="AA263" i="36"/>
  <c r="Z263" i="36"/>
  <c r="Y263" i="36"/>
  <c r="X263" i="36"/>
  <c r="W263" i="36"/>
  <c r="V263" i="36"/>
  <c r="U263" i="36"/>
  <c r="T263" i="36"/>
  <c r="S263" i="36"/>
  <c r="R263" i="36"/>
  <c r="Q263" i="36"/>
  <c r="P263" i="36"/>
  <c r="O263" i="36"/>
  <c r="N263" i="36"/>
  <c r="M263" i="36"/>
  <c r="L263" i="36"/>
  <c r="K263" i="36"/>
  <c r="J263" i="36"/>
  <c r="I263" i="36"/>
  <c r="H263" i="36"/>
  <c r="G263" i="36"/>
  <c r="F263" i="36"/>
  <c r="E263" i="36"/>
  <c r="D263" i="36"/>
  <c r="C263" i="36"/>
  <c r="B263" i="36"/>
  <c r="A263" i="36"/>
  <c r="AF262" i="36"/>
  <c r="AE262" i="36"/>
  <c r="AD262" i="36"/>
  <c r="AC262" i="36"/>
  <c r="AB262" i="36"/>
  <c r="AA262" i="36"/>
  <c r="Z262" i="36"/>
  <c r="Y262" i="36"/>
  <c r="X262" i="36"/>
  <c r="W262" i="36"/>
  <c r="V262" i="36"/>
  <c r="U262" i="36"/>
  <c r="T262" i="36"/>
  <c r="S262" i="36"/>
  <c r="R262" i="36"/>
  <c r="Q262" i="36"/>
  <c r="P262" i="36"/>
  <c r="O262" i="36"/>
  <c r="N262" i="36"/>
  <c r="M262" i="36"/>
  <c r="L262" i="36"/>
  <c r="K262" i="36"/>
  <c r="J262" i="36"/>
  <c r="I262" i="36"/>
  <c r="H262" i="36"/>
  <c r="G262" i="36"/>
  <c r="F262" i="36"/>
  <c r="E262" i="36"/>
  <c r="D262" i="36"/>
  <c r="C262" i="36"/>
  <c r="B262" i="36"/>
  <c r="A262" i="36"/>
  <c r="AF261" i="36"/>
  <c r="AE261" i="36"/>
  <c r="AD261" i="36"/>
  <c r="AC261" i="36"/>
  <c r="AB261" i="36"/>
  <c r="AA261" i="36"/>
  <c r="Z261" i="36"/>
  <c r="Y261" i="36"/>
  <c r="X261" i="36"/>
  <c r="W261" i="36"/>
  <c r="V261" i="36"/>
  <c r="U261" i="36"/>
  <c r="T261" i="36"/>
  <c r="S261" i="36"/>
  <c r="R261" i="36"/>
  <c r="Q261" i="36"/>
  <c r="P261" i="36"/>
  <c r="O261" i="36"/>
  <c r="N261" i="36"/>
  <c r="M261" i="36"/>
  <c r="L261" i="36"/>
  <c r="K261" i="36"/>
  <c r="J261" i="36"/>
  <c r="I261" i="36"/>
  <c r="H261" i="36"/>
  <c r="G261" i="36"/>
  <c r="F261" i="36"/>
  <c r="E261" i="36"/>
  <c r="D261" i="36"/>
  <c r="C261" i="36"/>
  <c r="B261" i="36"/>
  <c r="A261" i="36"/>
  <c r="AF260" i="36"/>
  <c r="AE260" i="36"/>
  <c r="AD260" i="36"/>
  <c r="AC260" i="36"/>
  <c r="AB260" i="36"/>
  <c r="AA260" i="36"/>
  <c r="Z260" i="36"/>
  <c r="Y260" i="36"/>
  <c r="X260" i="36"/>
  <c r="W260" i="36"/>
  <c r="V260" i="36"/>
  <c r="U260" i="36"/>
  <c r="T260" i="36"/>
  <c r="S260" i="36"/>
  <c r="R260" i="36"/>
  <c r="Q260" i="36"/>
  <c r="P260" i="36"/>
  <c r="O260" i="36"/>
  <c r="N260" i="36"/>
  <c r="M260" i="36"/>
  <c r="L260" i="36"/>
  <c r="K260" i="36"/>
  <c r="J260" i="36"/>
  <c r="I260" i="36"/>
  <c r="H260" i="36"/>
  <c r="G260" i="36"/>
  <c r="F260" i="36"/>
  <c r="E260" i="36"/>
  <c r="D260" i="36"/>
  <c r="C260" i="36"/>
  <c r="B260" i="36"/>
  <c r="A260" i="36"/>
  <c r="AE259" i="36"/>
  <c r="AD259" i="36"/>
  <c r="AC259" i="36"/>
  <c r="AB259" i="36"/>
  <c r="AA259" i="36"/>
  <c r="Z259" i="36"/>
  <c r="Y259" i="36"/>
  <c r="X259" i="36"/>
  <c r="W259" i="36"/>
  <c r="V259" i="36"/>
  <c r="U259" i="36"/>
  <c r="T259" i="36"/>
  <c r="S259" i="36"/>
  <c r="R259" i="36"/>
  <c r="Q259" i="36"/>
  <c r="P259" i="36"/>
  <c r="B259" i="36"/>
  <c r="S234" i="36"/>
  <c r="AG224" i="36"/>
  <c r="AF224" i="36"/>
  <c r="AE224" i="36"/>
  <c r="AD224" i="36"/>
  <c r="AC224" i="36"/>
  <c r="AB224" i="36"/>
  <c r="AA224" i="36"/>
  <c r="Z224" i="36"/>
  <c r="Y224" i="36"/>
  <c r="X224" i="36"/>
  <c r="W224" i="36"/>
  <c r="V224" i="36"/>
  <c r="U224" i="36"/>
  <c r="T224" i="36"/>
  <c r="S224" i="36"/>
  <c r="R224" i="36"/>
  <c r="Q224" i="36"/>
  <c r="C224" i="36"/>
  <c r="D223" i="36"/>
  <c r="E223" i="36" s="1"/>
  <c r="B223" i="36"/>
  <c r="AF259" i="36" s="1"/>
  <c r="D222" i="36"/>
  <c r="E222" i="36" s="1"/>
  <c r="F222" i="36" s="1"/>
  <c r="G222" i="36" s="1"/>
  <c r="H222" i="36" s="1"/>
  <c r="I222" i="36" s="1"/>
  <c r="J222" i="36" s="1"/>
  <c r="K222" i="36" s="1"/>
  <c r="L222" i="36" s="1"/>
  <c r="M222" i="36" s="1"/>
  <c r="N222" i="36" s="1"/>
  <c r="O222" i="36" s="1"/>
  <c r="P222" i="36" s="1"/>
  <c r="B222" i="36"/>
  <c r="E221" i="36"/>
  <c r="F221" i="36" s="1"/>
  <c r="G221" i="36" s="1"/>
  <c r="H221" i="36" s="1"/>
  <c r="I221" i="36" s="1"/>
  <c r="J221" i="36" s="1"/>
  <c r="K221" i="36" s="1"/>
  <c r="L221" i="36" s="1"/>
  <c r="M221" i="36" s="1"/>
  <c r="N221" i="36" s="1"/>
  <c r="O221" i="36" s="1"/>
  <c r="P221" i="36" s="1"/>
  <c r="D221" i="36"/>
  <c r="B221" i="36"/>
  <c r="D220" i="36"/>
  <c r="E220" i="36" s="1"/>
  <c r="F220" i="36" s="1"/>
  <c r="G220" i="36" s="1"/>
  <c r="H220" i="36" s="1"/>
  <c r="I220" i="36" s="1"/>
  <c r="J220" i="36" s="1"/>
  <c r="K220" i="36" s="1"/>
  <c r="L220" i="36" s="1"/>
  <c r="M220" i="36" s="1"/>
  <c r="N220" i="36" s="1"/>
  <c r="O220" i="36" s="1"/>
  <c r="P220" i="36" s="1"/>
  <c r="B220" i="36"/>
  <c r="D219" i="36"/>
  <c r="E219" i="36" s="1"/>
  <c r="F219" i="36" s="1"/>
  <c r="G219" i="36" s="1"/>
  <c r="H219" i="36" s="1"/>
  <c r="I219" i="36" s="1"/>
  <c r="J219" i="36" s="1"/>
  <c r="K219" i="36" s="1"/>
  <c r="L219" i="36" s="1"/>
  <c r="M219" i="36" s="1"/>
  <c r="N219" i="36" s="1"/>
  <c r="O219" i="36" s="1"/>
  <c r="P219" i="36" s="1"/>
  <c r="B219" i="36"/>
  <c r="D218" i="36"/>
  <c r="E218" i="36" s="1"/>
  <c r="F218" i="36" s="1"/>
  <c r="B218" i="36"/>
  <c r="AG216" i="36"/>
  <c r="AF216" i="36"/>
  <c r="AE216" i="36"/>
  <c r="AD216" i="36"/>
  <c r="AC216" i="36"/>
  <c r="AB216" i="36"/>
  <c r="AA216" i="36"/>
  <c r="Z216" i="36"/>
  <c r="Y216" i="36"/>
  <c r="X216" i="36"/>
  <c r="W216" i="36"/>
  <c r="V216" i="36"/>
  <c r="U216" i="36"/>
  <c r="T216" i="36"/>
  <c r="S216" i="36"/>
  <c r="R216" i="36"/>
  <c r="Q216" i="36"/>
  <c r="P216" i="36"/>
  <c r="O216" i="36"/>
  <c r="N216" i="36"/>
  <c r="M216" i="36"/>
  <c r="L216" i="36"/>
  <c r="K216" i="36"/>
  <c r="J216" i="36"/>
  <c r="I216" i="36"/>
  <c r="H216" i="36"/>
  <c r="G216" i="36"/>
  <c r="F216" i="36"/>
  <c r="E216" i="36"/>
  <c r="D216" i="36"/>
  <c r="C216" i="36"/>
  <c r="B216" i="36"/>
  <c r="AI109" i="36"/>
  <c r="AH109" i="36"/>
  <c r="AI108" i="36"/>
  <c r="AH108" i="36"/>
  <c r="AI107" i="36"/>
  <c r="AH107" i="36"/>
  <c r="AI106" i="36"/>
  <c r="AH106" i="36"/>
  <c r="AI105" i="36"/>
  <c r="AH105" i="36"/>
  <c r="AI104" i="36"/>
  <c r="AH104" i="36"/>
  <c r="AI102" i="36"/>
  <c r="AH102" i="36"/>
  <c r="AI101" i="36"/>
  <c r="AH101" i="36"/>
  <c r="AF100" i="36"/>
  <c r="AE100" i="36"/>
  <c r="AD100" i="36"/>
  <c r="AC100" i="36"/>
  <c r="AB100" i="36"/>
  <c r="Z100" i="36"/>
  <c r="Y100" i="36"/>
  <c r="X100" i="36"/>
  <c r="W100" i="36"/>
  <c r="V100" i="36"/>
  <c r="U100" i="36"/>
  <c r="T100" i="36"/>
  <c r="S100" i="36"/>
  <c r="R100" i="36"/>
  <c r="Q100" i="36"/>
  <c r="D100" i="36"/>
  <c r="C100" i="36"/>
  <c r="B100" i="36"/>
  <c r="AI99" i="36"/>
  <c r="AH99" i="36"/>
  <c r="AI98" i="36"/>
  <c r="AH98" i="36"/>
  <c r="AI97" i="36"/>
  <c r="AH97" i="36"/>
  <c r="AI96" i="36"/>
  <c r="AH96" i="36"/>
  <c r="AI95" i="36"/>
  <c r="AH95" i="36"/>
  <c r="AI94" i="36"/>
  <c r="AH94" i="36"/>
  <c r="AI93" i="36"/>
  <c r="AH93" i="36"/>
  <c r="AI92" i="36"/>
  <c r="AH92" i="36"/>
  <c r="AI91" i="36"/>
  <c r="AH91" i="36"/>
  <c r="AI88" i="36"/>
  <c r="AH88" i="36"/>
  <c r="AF87" i="36"/>
  <c r="AE87" i="36"/>
  <c r="AD87" i="36"/>
  <c r="AC87" i="36"/>
  <c r="AB87" i="36"/>
  <c r="AA87" i="36"/>
  <c r="Z87" i="36"/>
  <c r="Y87" i="36"/>
  <c r="X87" i="36"/>
  <c r="W87" i="36"/>
  <c r="V87" i="36"/>
  <c r="U87" i="36"/>
  <c r="T87" i="36"/>
  <c r="S87" i="36"/>
  <c r="R87" i="36"/>
  <c r="Q87" i="36"/>
  <c r="P87" i="36"/>
  <c r="O87" i="36"/>
  <c r="N87" i="36"/>
  <c r="M87" i="36"/>
  <c r="L87" i="36"/>
  <c r="K87" i="36"/>
  <c r="J87" i="36"/>
  <c r="I87" i="36"/>
  <c r="H87" i="36"/>
  <c r="G87" i="36"/>
  <c r="F87" i="36"/>
  <c r="E87" i="36"/>
  <c r="D87" i="36"/>
  <c r="C87" i="36"/>
  <c r="B87" i="36"/>
  <c r="AF86" i="36"/>
  <c r="AE86" i="36"/>
  <c r="AD86" i="36"/>
  <c r="AC86" i="36"/>
  <c r="AB86" i="36"/>
  <c r="AA86" i="36"/>
  <c r="Z86" i="36"/>
  <c r="Y86" i="36"/>
  <c r="X86" i="36"/>
  <c r="W86" i="36"/>
  <c r="V86" i="36"/>
  <c r="U86" i="36"/>
  <c r="T86" i="36"/>
  <c r="S86" i="36"/>
  <c r="R86" i="36"/>
  <c r="Q86" i="36"/>
  <c r="P86" i="36"/>
  <c r="O86" i="36"/>
  <c r="N86" i="36"/>
  <c r="M86" i="36"/>
  <c r="L86" i="36"/>
  <c r="K86" i="36"/>
  <c r="J86" i="36"/>
  <c r="I86" i="36"/>
  <c r="H86" i="36"/>
  <c r="G86" i="36"/>
  <c r="F86" i="36"/>
  <c r="E86" i="36"/>
  <c r="D86" i="36"/>
  <c r="C86" i="36"/>
  <c r="B86" i="36"/>
  <c r="AF85" i="36"/>
  <c r="AE85" i="36"/>
  <c r="AD85" i="36"/>
  <c r="AC85" i="36"/>
  <c r="AB85" i="36"/>
  <c r="AA85" i="36"/>
  <c r="Z85" i="36"/>
  <c r="Y85" i="36"/>
  <c r="X85" i="36"/>
  <c r="W85" i="36"/>
  <c r="V85" i="36"/>
  <c r="U85" i="36"/>
  <c r="T85" i="36"/>
  <c r="S85" i="36"/>
  <c r="R85" i="36"/>
  <c r="Q85" i="36"/>
  <c r="P85" i="36"/>
  <c r="O85" i="36"/>
  <c r="N85" i="36"/>
  <c r="M85" i="36"/>
  <c r="L85" i="36"/>
  <c r="K85" i="36"/>
  <c r="J85" i="36"/>
  <c r="I85" i="36"/>
  <c r="H85" i="36"/>
  <c r="G85" i="36"/>
  <c r="F85" i="36"/>
  <c r="E85" i="36"/>
  <c r="D85" i="36"/>
  <c r="C85" i="36"/>
  <c r="B85" i="36"/>
  <c r="AF84" i="36"/>
  <c r="AE84" i="36"/>
  <c r="AD84" i="36"/>
  <c r="AC84" i="36"/>
  <c r="AB84" i="36"/>
  <c r="AA84" i="36"/>
  <c r="Z84" i="36"/>
  <c r="Y84" i="36"/>
  <c r="X84" i="36"/>
  <c r="W84" i="36"/>
  <c r="V84" i="36"/>
  <c r="U84" i="36"/>
  <c r="T84" i="36"/>
  <c r="S84" i="36"/>
  <c r="R84" i="36"/>
  <c r="Q84" i="36"/>
  <c r="P84" i="36"/>
  <c r="O84" i="36"/>
  <c r="N84" i="36"/>
  <c r="M84" i="36"/>
  <c r="L84" i="36"/>
  <c r="K84" i="36"/>
  <c r="J84" i="36"/>
  <c r="I84" i="36"/>
  <c r="H84" i="36"/>
  <c r="G84" i="36"/>
  <c r="F84" i="36"/>
  <c r="E84" i="36"/>
  <c r="D84" i="36"/>
  <c r="C84" i="36"/>
  <c r="B84" i="36"/>
  <c r="AF83" i="36"/>
  <c r="AE83" i="36"/>
  <c r="AD83" i="36"/>
  <c r="AC83" i="36"/>
  <c r="AB83" i="36"/>
  <c r="AA83" i="36"/>
  <c r="Z83" i="36"/>
  <c r="Y83" i="36"/>
  <c r="X83" i="36"/>
  <c r="W83" i="36"/>
  <c r="V83" i="36"/>
  <c r="U83" i="36"/>
  <c r="T83" i="36"/>
  <c r="S83" i="36"/>
  <c r="R83" i="36"/>
  <c r="Q83" i="36"/>
  <c r="Q89" i="36" s="1"/>
  <c r="P83" i="36"/>
  <c r="O83" i="36"/>
  <c r="N83" i="36"/>
  <c r="M83" i="36"/>
  <c r="L83" i="36"/>
  <c r="K83" i="36"/>
  <c r="J83" i="36"/>
  <c r="I83" i="36"/>
  <c r="I89" i="36" s="1"/>
  <c r="H83" i="36"/>
  <c r="G83" i="36"/>
  <c r="F83" i="36"/>
  <c r="E83" i="36"/>
  <c r="D83" i="36"/>
  <c r="C83" i="36"/>
  <c r="B83" i="36"/>
  <c r="AI80" i="36"/>
  <c r="AH80" i="36"/>
  <c r="AI78" i="36"/>
  <c r="AH78" i="36"/>
  <c r="AG78" i="36"/>
  <c r="AI77" i="36"/>
  <c r="AH77" i="36"/>
  <c r="AI76" i="36"/>
  <c r="AH76" i="36"/>
  <c r="AI75" i="36"/>
  <c r="AH75" i="36"/>
  <c r="AG74" i="36"/>
  <c r="AF74" i="36"/>
  <c r="AE5" i="36" s="1"/>
  <c r="AE74" i="36"/>
  <c r="AD74" i="36"/>
  <c r="AC5" i="36" s="1"/>
  <c r="AC74" i="36"/>
  <c r="AB5" i="36" s="1"/>
  <c r="AB74" i="36"/>
  <c r="AA5" i="36" s="1"/>
  <c r="AA74" i="36"/>
  <c r="Z5" i="36" s="1"/>
  <c r="Z74" i="36"/>
  <c r="Y5" i="36" s="1"/>
  <c r="Y74" i="36"/>
  <c r="X5" i="36" s="1"/>
  <c r="X74" i="36"/>
  <c r="W5" i="36" s="1"/>
  <c r="W74" i="36"/>
  <c r="V5" i="36" s="1"/>
  <c r="V74" i="36"/>
  <c r="U5" i="36" s="1"/>
  <c r="U74" i="36"/>
  <c r="T5" i="36" s="1"/>
  <c r="T74" i="36"/>
  <c r="S5" i="36" s="1"/>
  <c r="S74" i="36"/>
  <c r="R74" i="36"/>
  <c r="Q5" i="36" s="1"/>
  <c r="Q74" i="36"/>
  <c r="P5" i="36" s="1"/>
  <c r="P74" i="36"/>
  <c r="O74" i="36"/>
  <c r="N5" i="36" s="1"/>
  <c r="N74" i="36"/>
  <c r="M5" i="36" s="1"/>
  <c r="M74" i="36"/>
  <c r="L74" i="36"/>
  <c r="K5" i="36" s="1"/>
  <c r="K74" i="36"/>
  <c r="J5" i="36" s="1"/>
  <c r="J74" i="36"/>
  <c r="I74" i="36"/>
  <c r="H5" i="36" s="1"/>
  <c r="H74" i="36"/>
  <c r="G5" i="36" s="1"/>
  <c r="G74" i="36"/>
  <c r="F5" i="36" s="1"/>
  <c r="F74" i="36"/>
  <c r="E74" i="36"/>
  <c r="D74" i="36"/>
  <c r="C74" i="36"/>
  <c r="B74" i="36"/>
  <c r="AF5" i="36" s="1"/>
  <c r="AI73" i="36"/>
  <c r="AH73" i="36"/>
  <c r="AI72" i="36"/>
  <c r="AH72" i="36"/>
  <c r="AI71" i="36"/>
  <c r="AH71" i="36"/>
  <c r="AI70" i="36"/>
  <c r="AH70" i="36"/>
  <c r="AI69" i="36"/>
  <c r="AH69" i="36"/>
  <c r="AI68" i="36"/>
  <c r="AH68" i="36"/>
  <c r="AI67" i="36"/>
  <c r="AH67" i="36"/>
  <c r="AI66" i="36"/>
  <c r="AH66" i="36"/>
  <c r="AI65" i="36"/>
  <c r="AH65" i="36"/>
  <c r="AI64" i="36"/>
  <c r="AH64" i="36"/>
  <c r="AI63" i="36"/>
  <c r="AH63" i="36"/>
  <c r="AG62" i="36"/>
  <c r="AF62" i="36"/>
  <c r="AE62" i="36"/>
  <c r="AD62" i="36"/>
  <c r="AC62" i="36"/>
  <c r="AB62" i="36"/>
  <c r="AA62" i="36"/>
  <c r="Z62" i="36"/>
  <c r="Y62" i="36"/>
  <c r="X62" i="36"/>
  <c r="W62" i="36"/>
  <c r="V62" i="36"/>
  <c r="U62" i="36"/>
  <c r="T62" i="36"/>
  <c r="S62" i="36"/>
  <c r="R62" i="36"/>
  <c r="Q62" i="36"/>
  <c r="P62" i="36"/>
  <c r="O62" i="36"/>
  <c r="N62" i="36"/>
  <c r="M62" i="36"/>
  <c r="L62" i="36"/>
  <c r="K62" i="36"/>
  <c r="J62" i="36"/>
  <c r="I62" i="36"/>
  <c r="H62" i="36"/>
  <c r="G62" i="36"/>
  <c r="F62" i="36"/>
  <c r="E62" i="36"/>
  <c r="D62" i="36"/>
  <c r="C62" i="36"/>
  <c r="B62" i="36"/>
  <c r="AI61" i="36"/>
  <c r="AH61" i="36"/>
  <c r="AI60" i="36"/>
  <c r="AH60" i="36"/>
  <c r="AI59" i="36"/>
  <c r="AH59" i="36"/>
  <c r="AF58" i="36"/>
  <c r="AE58" i="36"/>
  <c r="AD58" i="36"/>
  <c r="AC58" i="36"/>
  <c r="AB58" i="36"/>
  <c r="AA58" i="36"/>
  <c r="Z58" i="36"/>
  <c r="Y58" i="36"/>
  <c r="X58" i="36"/>
  <c r="W58" i="36"/>
  <c r="V58" i="36"/>
  <c r="U58" i="36"/>
  <c r="T58" i="36"/>
  <c r="S58" i="36"/>
  <c r="R58" i="36"/>
  <c r="Q58" i="36"/>
  <c r="P58" i="36"/>
  <c r="O58" i="36"/>
  <c r="N58" i="36"/>
  <c r="M58" i="36"/>
  <c r="L58" i="36"/>
  <c r="K58" i="36"/>
  <c r="J58" i="36"/>
  <c r="I58" i="36"/>
  <c r="H58" i="36"/>
  <c r="G58" i="36"/>
  <c r="F58" i="36"/>
  <c r="E58" i="36"/>
  <c r="D58" i="36"/>
  <c r="C58" i="36"/>
  <c r="B58" i="36"/>
  <c r="AI57" i="36"/>
  <c r="AH57" i="36"/>
  <c r="AG57" i="36"/>
  <c r="AG58" i="36" s="1"/>
  <c r="AG3" i="36" s="1"/>
  <c r="AI56" i="36"/>
  <c r="AH56" i="36"/>
  <c r="AI55" i="36"/>
  <c r="AH55" i="36"/>
  <c r="AI54" i="36"/>
  <c r="AH54" i="36"/>
  <c r="AI53" i="36"/>
  <c r="AH53" i="36"/>
  <c r="AI52" i="36"/>
  <c r="AH52" i="36"/>
  <c r="AI51" i="36"/>
  <c r="AH51" i="36"/>
  <c r="AI50" i="36"/>
  <c r="AH50" i="36"/>
  <c r="AI49" i="36"/>
  <c r="AH49" i="36"/>
  <c r="AI48" i="36"/>
  <c r="AH48" i="36"/>
  <c r="AI47" i="36"/>
  <c r="AH47" i="36"/>
  <c r="AI46" i="36"/>
  <c r="AH46" i="36"/>
  <c r="AI45" i="36"/>
  <c r="AH45" i="36"/>
  <c r="AG44" i="36"/>
  <c r="AF44" i="36"/>
  <c r="AE44" i="36"/>
  <c r="AD44" i="36"/>
  <c r="AC44" i="36"/>
  <c r="AB44" i="36"/>
  <c r="AA44" i="36"/>
  <c r="Z44" i="36"/>
  <c r="Y44" i="36"/>
  <c r="X44" i="36"/>
  <c r="W44" i="36"/>
  <c r="V44" i="36"/>
  <c r="U44" i="36"/>
  <c r="T44" i="36"/>
  <c r="S44" i="36"/>
  <c r="R44" i="36"/>
  <c r="Q44" i="36"/>
  <c r="P44" i="36"/>
  <c r="O44" i="36"/>
  <c r="N44" i="36"/>
  <c r="M44" i="36"/>
  <c r="L44" i="36"/>
  <c r="K44" i="36"/>
  <c r="J44" i="36"/>
  <c r="I44" i="36"/>
  <c r="H44" i="36"/>
  <c r="G44" i="36"/>
  <c r="F44" i="36"/>
  <c r="E44" i="36"/>
  <c r="D44" i="36"/>
  <c r="C44" i="36"/>
  <c r="B44" i="36"/>
  <c r="AI43" i="36"/>
  <c r="AH43" i="36"/>
  <c r="AI42" i="36"/>
  <c r="AH42" i="36"/>
  <c r="AI41" i="36"/>
  <c r="AH41" i="36"/>
  <c r="AG40" i="36"/>
  <c r="AG2" i="36" s="1"/>
  <c r="AF40" i="36"/>
  <c r="AE40" i="36"/>
  <c r="AD40" i="36"/>
  <c r="AC40" i="36"/>
  <c r="AB40" i="36"/>
  <c r="AA40" i="36"/>
  <c r="Z40" i="36"/>
  <c r="Y40" i="36"/>
  <c r="X40" i="36"/>
  <c r="W40" i="36"/>
  <c r="V40" i="36"/>
  <c r="U40" i="36"/>
  <c r="T40" i="36"/>
  <c r="S40" i="36"/>
  <c r="R40" i="36"/>
  <c r="Q40" i="36"/>
  <c r="P40" i="36"/>
  <c r="O40" i="36"/>
  <c r="N40" i="36"/>
  <c r="L40" i="36"/>
  <c r="K40" i="36"/>
  <c r="J40" i="36"/>
  <c r="I40" i="36"/>
  <c r="H40" i="36"/>
  <c r="G40" i="36"/>
  <c r="F40" i="36"/>
  <c r="E40" i="36"/>
  <c r="D40" i="36"/>
  <c r="C40" i="36"/>
  <c r="B40" i="36"/>
  <c r="AI38" i="36"/>
  <c r="AH38" i="36"/>
  <c r="AI37" i="36"/>
  <c r="AH37" i="36"/>
  <c r="AI36" i="36"/>
  <c r="AH36" i="36"/>
  <c r="AI35" i="36"/>
  <c r="AH35" i="36"/>
  <c r="AI34" i="36"/>
  <c r="AH34" i="36"/>
  <c r="AI33" i="36"/>
  <c r="AH33" i="36"/>
  <c r="AI32" i="36"/>
  <c r="AH32" i="36"/>
  <c r="AI31" i="36"/>
  <c r="AH31" i="36"/>
  <c r="AI30" i="36"/>
  <c r="AH30" i="36"/>
  <c r="AI29" i="36"/>
  <c r="AH29" i="36"/>
  <c r="AI28" i="36"/>
  <c r="AH28" i="36"/>
  <c r="AI27" i="36"/>
  <c r="AH27" i="36"/>
  <c r="AI26" i="36"/>
  <c r="AH26" i="36"/>
  <c r="AI25" i="36"/>
  <c r="AH25" i="36"/>
  <c r="AI24" i="36"/>
  <c r="AH24" i="36"/>
  <c r="AI23" i="36"/>
  <c r="AH23" i="36"/>
  <c r="AI22" i="36"/>
  <c r="AH22" i="36"/>
  <c r="AI21" i="36"/>
  <c r="AH21" i="36"/>
  <c r="AI20" i="36"/>
  <c r="AH20" i="36"/>
  <c r="AI19" i="36"/>
  <c r="AH19" i="36"/>
  <c r="AI18" i="36"/>
  <c r="AH18" i="36"/>
  <c r="AI17" i="36"/>
  <c r="AH17" i="36"/>
  <c r="AI16" i="36"/>
  <c r="AH16" i="36"/>
  <c r="AI15" i="36"/>
  <c r="AH15" i="36"/>
  <c r="AI14" i="36"/>
  <c r="AH14" i="36"/>
  <c r="AI13" i="36"/>
  <c r="AH13" i="36"/>
  <c r="AI12" i="36"/>
  <c r="AH12" i="36"/>
  <c r="AI11" i="36"/>
  <c r="AH11" i="36"/>
  <c r="AD5" i="36"/>
  <c r="R5" i="36"/>
  <c r="O5" i="36"/>
  <c r="AG4" i="36"/>
  <c r="K4" i="36"/>
  <c r="B4" i="36"/>
  <c r="S235" i="36" s="1"/>
  <c r="AC39" i="35"/>
  <c r="AB39" i="35"/>
  <c r="AA103" i="35"/>
  <c r="AA39" i="35"/>
  <c r="Z103" i="35"/>
  <c r="Z39" i="35"/>
  <c r="Y103" i="35"/>
  <c r="X103" i="35"/>
  <c r="X39" i="35"/>
  <c r="W103" i="35"/>
  <c r="W39" i="35"/>
  <c r="V103" i="35"/>
  <c r="V39" i="35"/>
  <c r="U103" i="35"/>
  <c r="U39" i="35"/>
  <c r="T103" i="35"/>
  <c r="T39" i="35"/>
  <c r="S103" i="35"/>
  <c r="S39" i="35"/>
  <c r="R39" i="35"/>
  <c r="E4" i="37"/>
  <c r="E4" i="36"/>
  <c r="AI103" i="36" l="1"/>
  <c r="N89" i="37"/>
  <c r="N90" i="37" s="1"/>
  <c r="V89" i="37"/>
  <c r="V90" i="37" s="1"/>
  <c r="AD89" i="37"/>
  <c r="AD90" i="37" s="1"/>
  <c r="P89" i="37"/>
  <c r="P90" i="37" s="1"/>
  <c r="X89" i="37"/>
  <c r="X90" i="37" s="1"/>
  <c r="AF89" i="37"/>
  <c r="AF90" i="37" s="1"/>
  <c r="Q89" i="37"/>
  <c r="Q90" i="37" s="1"/>
  <c r="Y89" i="37"/>
  <c r="Y90" i="37" s="1"/>
  <c r="T89" i="37"/>
  <c r="AB89" i="37"/>
  <c r="AB90" i="37" s="1"/>
  <c r="E218" i="37"/>
  <c r="F218" i="37" s="1"/>
  <c r="E223" i="37"/>
  <c r="O79" i="37"/>
  <c r="O81" i="37" s="1"/>
  <c r="O82" i="37" s="1"/>
  <c r="W79" i="37"/>
  <c r="W81" i="37" s="1"/>
  <c r="AO238" i="37" s="1"/>
  <c r="AE79" i="37"/>
  <c r="AE81" i="37" s="1"/>
  <c r="T90" i="37"/>
  <c r="AH39" i="37"/>
  <c r="P79" i="37"/>
  <c r="P81" i="37" s="1"/>
  <c r="X79" i="37"/>
  <c r="X81" i="37" s="1"/>
  <c r="AF79" i="37"/>
  <c r="AF81" i="37" s="1"/>
  <c r="AF7" i="37" s="1"/>
  <c r="M90" i="37"/>
  <c r="R89" i="37"/>
  <c r="Z89" i="37"/>
  <c r="Z82" i="37" s="1"/>
  <c r="AA100" i="36"/>
  <c r="K89" i="37"/>
  <c r="K90" i="37" s="1"/>
  <c r="D224" i="36"/>
  <c r="R79" i="37"/>
  <c r="R81" i="37" s="1"/>
  <c r="R82" i="37" s="1"/>
  <c r="Z79" i="37"/>
  <c r="Z81" i="37" s="1"/>
  <c r="AG81" i="37"/>
  <c r="M89" i="37"/>
  <c r="U89" i="37"/>
  <c r="U82" i="37" s="1"/>
  <c r="AC89" i="37"/>
  <c r="AC90" i="37" s="1"/>
  <c r="L79" i="37"/>
  <c r="L81" i="37" s="1"/>
  <c r="AD238" i="37" s="1"/>
  <c r="K79" i="37"/>
  <c r="K81" i="37" s="1"/>
  <c r="K7" i="37" s="1"/>
  <c r="J79" i="37"/>
  <c r="J81" i="37" s="1"/>
  <c r="J7" i="37" s="1"/>
  <c r="J89" i="37"/>
  <c r="H79" i="37"/>
  <c r="H81" i="37" s="1"/>
  <c r="H7" i="37" s="1"/>
  <c r="G89" i="37"/>
  <c r="G90" i="37" s="1"/>
  <c r="G79" i="37"/>
  <c r="G81" i="37" s="1"/>
  <c r="G7" i="37" s="1"/>
  <c r="H89" i="37"/>
  <c r="H90" i="37" s="1"/>
  <c r="L89" i="37"/>
  <c r="L90" i="37" s="1"/>
  <c r="F89" i="37"/>
  <c r="F90" i="37" s="1"/>
  <c r="F79" i="37"/>
  <c r="F81" i="37" s="1"/>
  <c r="F82" i="37" s="1"/>
  <c r="AH85" i="37"/>
  <c r="AI84" i="37"/>
  <c r="E89" i="37"/>
  <c r="E90" i="37" s="1"/>
  <c r="I79" i="37"/>
  <c r="I81" i="37" s="1"/>
  <c r="E79" i="37"/>
  <c r="E81" i="37" s="1"/>
  <c r="W238" i="37" s="1"/>
  <c r="AI83" i="37"/>
  <c r="D89" i="37"/>
  <c r="D90" i="37" s="1"/>
  <c r="AI62" i="37"/>
  <c r="AH44" i="37"/>
  <c r="D79" i="37"/>
  <c r="D81" i="37" s="1"/>
  <c r="V238" i="37" s="1"/>
  <c r="AI85" i="37"/>
  <c r="AI86" i="37"/>
  <c r="C79" i="37"/>
  <c r="C81" i="37" s="1"/>
  <c r="U238" i="37" s="1"/>
  <c r="C89" i="37"/>
  <c r="C90" i="37" s="1"/>
  <c r="AI87" i="37"/>
  <c r="AI58" i="37"/>
  <c r="AH84" i="37"/>
  <c r="B79" i="37"/>
  <c r="H4" i="37"/>
  <c r="AW238" i="37"/>
  <c r="AE82" i="37"/>
  <c r="AE7" i="37"/>
  <c r="P7" i="37"/>
  <c r="AH238" i="37"/>
  <c r="P82" i="37"/>
  <c r="X7" i="37"/>
  <c r="AP238" i="37"/>
  <c r="X82" i="37"/>
  <c r="G218" i="37"/>
  <c r="Q7" i="37"/>
  <c r="AI238" i="37"/>
  <c r="Q82" i="37"/>
  <c r="Y7" i="37"/>
  <c r="AQ238" i="37"/>
  <c r="Y82" i="37"/>
  <c r="Z7" i="37"/>
  <c r="AR238" i="37"/>
  <c r="S7" i="37"/>
  <c r="AK238" i="37"/>
  <c r="S82" i="37"/>
  <c r="AA7" i="37"/>
  <c r="AS238" i="37"/>
  <c r="AA82" i="37"/>
  <c r="T82" i="37"/>
  <c r="T7" i="37"/>
  <c r="AL238" i="37"/>
  <c r="AB7" i="37"/>
  <c r="AT238" i="37"/>
  <c r="M7" i="37"/>
  <c r="AE238" i="37"/>
  <c r="M82" i="37"/>
  <c r="U7" i="37"/>
  <c r="AM238" i="37"/>
  <c r="AC7" i="37"/>
  <c r="AU238" i="37"/>
  <c r="AC82" i="37"/>
  <c r="J90" i="37"/>
  <c r="R90" i="37"/>
  <c r="AG238" i="37"/>
  <c r="N7" i="37"/>
  <c r="AF238" i="37"/>
  <c r="N82" i="37"/>
  <c r="V7" i="37"/>
  <c r="AN238" i="37"/>
  <c r="V82" i="37"/>
  <c r="AD7" i="37"/>
  <c r="AV238" i="37"/>
  <c r="AD82" i="37"/>
  <c r="I5" i="37"/>
  <c r="Q5" i="37"/>
  <c r="Y5" i="37"/>
  <c r="D100" i="37"/>
  <c r="E224" i="37"/>
  <c r="D235" i="37"/>
  <c r="AH58" i="37"/>
  <c r="AH62" i="37"/>
  <c r="AH74" i="37"/>
  <c r="I89" i="37"/>
  <c r="I90" i="37" s="1"/>
  <c r="E100" i="37"/>
  <c r="AG2" i="37"/>
  <c r="AG6" i="37" s="1"/>
  <c r="C5" i="37"/>
  <c r="K5" i="37"/>
  <c r="S5" i="37"/>
  <c r="AA5" i="37"/>
  <c r="AI74" i="37"/>
  <c r="AH83" i="37"/>
  <c r="B89" i="37"/>
  <c r="B90" i="37" s="1"/>
  <c r="AI40" i="37"/>
  <c r="AI44" i="37"/>
  <c r="AH86" i="37"/>
  <c r="B224" i="37"/>
  <c r="AH40" i="37"/>
  <c r="AH87" i="37"/>
  <c r="AD79" i="36"/>
  <c r="AD81" i="36" s="1"/>
  <c r="AE79" i="36"/>
  <c r="AE81" i="36" s="1"/>
  <c r="AB79" i="36"/>
  <c r="AB81" i="36" s="1"/>
  <c r="AT238" i="36" s="1"/>
  <c r="Z89" i="36"/>
  <c r="Y89" i="36"/>
  <c r="Y79" i="36"/>
  <c r="Y81" i="36" s="1"/>
  <c r="W79" i="36"/>
  <c r="W81" i="36" s="1"/>
  <c r="AO238" i="36" s="1"/>
  <c r="V79" i="36"/>
  <c r="V81" i="36" s="1"/>
  <c r="V7" i="36" s="1"/>
  <c r="T79" i="36"/>
  <c r="T81" i="36" s="1"/>
  <c r="R89" i="36"/>
  <c r="Q79" i="36"/>
  <c r="Q81" i="36" s="1"/>
  <c r="Q7" i="36" s="1"/>
  <c r="O79" i="36"/>
  <c r="O81" i="36" s="1"/>
  <c r="O7" i="36" s="1"/>
  <c r="N79" i="36"/>
  <c r="N81" i="36" s="1"/>
  <c r="L79" i="36"/>
  <c r="L81" i="36" s="1"/>
  <c r="L7" i="36" s="1"/>
  <c r="D259" i="36"/>
  <c r="E100" i="36"/>
  <c r="R79" i="36"/>
  <c r="R81" i="36" s="1"/>
  <c r="R82" i="36" s="1"/>
  <c r="Z79" i="36"/>
  <c r="Z81" i="36" s="1"/>
  <c r="AR238" i="36" s="1"/>
  <c r="S89" i="36"/>
  <c r="S90" i="36" s="1"/>
  <c r="AA89" i="36"/>
  <c r="AA90" i="36" s="1"/>
  <c r="C79" i="36"/>
  <c r="C81" i="36" s="1"/>
  <c r="S79" i="36"/>
  <c r="S81" i="36" s="1"/>
  <c r="S7" i="36" s="1"/>
  <c r="AA79" i="36"/>
  <c r="AA81" i="36" s="1"/>
  <c r="AA7" i="36" s="1"/>
  <c r="D89" i="36"/>
  <c r="D90" i="36" s="1"/>
  <c r="L89" i="36"/>
  <c r="L90" i="36" s="1"/>
  <c r="T89" i="36"/>
  <c r="T90" i="36" s="1"/>
  <c r="AB89" i="36"/>
  <c r="AB90" i="36" s="1"/>
  <c r="L5" i="36"/>
  <c r="M89" i="36"/>
  <c r="M90" i="36" s="1"/>
  <c r="U89" i="36"/>
  <c r="AC89" i="36"/>
  <c r="AC90" i="36" s="1"/>
  <c r="M79" i="36"/>
  <c r="M81" i="36" s="1"/>
  <c r="M7" i="36" s="1"/>
  <c r="U79" i="36"/>
  <c r="U81" i="36" s="1"/>
  <c r="U7" i="36" s="1"/>
  <c r="AC79" i="36"/>
  <c r="AC81" i="36" s="1"/>
  <c r="AU238" i="36" s="1"/>
  <c r="N89" i="36"/>
  <c r="N90" i="36" s="1"/>
  <c r="V89" i="36"/>
  <c r="V90" i="36" s="1"/>
  <c r="AD89" i="36"/>
  <c r="AD82" i="36" s="1"/>
  <c r="C259" i="36"/>
  <c r="R90" i="36"/>
  <c r="Z90" i="36"/>
  <c r="O89" i="36"/>
  <c r="O90" i="36" s="1"/>
  <c r="W89" i="36"/>
  <c r="W90" i="36" s="1"/>
  <c r="AE89" i="36"/>
  <c r="AE82" i="36" s="1"/>
  <c r="B224" i="36"/>
  <c r="U90" i="36"/>
  <c r="P89" i="36"/>
  <c r="X89" i="36"/>
  <c r="AF89" i="36"/>
  <c r="AF90" i="36" s="1"/>
  <c r="P79" i="36"/>
  <c r="P81" i="36" s="1"/>
  <c r="P7" i="36" s="1"/>
  <c r="X79" i="36"/>
  <c r="X81" i="36" s="1"/>
  <c r="X7" i="36" s="1"/>
  <c r="AF79" i="36"/>
  <c r="AF81" i="36" s="1"/>
  <c r="AF7" i="36" s="1"/>
  <c r="K89" i="36"/>
  <c r="K90" i="36" s="1"/>
  <c r="AI84" i="36"/>
  <c r="K79" i="36"/>
  <c r="K81" i="36" s="1"/>
  <c r="AC238" i="36" s="1"/>
  <c r="J89" i="36"/>
  <c r="J90" i="36" s="1"/>
  <c r="I5" i="36"/>
  <c r="AI58" i="36"/>
  <c r="J79" i="36"/>
  <c r="J81" i="36" s="1"/>
  <c r="H89" i="36"/>
  <c r="I79" i="36"/>
  <c r="I81" i="36" s="1"/>
  <c r="I7" i="36" s="1"/>
  <c r="H79" i="36"/>
  <c r="H81" i="36" s="1"/>
  <c r="H7" i="36" s="1"/>
  <c r="AI44" i="36"/>
  <c r="G89" i="36"/>
  <c r="G79" i="36"/>
  <c r="G81" i="36" s="1"/>
  <c r="G82" i="36" s="1"/>
  <c r="AH84" i="36"/>
  <c r="E89" i="36"/>
  <c r="E90" i="36" s="1"/>
  <c r="E5" i="36"/>
  <c r="F89" i="36"/>
  <c r="F90" i="36" s="1"/>
  <c r="D5" i="36"/>
  <c r="F79" i="36"/>
  <c r="F81" i="36" s="1"/>
  <c r="X238" i="36" s="1"/>
  <c r="AI85" i="36"/>
  <c r="AI62" i="36"/>
  <c r="E79" i="36"/>
  <c r="E81" i="36" s="1"/>
  <c r="W238" i="36" s="1"/>
  <c r="C5" i="36"/>
  <c r="AI83" i="36"/>
  <c r="D79" i="36"/>
  <c r="D81" i="36" s="1"/>
  <c r="V238" i="36" s="1"/>
  <c r="AI86" i="36"/>
  <c r="B5" i="36"/>
  <c r="C89" i="36"/>
  <c r="C90" i="36" s="1"/>
  <c r="AI87" i="36"/>
  <c r="AI40" i="36"/>
  <c r="H4" i="36"/>
  <c r="AD7" i="36"/>
  <c r="AV238" i="36"/>
  <c r="AG238" i="36"/>
  <c r="AW238" i="36"/>
  <c r="AE7" i="36"/>
  <c r="AG81" i="36"/>
  <c r="G218" i="36"/>
  <c r="N7" i="36"/>
  <c r="AF238" i="36"/>
  <c r="AI238" i="36"/>
  <c r="Q82" i="36"/>
  <c r="Y7" i="36"/>
  <c r="AQ238" i="36"/>
  <c r="Y82" i="36"/>
  <c r="AG79" i="36"/>
  <c r="Z7" i="36"/>
  <c r="G90" i="36"/>
  <c r="C7" i="36"/>
  <c r="U238" i="36"/>
  <c r="C82" i="36"/>
  <c r="T7" i="36"/>
  <c r="AL238" i="36"/>
  <c r="AB7" i="36"/>
  <c r="H90" i="36"/>
  <c r="P90" i="36"/>
  <c r="AG6" i="36"/>
  <c r="I90" i="36"/>
  <c r="Q90" i="36"/>
  <c r="Y90" i="36"/>
  <c r="E224" i="36"/>
  <c r="D235" i="36"/>
  <c r="AH58" i="36"/>
  <c r="AH62" i="36"/>
  <c r="AH74" i="36"/>
  <c r="AI74" i="36"/>
  <c r="AH83" i="36"/>
  <c r="B89" i="36"/>
  <c r="B90" i="36" s="1"/>
  <c r="F223" i="36"/>
  <c r="F224" i="36" s="1"/>
  <c r="AH40" i="36"/>
  <c r="AH44" i="36"/>
  <c r="B79" i="36"/>
  <c r="AH85" i="36"/>
  <c r="AH86" i="36"/>
  <c r="AH87" i="36"/>
  <c r="O39" i="35"/>
  <c r="N39" i="35"/>
  <c r="W82" i="37" l="1"/>
  <c r="W7" i="36"/>
  <c r="Z238" i="36"/>
  <c r="U90" i="37"/>
  <c r="AJ238" i="37"/>
  <c r="AF82" i="37"/>
  <c r="V82" i="36"/>
  <c r="O7" i="37"/>
  <c r="R7" i="37"/>
  <c r="AX238" i="37"/>
  <c r="F223" i="37"/>
  <c r="D259" i="37"/>
  <c r="AN238" i="36"/>
  <c r="AB82" i="37"/>
  <c r="W7" i="37"/>
  <c r="Z90" i="37"/>
  <c r="H82" i="36"/>
  <c r="D7" i="36"/>
  <c r="K7" i="36"/>
  <c r="L7" i="37"/>
  <c r="L82" i="37"/>
  <c r="E7" i="37"/>
  <c r="C7" i="37"/>
  <c r="K82" i="37"/>
  <c r="AC238" i="37"/>
  <c r="J82" i="37"/>
  <c r="AB238" i="37"/>
  <c r="I82" i="37"/>
  <c r="AA238" i="37"/>
  <c r="I7" i="37"/>
  <c r="H82" i="37"/>
  <c r="Z238" i="37"/>
  <c r="B233" i="37"/>
  <c r="G82" i="37"/>
  <c r="Y238" i="37"/>
  <c r="X238" i="37"/>
  <c r="C233" i="37"/>
  <c r="F7" i="37"/>
  <c r="E82" i="37"/>
  <c r="D82" i="37"/>
  <c r="D7" i="37"/>
  <c r="AH79" i="37"/>
  <c r="C82" i="37"/>
  <c r="B81" i="37"/>
  <c r="AH81" i="37" s="1"/>
  <c r="AI79" i="37"/>
  <c r="AI90" i="37"/>
  <c r="AH90" i="37"/>
  <c r="AI89" i="37"/>
  <c r="AH89" i="37"/>
  <c r="B7" i="37"/>
  <c r="T238" i="37"/>
  <c r="B82" i="37"/>
  <c r="AI81" i="37"/>
  <c r="H218" i="37"/>
  <c r="AF82" i="36"/>
  <c r="AX238" i="36"/>
  <c r="AE90" i="36"/>
  <c r="AD90" i="36"/>
  <c r="AC7" i="36"/>
  <c r="AC82" i="36"/>
  <c r="AB82" i="36"/>
  <c r="AA82" i="36"/>
  <c r="AS238" i="36"/>
  <c r="Z82" i="36"/>
  <c r="AP238" i="36"/>
  <c r="X82" i="36"/>
  <c r="W82" i="36"/>
  <c r="U82" i="36"/>
  <c r="T82" i="36"/>
  <c r="AK238" i="36"/>
  <c r="S82" i="36"/>
  <c r="AJ238" i="36"/>
  <c r="R7" i="36"/>
  <c r="P82" i="36"/>
  <c r="AH238" i="36"/>
  <c r="N82" i="36"/>
  <c r="AE238" i="36"/>
  <c r="M82" i="36"/>
  <c r="L82" i="36"/>
  <c r="AD238" i="36"/>
  <c r="AM238" i="36"/>
  <c r="X90" i="36"/>
  <c r="AH90" i="36" s="1"/>
  <c r="O82" i="36"/>
  <c r="J82" i="36"/>
  <c r="K82" i="36"/>
  <c r="AB238" i="36"/>
  <c r="J7" i="36"/>
  <c r="I82" i="36"/>
  <c r="AA238" i="36"/>
  <c r="G7" i="36"/>
  <c r="Y238" i="36"/>
  <c r="B233" i="36"/>
  <c r="C233" i="36"/>
  <c r="D82" i="36"/>
  <c r="F7" i="36"/>
  <c r="E82" i="36"/>
  <c r="F82" i="36"/>
  <c r="E7" i="36"/>
  <c r="AI90" i="36"/>
  <c r="AI79" i="36"/>
  <c r="AH79" i="36"/>
  <c r="B81" i="36"/>
  <c r="AI89" i="36"/>
  <c r="AH89" i="36"/>
  <c r="H218" i="36"/>
  <c r="E259" i="36"/>
  <c r="G223" i="36"/>
  <c r="F100" i="36"/>
  <c r="F224" i="37" l="1"/>
  <c r="E259" i="37"/>
  <c r="F100" i="37"/>
  <c r="G223" i="37"/>
  <c r="K6" i="37"/>
  <c r="A7" i="37"/>
  <c r="I218" i="37"/>
  <c r="AI82" i="37"/>
  <c r="AH82" i="37"/>
  <c r="K6" i="36"/>
  <c r="I218" i="36"/>
  <c r="B7" i="36"/>
  <c r="A7" i="36" s="1"/>
  <c r="T238" i="36"/>
  <c r="B82" i="36"/>
  <c r="AI81" i="36"/>
  <c r="AH81" i="36"/>
  <c r="F259" i="36"/>
  <c r="H223" i="36"/>
  <c r="G224" i="36"/>
  <c r="G100" i="36"/>
  <c r="G100" i="37" l="1"/>
  <c r="F259" i="37"/>
  <c r="G224" i="37"/>
  <c r="H223" i="37"/>
  <c r="J218" i="37"/>
  <c r="AI82" i="36"/>
  <c r="AH82" i="36"/>
  <c r="G259" i="36"/>
  <c r="I223" i="36"/>
  <c r="H224" i="36"/>
  <c r="H100" i="36"/>
  <c r="I100" i="36"/>
  <c r="J218" i="36"/>
  <c r="H100" i="37" l="1"/>
  <c r="H224" i="37"/>
  <c r="G259" i="37"/>
  <c r="I223" i="37"/>
  <c r="K218" i="37"/>
  <c r="H259" i="36"/>
  <c r="J223" i="36"/>
  <c r="J100" i="36"/>
  <c r="J224" i="36"/>
  <c r="K218" i="36"/>
  <c r="I224" i="36"/>
  <c r="J223" i="37" l="1"/>
  <c r="I100" i="37"/>
  <c r="I224" i="37"/>
  <c r="H259" i="37"/>
  <c r="L218" i="37"/>
  <c r="L218" i="36"/>
  <c r="K223" i="36"/>
  <c r="K224" i="36" s="1"/>
  <c r="I259" i="36"/>
  <c r="J100" i="37" l="1"/>
  <c r="I259" i="37"/>
  <c r="J224" i="37"/>
  <c r="K223" i="37"/>
  <c r="M218" i="37"/>
  <c r="J259" i="36"/>
  <c r="L223" i="36"/>
  <c r="L224" i="36"/>
  <c r="M218" i="36"/>
  <c r="L100" i="36"/>
  <c r="K100" i="36"/>
  <c r="L223" i="37" l="1"/>
  <c r="K224" i="37"/>
  <c r="J259" i="37"/>
  <c r="K100" i="37"/>
  <c r="N218" i="37"/>
  <c r="N218" i="36"/>
  <c r="K259" i="36"/>
  <c r="M223" i="36"/>
  <c r="M223" i="37" l="1"/>
  <c r="K259" i="37"/>
  <c r="L224" i="37"/>
  <c r="L100" i="37"/>
  <c r="O218" i="37"/>
  <c r="L259" i="36"/>
  <c r="N223" i="36"/>
  <c r="M224" i="36"/>
  <c r="M100" i="36"/>
  <c r="O218" i="36"/>
  <c r="N100" i="36"/>
  <c r="N224" i="36"/>
  <c r="N223" i="37" l="1"/>
  <c r="M224" i="37"/>
  <c r="M100" i="37"/>
  <c r="L259" i="37"/>
  <c r="P218" i="37"/>
  <c r="P218" i="36"/>
  <c r="M259" i="36"/>
  <c r="O223" i="36"/>
  <c r="N224" i="37" l="1"/>
  <c r="M259" i="37"/>
  <c r="O223" i="37"/>
  <c r="N100" i="37"/>
  <c r="N259" i="36"/>
  <c r="P223" i="36"/>
  <c r="O259" i="36" s="1"/>
  <c r="O224" i="36"/>
  <c r="O100" i="36"/>
  <c r="P224" i="36" l="1"/>
  <c r="P223" i="37"/>
  <c r="O224" i="37"/>
  <c r="O100" i="37"/>
  <c r="N259" i="37"/>
  <c r="P100" i="36"/>
  <c r="AI100" i="36" s="1"/>
  <c r="AH100" i="36" l="1"/>
  <c r="O259" i="37"/>
  <c r="P100" i="37"/>
  <c r="P224" i="37"/>
  <c r="L103" i="35"/>
  <c r="M39" i="35"/>
  <c r="K103" i="35"/>
  <c r="K39" i="35"/>
  <c r="L39" i="35"/>
  <c r="J103" i="35"/>
  <c r="I103" i="35"/>
  <c r="I39" i="35"/>
  <c r="J39" i="35"/>
  <c r="H103" i="35"/>
  <c r="H39" i="35"/>
  <c r="F103" i="35"/>
  <c r="AI103" i="35" s="1"/>
  <c r="E39" i="35"/>
  <c r="F39" i="35"/>
  <c r="G39" i="35"/>
  <c r="D39" i="35"/>
  <c r="C39" i="35"/>
  <c r="B39" i="35"/>
  <c r="AF39" i="34"/>
  <c r="AJ5" i="34"/>
  <c r="AF263" i="35"/>
  <c r="AE263" i="35"/>
  <c r="AD263" i="35"/>
  <c r="AC263" i="35"/>
  <c r="AB263" i="35"/>
  <c r="AA263" i="35"/>
  <c r="Z263" i="35"/>
  <c r="Y263" i="35"/>
  <c r="X263" i="35"/>
  <c r="W263" i="35"/>
  <c r="V263" i="35"/>
  <c r="U263" i="35"/>
  <c r="T263" i="35"/>
  <c r="S263" i="35"/>
  <c r="R263" i="35"/>
  <c r="Q263" i="35"/>
  <c r="P263" i="35"/>
  <c r="O263" i="35"/>
  <c r="N263" i="35"/>
  <c r="M263" i="35"/>
  <c r="L263" i="35"/>
  <c r="K263" i="35"/>
  <c r="J263" i="35"/>
  <c r="I263" i="35"/>
  <c r="H263" i="35"/>
  <c r="G263" i="35"/>
  <c r="F263" i="35"/>
  <c r="E263" i="35"/>
  <c r="D263" i="35"/>
  <c r="C263" i="35"/>
  <c r="B263" i="35"/>
  <c r="A263" i="35"/>
  <c r="AF262" i="35"/>
  <c r="AE262" i="35"/>
  <c r="AD262" i="35"/>
  <c r="AC262" i="35"/>
  <c r="AB262" i="35"/>
  <c r="AA262" i="35"/>
  <c r="Z262" i="35"/>
  <c r="Y262" i="35"/>
  <c r="X262" i="35"/>
  <c r="W262" i="35"/>
  <c r="V262" i="35"/>
  <c r="U262" i="35"/>
  <c r="T262" i="35"/>
  <c r="S262" i="35"/>
  <c r="R262" i="35"/>
  <c r="Q262" i="35"/>
  <c r="P262" i="35"/>
  <c r="O262" i="35"/>
  <c r="N262" i="35"/>
  <c r="M262" i="35"/>
  <c r="L262" i="35"/>
  <c r="K262" i="35"/>
  <c r="J262" i="35"/>
  <c r="I262" i="35"/>
  <c r="H262" i="35"/>
  <c r="G262" i="35"/>
  <c r="F262" i="35"/>
  <c r="E262" i="35"/>
  <c r="D262" i="35"/>
  <c r="C262" i="35"/>
  <c r="B262" i="35"/>
  <c r="A262" i="35"/>
  <c r="AF261" i="35"/>
  <c r="AE261" i="35"/>
  <c r="AD261" i="35"/>
  <c r="AC261" i="35"/>
  <c r="AB261" i="35"/>
  <c r="AA261" i="35"/>
  <c r="Z261" i="35"/>
  <c r="Y261" i="35"/>
  <c r="X261" i="35"/>
  <c r="W261" i="35"/>
  <c r="V261" i="35"/>
  <c r="U261" i="35"/>
  <c r="T261" i="35"/>
  <c r="S261" i="35"/>
  <c r="R261" i="35"/>
  <c r="Q261" i="35"/>
  <c r="P261" i="35"/>
  <c r="O261" i="35"/>
  <c r="N261" i="35"/>
  <c r="M261" i="35"/>
  <c r="L261" i="35"/>
  <c r="K261" i="35"/>
  <c r="J261" i="35"/>
  <c r="I261" i="35"/>
  <c r="H261" i="35"/>
  <c r="G261" i="35"/>
  <c r="F261" i="35"/>
  <c r="E261" i="35"/>
  <c r="D261" i="35"/>
  <c r="C261" i="35"/>
  <c r="B261" i="35"/>
  <c r="A261" i="35"/>
  <c r="AF260" i="35"/>
  <c r="AE260" i="35"/>
  <c r="AD260" i="35"/>
  <c r="AC260" i="35"/>
  <c r="AB260" i="35"/>
  <c r="AA260" i="35"/>
  <c r="Z260" i="35"/>
  <c r="Y260" i="35"/>
  <c r="X260" i="35"/>
  <c r="W260" i="35"/>
  <c r="V260" i="35"/>
  <c r="U260" i="35"/>
  <c r="T260" i="35"/>
  <c r="S260" i="35"/>
  <c r="R260" i="35"/>
  <c r="Q260" i="35"/>
  <c r="P260" i="35"/>
  <c r="O260" i="35"/>
  <c r="N260" i="35"/>
  <c r="M260" i="35"/>
  <c r="L260" i="35"/>
  <c r="K260" i="35"/>
  <c r="J260" i="35"/>
  <c r="I260" i="35"/>
  <c r="H260" i="35"/>
  <c r="G260" i="35"/>
  <c r="F260" i="35"/>
  <c r="E260" i="35"/>
  <c r="D260" i="35"/>
  <c r="C260" i="35"/>
  <c r="B260" i="35"/>
  <c r="A260" i="35"/>
  <c r="AE259" i="35"/>
  <c r="AD259" i="35"/>
  <c r="AC259" i="35"/>
  <c r="AB259" i="35"/>
  <c r="AA259" i="35"/>
  <c r="Z259" i="35"/>
  <c r="Y259" i="35"/>
  <c r="X259" i="35"/>
  <c r="W259" i="35"/>
  <c r="V259" i="35"/>
  <c r="U259" i="35"/>
  <c r="T259" i="35"/>
  <c r="S259" i="35"/>
  <c r="R259" i="35"/>
  <c r="Q259" i="35"/>
  <c r="P259" i="35"/>
  <c r="B259" i="35"/>
  <c r="S234" i="35"/>
  <c r="AG224" i="35"/>
  <c r="AG57" i="35" s="1"/>
  <c r="AG58" i="35" s="1"/>
  <c r="AG3" i="35" s="1"/>
  <c r="AF224" i="35"/>
  <c r="AE224" i="35"/>
  <c r="AD224" i="35"/>
  <c r="AC224" i="35"/>
  <c r="AB224" i="35"/>
  <c r="AA224" i="35"/>
  <c r="Z224" i="35"/>
  <c r="Y224" i="35"/>
  <c r="X224" i="35"/>
  <c r="W224" i="35"/>
  <c r="V224" i="35"/>
  <c r="U224" i="35"/>
  <c r="T224" i="35"/>
  <c r="S224" i="35"/>
  <c r="R224" i="35"/>
  <c r="Q224" i="35"/>
  <c r="C224" i="35"/>
  <c r="D223" i="35"/>
  <c r="C259" i="35" s="1"/>
  <c r="B223" i="35"/>
  <c r="AF259" i="35" s="1"/>
  <c r="D222" i="35"/>
  <c r="E222" i="35" s="1"/>
  <c r="F222" i="35" s="1"/>
  <c r="G222" i="35" s="1"/>
  <c r="H222" i="35" s="1"/>
  <c r="I222" i="35" s="1"/>
  <c r="J222" i="35" s="1"/>
  <c r="K222" i="35" s="1"/>
  <c r="L222" i="35" s="1"/>
  <c r="M222" i="35" s="1"/>
  <c r="N222" i="35" s="1"/>
  <c r="O222" i="35" s="1"/>
  <c r="P222" i="35" s="1"/>
  <c r="B222" i="35"/>
  <c r="D221" i="35"/>
  <c r="E221" i="35" s="1"/>
  <c r="F221" i="35" s="1"/>
  <c r="G221" i="35" s="1"/>
  <c r="H221" i="35" s="1"/>
  <c r="I221" i="35" s="1"/>
  <c r="J221" i="35" s="1"/>
  <c r="K221" i="35" s="1"/>
  <c r="L221" i="35" s="1"/>
  <c r="M221" i="35" s="1"/>
  <c r="N221" i="35" s="1"/>
  <c r="O221" i="35" s="1"/>
  <c r="P221" i="35" s="1"/>
  <c r="B221" i="35"/>
  <c r="E220" i="35"/>
  <c r="F220" i="35" s="1"/>
  <c r="G220" i="35" s="1"/>
  <c r="H220" i="35" s="1"/>
  <c r="I220" i="35" s="1"/>
  <c r="J220" i="35" s="1"/>
  <c r="K220" i="35" s="1"/>
  <c r="L220" i="35" s="1"/>
  <c r="M220" i="35" s="1"/>
  <c r="N220" i="35" s="1"/>
  <c r="O220" i="35" s="1"/>
  <c r="P220" i="35" s="1"/>
  <c r="D220" i="35"/>
  <c r="B220" i="35"/>
  <c r="D219" i="35"/>
  <c r="E219" i="35" s="1"/>
  <c r="B219" i="35"/>
  <c r="E218" i="35"/>
  <c r="F218" i="35" s="1"/>
  <c r="D218" i="35"/>
  <c r="B218" i="35"/>
  <c r="AG216" i="35"/>
  <c r="AF216" i="35"/>
  <c r="AE216" i="35"/>
  <c r="AD216" i="35"/>
  <c r="AC216" i="35"/>
  <c r="AB216" i="35"/>
  <c r="AA216" i="35"/>
  <c r="Z216" i="35"/>
  <c r="Y216" i="35"/>
  <c r="X216" i="35"/>
  <c r="W216" i="35"/>
  <c r="V216" i="35"/>
  <c r="U216" i="35"/>
  <c r="T216" i="35"/>
  <c r="S216" i="35"/>
  <c r="R216" i="35"/>
  <c r="Q216" i="35"/>
  <c r="P216" i="35"/>
  <c r="O216" i="35"/>
  <c r="N216" i="35"/>
  <c r="M216" i="35"/>
  <c r="L216" i="35"/>
  <c r="K216" i="35"/>
  <c r="J216" i="35"/>
  <c r="I216" i="35"/>
  <c r="H216" i="35"/>
  <c r="G216" i="35"/>
  <c r="F216" i="35"/>
  <c r="E216" i="35"/>
  <c r="D216" i="35"/>
  <c r="C216" i="35"/>
  <c r="B216" i="35"/>
  <c r="AI109" i="35"/>
  <c r="AH109" i="35"/>
  <c r="AI108" i="35"/>
  <c r="AH108" i="35"/>
  <c r="AI107" i="35"/>
  <c r="AH107" i="35"/>
  <c r="AI106" i="35"/>
  <c r="AH106" i="35"/>
  <c r="AI105" i="35"/>
  <c r="AH105" i="35"/>
  <c r="AI104" i="35"/>
  <c r="AH104" i="35"/>
  <c r="AH103" i="35"/>
  <c r="AI102" i="35"/>
  <c r="AH102" i="35"/>
  <c r="AI101" i="35"/>
  <c r="AH101" i="35"/>
  <c r="AF100" i="35"/>
  <c r="AE100" i="35"/>
  <c r="AD100" i="35"/>
  <c r="AC100" i="35"/>
  <c r="AB100" i="35"/>
  <c r="AA100" i="35"/>
  <c r="Z100" i="35"/>
  <c r="Y100" i="35"/>
  <c r="X100" i="35"/>
  <c r="W100" i="35"/>
  <c r="V100" i="35"/>
  <c r="U100" i="35"/>
  <c r="T100" i="35"/>
  <c r="S100" i="35"/>
  <c r="R100" i="35"/>
  <c r="Q100" i="35"/>
  <c r="D100" i="35"/>
  <c r="C100" i="35"/>
  <c r="AI99" i="35"/>
  <c r="AH99" i="35"/>
  <c r="AI98" i="35"/>
  <c r="AH98" i="35"/>
  <c r="AI97" i="35"/>
  <c r="AH97" i="35"/>
  <c r="AI96" i="35"/>
  <c r="AH96" i="35"/>
  <c r="AI95" i="35"/>
  <c r="AH95" i="35"/>
  <c r="AI94" i="35"/>
  <c r="AH94" i="35"/>
  <c r="AI93" i="35"/>
  <c r="AH93" i="35"/>
  <c r="AI92" i="35"/>
  <c r="AH92" i="35"/>
  <c r="AI91" i="35"/>
  <c r="AH91" i="35"/>
  <c r="AI88" i="35"/>
  <c r="AH88" i="35"/>
  <c r="AF87" i="35"/>
  <c r="AE87" i="35"/>
  <c r="AD87" i="35"/>
  <c r="AC87" i="35"/>
  <c r="AB87" i="35"/>
  <c r="AA87" i="35"/>
  <c r="Z87" i="35"/>
  <c r="Y87" i="35"/>
  <c r="X87" i="35"/>
  <c r="W87" i="35"/>
  <c r="V87" i="35"/>
  <c r="U87" i="35"/>
  <c r="T87" i="35"/>
  <c r="S87" i="35"/>
  <c r="R87" i="35"/>
  <c r="Q87" i="35"/>
  <c r="P87" i="35"/>
  <c r="O87" i="35"/>
  <c r="N87" i="35"/>
  <c r="M87" i="35"/>
  <c r="L87" i="35"/>
  <c r="K87" i="35"/>
  <c r="J87" i="35"/>
  <c r="I87" i="35"/>
  <c r="H87" i="35"/>
  <c r="G87" i="35"/>
  <c r="F87" i="35"/>
  <c r="E87" i="35"/>
  <c r="D87" i="35"/>
  <c r="C87" i="35"/>
  <c r="B87" i="35"/>
  <c r="AF86" i="35"/>
  <c r="AE86" i="35"/>
  <c r="AD86" i="35"/>
  <c r="AC86" i="35"/>
  <c r="AB86" i="35"/>
  <c r="AA86" i="35"/>
  <c r="Z86" i="35"/>
  <c r="Y86" i="35"/>
  <c r="X86" i="35"/>
  <c r="W86" i="35"/>
  <c r="V86" i="35"/>
  <c r="U86" i="35"/>
  <c r="T86" i="35"/>
  <c r="S86" i="35"/>
  <c r="R86" i="35"/>
  <c r="Q86" i="35"/>
  <c r="P86" i="35"/>
  <c r="O86" i="35"/>
  <c r="N86" i="35"/>
  <c r="M86" i="35"/>
  <c r="L86" i="35"/>
  <c r="K86" i="35"/>
  <c r="J86" i="35"/>
  <c r="I86" i="35"/>
  <c r="H86" i="35"/>
  <c r="G86" i="35"/>
  <c r="F86" i="35"/>
  <c r="E86" i="35"/>
  <c r="D86" i="35"/>
  <c r="C86" i="35"/>
  <c r="B86" i="35"/>
  <c r="AF85" i="35"/>
  <c r="AE85" i="35"/>
  <c r="AD85" i="35"/>
  <c r="AC85" i="35"/>
  <c r="AB85" i="35"/>
  <c r="AA85" i="35"/>
  <c r="Z85" i="35"/>
  <c r="Y85" i="35"/>
  <c r="X85" i="35"/>
  <c r="W85" i="35"/>
  <c r="V85" i="35"/>
  <c r="U85" i="35"/>
  <c r="T85" i="35"/>
  <c r="S85" i="35"/>
  <c r="R85" i="35"/>
  <c r="Q85" i="35"/>
  <c r="P85" i="35"/>
  <c r="O85" i="35"/>
  <c r="N85" i="35"/>
  <c r="M85" i="35"/>
  <c r="L85" i="35"/>
  <c r="K85" i="35"/>
  <c r="J85" i="35"/>
  <c r="I85" i="35"/>
  <c r="H85" i="35"/>
  <c r="G85" i="35"/>
  <c r="F85" i="35"/>
  <c r="E85" i="35"/>
  <c r="D85" i="35"/>
  <c r="C85" i="35"/>
  <c r="B85" i="35"/>
  <c r="AF84" i="35"/>
  <c r="AE84" i="35"/>
  <c r="AD84" i="35"/>
  <c r="AC84" i="35"/>
  <c r="AB84" i="35"/>
  <c r="AA84" i="35"/>
  <c r="Z84" i="35"/>
  <c r="Y84" i="35"/>
  <c r="X84" i="35"/>
  <c r="W84" i="35"/>
  <c r="V84" i="35"/>
  <c r="U84" i="35"/>
  <c r="T84" i="35"/>
  <c r="S84" i="35"/>
  <c r="R84" i="35"/>
  <c r="Q84" i="35"/>
  <c r="P84" i="35"/>
  <c r="O84" i="35"/>
  <c r="N84" i="35"/>
  <c r="M84" i="35"/>
  <c r="L84" i="35"/>
  <c r="K84" i="35"/>
  <c r="J84" i="35"/>
  <c r="I84" i="35"/>
  <c r="H84" i="35"/>
  <c r="G84" i="35"/>
  <c r="F84" i="35"/>
  <c r="E84" i="35"/>
  <c r="D84" i="35"/>
  <c r="C84" i="35"/>
  <c r="B84" i="35"/>
  <c r="AF83" i="35"/>
  <c r="AE83" i="35"/>
  <c r="AD83" i="35"/>
  <c r="AC83" i="35"/>
  <c r="AB83" i="35"/>
  <c r="AA83" i="35"/>
  <c r="Z83" i="35"/>
  <c r="Y83" i="35"/>
  <c r="X83" i="35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AI80" i="35"/>
  <c r="AH80" i="35"/>
  <c r="AI78" i="35"/>
  <c r="AH78" i="35"/>
  <c r="AG78" i="35"/>
  <c r="AI77" i="35"/>
  <c r="AH77" i="35"/>
  <c r="AI76" i="35"/>
  <c r="AH76" i="35"/>
  <c r="AI75" i="35"/>
  <c r="AH75" i="35"/>
  <c r="AG74" i="35"/>
  <c r="AF74" i="35"/>
  <c r="AE74" i="35"/>
  <c r="AD5" i="35" s="1"/>
  <c r="AD74" i="35"/>
  <c r="AC5" i="35" s="1"/>
  <c r="AC74" i="35"/>
  <c r="AB74" i="35"/>
  <c r="AA5" i="35" s="1"/>
  <c r="AA74" i="35"/>
  <c r="Z5" i="35" s="1"/>
  <c r="Z74" i="35"/>
  <c r="Y5" i="35" s="1"/>
  <c r="Y74" i="35"/>
  <c r="X5" i="35" s="1"/>
  <c r="X74" i="35"/>
  <c r="W5" i="35" s="1"/>
  <c r="W74" i="35"/>
  <c r="V5" i="35" s="1"/>
  <c r="V74" i="35"/>
  <c r="U74" i="35"/>
  <c r="T74" i="35"/>
  <c r="S5" i="35" s="1"/>
  <c r="S74" i="35"/>
  <c r="R5" i="35" s="1"/>
  <c r="R74" i="35"/>
  <c r="Q5" i="35" s="1"/>
  <c r="Q74" i="35"/>
  <c r="P74" i="35"/>
  <c r="O5" i="35" s="1"/>
  <c r="O74" i="35"/>
  <c r="N74" i="35"/>
  <c r="M5" i="35" s="1"/>
  <c r="M74" i="35"/>
  <c r="L74" i="35"/>
  <c r="K5" i="35" s="1"/>
  <c r="K74" i="35"/>
  <c r="J5" i="35" s="1"/>
  <c r="J74" i="35"/>
  <c r="I5" i="35" s="1"/>
  <c r="I74" i="35"/>
  <c r="H74" i="35"/>
  <c r="G5" i="35" s="1"/>
  <c r="G74" i="35"/>
  <c r="F5" i="35" s="1"/>
  <c r="F74" i="35"/>
  <c r="E5" i="35" s="1"/>
  <c r="E74" i="35"/>
  <c r="D5" i="35" s="1"/>
  <c r="D74" i="35"/>
  <c r="C5" i="35" s="1"/>
  <c r="C74" i="35"/>
  <c r="B5" i="35" s="1"/>
  <c r="B74" i="35"/>
  <c r="AF5" i="35" s="1"/>
  <c r="AI73" i="35"/>
  <c r="AH73" i="35"/>
  <c r="AI72" i="35"/>
  <c r="AH72" i="35"/>
  <c r="AI71" i="35"/>
  <c r="AH71" i="35"/>
  <c r="AI70" i="35"/>
  <c r="AH70" i="35"/>
  <c r="AI69" i="35"/>
  <c r="AH69" i="35"/>
  <c r="AI68" i="35"/>
  <c r="AH68" i="35"/>
  <c r="AI67" i="35"/>
  <c r="AH67" i="35"/>
  <c r="AI66" i="35"/>
  <c r="AH66" i="35"/>
  <c r="AI65" i="35"/>
  <c r="AH65" i="35"/>
  <c r="AI64" i="35"/>
  <c r="AH64" i="35"/>
  <c r="AI63" i="35"/>
  <c r="AH63" i="35"/>
  <c r="AG62" i="35"/>
  <c r="AF62" i="35"/>
  <c r="AE62" i="35"/>
  <c r="AD62" i="35"/>
  <c r="AC62" i="35"/>
  <c r="AB62" i="35"/>
  <c r="AA62" i="35"/>
  <c r="Z62" i="35"/>
  <c r="Y62" i="35"/>
  <c r="X62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AI61" i="35"/>
  <c r="AH61" i="35"/>
  <c r="AI60" i="35"/>
  <c r="AH60" i="35"/>
  <c r="AI59" i="35"/>
  <c r="AH59" i="35"/>
  <c r="AF58" i="35"/>
  <c r="AE58" i="35"/>
  <c r="AD58" i="35"/>
  <c r="AC58" i="35"/>
  <c r="AB58" i="35"/>
  <c r="AA58" i="35"/>
  <c r="Z58" i="35"/>
  <c r="Y58" i="35"/>
  <c r="X58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AI57" i="35"/>
  <c r="AH57" i="35"/>
  <c r="AI56" i="35"/>
  <c r="AH56" i="35"/>
  <c r="AI55" i="35"/>
  <c r="AH55" i="35"/>
  <c r="AI54" i="35"/>
  <c r="AH54" i="35"/>
  <c r="AI53" i="35"/>
  <c r="AH53" i="35"/>
  <c r="AI52" i="35"/>
  <c r="AH52" i="35"/>
  <c r="AI51" i="35"/>
  <c r="AH51" i="35"/>
  <c r="AI50" i="35"/>
  <c r="AH50" i="35"/>
  <c r="AI49" i="35"/>
  <c r="AH49" i="35"/>
  <c r="AI48" i="35"/>
  <c r="AH48" i="35"/>
  <c r="AI47" i="35"/>
  <c r="AH47" i="35"/>
  <c r="AI46" i="35"/>
  <c r="AH46" i="35"/>
  <c r="AI45" i="35"/>
  <c r="AH45" i="35"/>
  <c r="AG44" i="35"/>
  <c r="AF44" i="35"/>
  <c r="AE44" i="35"/>
  <c r="AD44" i="35"/>
  <c r="AC44" i="35"/>
  <c r="AB44" i="35"/>
  <c r="AA44" i="35"/>
  <c r="Z44" i="35"/>
  <c r="Y44" i="35"/>
  <c r="X44" i="35"/>
  <c r="W44" i="35"/>
  <c r="V44" i="35"/>
  <c r="U44" i="35"/>
  <c r="T44" i="35"/>
  <c r="S44" i="35"/>
  <c r="R44" i="35"/>
  <c r="Q44" i="35"/>
  <c r="P44" i="35"/>
  <c r="O44" i="35"/>
  <c r="N44" i="35"/>
  <c r="M44" i="35"/>
  <c r="L44" i="35"/>
  <c r="K44" i="35"/>
  <c r="J44" i="35"/>
  <c r="I44" i="35"/>
  <c r="H44" i="35"/>
  <c r="G44" i="35"/>
  <c r="F44" i="35"/>
  <c r="E44" i="35"/>
  <c r="D44" i="35"/>
  <c r="C44" i="35"/>
  <c r="B44" i="35"/>
  <c r="AI43" i="35"/>
  <c r="AH43" i="35"/>
  <c r="AI42" i="35"/>
  <c r="AH42" i="35"/>
  <c r="AI41" i="35"/>
  <c r="AH41" i="35"/>
  <c r="AG40" i="35"/>
  <c r="AF40" i="35"/>
  <c r="AE40" i="35"/>
  <c r="AD40" i="35"/>
  <c r="AC40" i="35"/>
  <c r="AB40" i="35"/>
  <c r="AA40" i="35"/>
  <c r="Z40" i="35"/>
  <c r="Y40" i="35"/>
  <c r="X40" i="35"/>
  <c r="W40" i="35"/>
  <c r="V40" i="35"/>
  <c r="U40" i="35"/>
  <c r="T40" i="35"/>
  <c r="S40" i="35"/>
  <c r="R40" i="35"/>
  <c r="Q40" i="35"/>
  <c r="P40" i="35"/>
  <c r="O40" i="35"/>
  <c r="N40" i="35"/>
  <c r="M40" i="35"/>
  <c r="L40" i="35"/>
  <c r="K40" i="35"/>
  <c r="J40" i="35"/>
  <c r="I40" i="35"/>
  <c r="H40" i="35"/>
  <c r="G40" i="35"/>
  <c r="F40" i="35"/>
  <c r="E40" i="35"/>
  <c r="D40" i="35"/>
  <c r="C40" i="35"/>
  <c r="B40" i="35"/>
  <c r="AI38" i="35"/>
  <c r="AH38" i="35"/>
  <c r="AI37" i="35"/>
  <c r="AH37" i="35"/>
  <c r="AI36" i="35"/>
  <c r="AH36" i="35"/>
  <c r="AI35" i="35"/>
  <c r="AH35" i="35"/>
  <c r="AI34" i="35"/>
  <c r="AH34" i="35"/>
  <c r="AI33" i="35"/>
  <c r="AH33" i="35"/>
  <c r="AI32" i="35"/>
  <c r="AH32" i="35"/>
  <c r="AI31" i="35"/>
  <c r="AH31" i="35"/>
  <c r="AI30" i="35"/>
  <c r="AH30" i="35"/>
  <c r="AI29" i="35"/>
  <c r="AH29" i="35"/>
  <c r="AI28" i="35"/>
  <c r="AH28" i="35"/>
  <c r="AI27" i="35"/>
  <c r="AH27" i="35"/>
  <c r="AI26" i="35"/>
  <c r="AH26" i="35"/>
  <c r="AI25" i="35"/>
  <c r="AH25" i="35"/>
  <c r="AI24" i="35"/>
  <c r="AH24" i="35"/>
  <c r="AI23" i="35"/>
  <c r="AH23" i="35"/>
  <c r="AI22" i="35"/>
  <c r="AH22" i="35"/>
  <c r="AI21" i="35"/>
  <c r="AH21" i="35"/>
  <c r="AI20" i="35"/>
  <c r="AH20" i="35"/>
  <c r="AI19" i="35"/>
  <c r="AH19" i="35"/>
  <c r="AI18" i="35"/>
  <c r="AH18" i="35"/>
  <c r="AI17" i="35"/>
  <c r="AH17" i="35"/>
  <c r="AI16" i="35"/>
  <c r="AH16" i="35"/>
  <c r="AI15" i="35"/>
  <c r="AH15" i="35"/>
  <c r="AI14" i="35"/>
  <c r="AH14" i="35"/>
  <c r="AI13" i="35"/>
  <c r="AH13" i="35"/>
  <c r="AI12" i="35"/>
  <c r="AH12" i="35"/>
  <c r="AI11" i="35"/>
  <c r="AH11" i="35"/>
  <c r="U5" i="35"/>
  <c r="H5" i="35"/>
  <c r="AG4" i="35"/>
  <c r="K4" i="35"/>
  <c r="B4" i="35"/>
  <c r="S235" i="35" s="1"/>
  <c r="AG2" i="35"/>
  <c r="AE39" i="34"/>
  <c r="AD39" i="34"/>
  <c r="AC39" i="34"/>
  <c r="AB39" i="34"/>
  <c r="AA103" i="34"/>
  <c r="AA39" i="34"/>
  <c r="Z103" i="34"/>
  <c r="Z39" i="34"/>
  <c r="Y103" i="34"/>
  <c r="X103" i="34"/>
  <c r="X39" i="34"/>
  <c r="W103" i="34"/>
  <c r="W100" i="34" s="1"/>
  <c r="W39" i="34"/>
  <c r="V103" i="34"/>
  <c r="V39" i="34"/>
  <c r="U103" i="34"/>
  <c r="U39" i="34"/>
  <c r="T103" i="34"/>
  <c r="T39" i="34"/>
  <c r="S103" i="34"/>
  <c r="S100" i="34" s="1"/>
  <c r="S39" i="34"/>
  <c r="R103" i="34"/>
  <c r="R39" i="34"/>
  <c r="Q103" i="34"/>
  <c r="Q39" i="34"/>
  <c r="P103" i="34"/>
  <c r="P39" i="34"/>
  <c r="O39" i="34"/>
  <c r="N39" i="34"/>
  <c r="M39" i="34"/>
  <c r="L103" i="34"/>
  <c r="L39" i="34"/>
  <c r="K103" i="34"/>
  <c r="AH103" i="34" s="1"/>
  <c r="J103" i="34"/>
  <c r="J39" i="34"/>
  <c r="K39" i="34"/>
  <c r="AI39" i="34" s="1"/>
  <c r="I39" i="34"/>
  <c r="H103" i="34"/>
  <c r="AF263" i="34"/>
  <c r="AE263" i="34"/>
  <c r="AD263" i="34"/>
  <c r="AC263" i="34"/>
  <c r="AB263" i="34"/>
  <c r="AA263" i="34"/>
  <c r="Z263" i="34"/>
  <c r="Y263" i="34"/>
  <c r="X263" i="34"/>
  <c r="W263" i="34"/>
  <c r="V263" i="34"/>
  <c r="U263" i="34"/>
  <c r="T263" i="34"/>
  <c r="S263" i="34"/>
  <c r="R263" i="34"/>
  <c r="Q263" i="34"/>
  <c r="P263" i="34"/>
  <c r="O263" i="34"/>
  <c r="N263" i="34"/>
  <c r="M263" i="34"/>
  <c r="L263" i="34"/>
  <c r="K263" i="34"/>
  <c r="J263" i="34"/>
  <c r="I263" i="34"/>
  <c r="H263" i="34"/>
  <c r="G263" i="34"/>
  <c r="F263" i="34"/>
  <c r="E263" i="34"/>
  <c r="D263" i="34"/>
  <c r="C263" i="34"/>
  <c r="B263" i="34"/>
  <c r="A263" i="34"/>
  <c r="AF262" i="34"/>
  <c r="AE262" i="34"/>
  <c r="AD262" i="34"/>
  <c r="AC262" i="34"/>
  <c r="AB262" i="34"/>
  <c r="AA262" i="34"/>
  <c r="Z262" i="34"/>
  <c r="Y262" i="34"/>
  <c r="X262" i="34"/>
  <c r="W262" i="34"/>
  <c r="V262" i="34"/>
  <c r="U262" i="34"/>
  <c r="T262" i="34"/>
  <c r="S262" i="34"/>
  <c r="R262" i="34"/>
  <c r="Q262" i="34"/>
  <c r="P262" i="34"/>
  <c r="O262" i="34"/>
  <c r="N262" i="34"/>
  <c r="M262" i="34"/>
  <c r="L262" i="34"/>
  <c r="K262" i="34"/>
  <c r="J262" i="34"/>
  <c r="I262" i="34"/>
  <c r="H262" i="34"/>
  <c r="G262" i="34"/>
  <c r="F262" i="34"/>
  <c r="E262" i="34"/>
  <c r="D262" i="34"/>
  <c r="C262" i="34"/>
  <c r="B262" i="34"/>
  <c r="A262" i="34"/>
  <c r="AF261" i="34"/>
  <c r="AE261" i="34"/>
  <c r="AD261" i="34"/>
  <c r="AC261" i="34"/>
  <c r="AB261" i="34"/>
  <c r="AA261" i="34"/>
  <c r="Z261" i="34"/>
  <c r="Y261" i="34"/>
  <c r="X261" i="34"/>
  <c r="W261" i="34"/>
  <c r="V261" i="34"/>
  <c r="U261" i="34"/>
  <c r="T261" i="34"/>
  <c r="S261" i="34"/>
  <c r="R261" i="34"/>
  <c r="Q261" i="34"/>
  <c r="P261" i="34"/>
  <c r="O261" i="34"/>
  <c r="N261" i="34"/>
  <c r="M261" i="34"/>
  <c r="L261" i="34"/>
  <c r="K261" i="34"/>
  <c r="J261" i="34"/>
  <c r="I261" i="34"/>
  <c r="H261" i="34"/>
  <c r="G261" i="34"/>
  <c r="F261" i="34"/>
  <c r="E261" i="34"/>
  <c r="D261" i="34"/>
  <c r="C261" i="34"/>
  <c r="B261" i="34"/>
  <c r="A261" i="34"/>
  <c r="AF260" i="34"/>
  <c r="AE260" i="34"/>
  <c r="AD260" i="34"/>
  <c r="AC260" i="34"/>
  <c r="AB260" i="34"/>
  <c r="AA260" i="34"/>
  <c r="Z260" i="34"/>
  <c r="Y260" i="34"/>
  <c r="X260" i="34"/>
  <c r="W260" i="34"/>
  <c r="V260" i="34"/>
  <c r="U260" i="34"/>
  <c r="T260" i="34"/>
  <c r="S260" i="34"/>
  <c r="R260" i="34"/>
  <c r="Q260" i="34"/>
  <c r="P260" i="34"/>
  <c r="O260" i="34"/>
  <c r="N260" i="34"/>
  <c r="M260" i="34"/>
  <c r="L260" i="34"/>
  <c r="K260" i="34"/>
  <c r="J260" i="34"/>
  <c r="I260" i="34"/>
  <c r="H260" i="34"/>
  <c r="G260" i="34"/>
  <c r="F260" i="34"/>
  <c r="E260" i="34"/>
  <c r="D260" i="34"/>
  <c r="C260" i="34"/>
  <c r="B260" i="34"/>
  <c r="A260" i="34"/>
  <c r="AE259" i="34"/>
  <c r="AD259" i="34"/>
  <c r="AC259" i="34"/>
  <c r="AB259" i="34"/>
  <c r="AA259" i="34"/>
  <c r="Z259" i="34"/>
  <c r="Y259" i="34"/>
  <c r="X259" i="34"/>
  <c r="W259" i="34"/>
  <c r="V259" i="34"/>
  <c r="U259" i="34"/>
  <c r="T259" i="34"/>
  <c r="S259" i="34"/>
  <c r="R259" i="34"/>
  <c r="Q259" i="34"/>
  <c r="P259" i="34"/>
  <c r="B259" i="34"/>
  <c r="S234" i="34"/>
  <c r="AG224" i="34"/>
  <c r="AF224" i="34"/>
  <c r="AE224" i="34"/>
  <c r="AD224" i="34"/>
  <c r="AC224" i="34"/>
  <c r="AB224" i="34"/>
  <c r="AA224" i="34"/>
  <c r="Z224" i="34"/>
  <c r="Y224" i="34"/>
  <c r="X224" i="34"/>
  <c r="W224" i="34"/>
  <c r="V224" i="34"/>
  <c r="U224" i="34"/>
  <c r="T224" i="34"/>
  <c r="S224" i="34"/>
  <c r="R224" i="34"/>
  <c r="Q224" i="34"/>
  <c r="C224" i="34"/>
  <c r="D223" i="34"/>
  <c r="C259" i="34" s="1"/>
  <c r="B223" i="34"/>
  <c r="AF259" i="34" s="1"/>
  <c r="D222" i="34"/>
  <c r="E222" i="34" s="1"/>
  <c r="F222" i="34" s="1"/>
  <c r="G222" i="34" s="1"/>
  <c r="H222" i="34" s="1"/>
  <c r="I222" i="34" s="1"/>
  <c r="J222" i="34" s="1"/>
  <c r="K222" i="34" s="1"/>
  <c r="L222" i="34" s="1"/>
  <c r="M222" i="34" s="1"/>
  <c r="N222" i="34" s="1"/>
  <c r="O222" i="34" s="1"/>
  <c r="P222" i="34" s="1"/>
  <c r="B222" i="34"/>
  <c r="D221" i="34"/>
  <c r="E221" i="34" s="1"/>
  <c r="F221" i="34" s="1"/>
  <c r="G221" i="34" s="1"/>
  <c r="H221" i="34" s="1"/>
  <c r="I221" i="34" s="1"/>
  <c r="J221" i="34" s="1"/>
  <c r="K221" i="34" s="1"/>
  <c r="L221" i="34" s="1"/>
  <c r="M221" i="34" s="1"/>
  <c r="N221" i="34" s="1"/>
  <c r="O221" i="34" s="1"/>
  <c r="P221" i="34" s="1"/>
  <c r="B221" i="34"/>
  <c r="E220" i="34"/>
  <c r="F220" i="34" s="1"/>
  <c r="G220" i="34" s="1"/>
  <c r="H220" i="34" s="1"/>
  <c r="I220" i="34" s="1"/>
  <c r="J220" i="34" s="1"/>
  <c r="K220" i="34" s="1"/>
  <c r="L220" i="34" s="1"/>
  <c r="M220" i="34" s="1"/>
  <c r="N220" i="34" s="1"/>
  <c r="O220" i="34" s="1"/>
  <c r="P220" i="34" s="1"/>
  <c r="D220" i="34"/>
  <c r="B220" i="34"/>
  <c r="D219" i="34"/>
  <c r="E219" i="34" s="1"/>
  <c r="F219" i="34" s="1"/>
  <c r="G219" i="34" s="1"/>
  <c r="H219" i="34" s="1"/>
  <c r="I219" i="34" s="1"/>
  <c r="J219" i="34" s="1"/>
  <c r="K219" i="34" s="1"/>
  <c r="L219" i="34" s="1"/>
  <c r="M219" i="34" s="1"/>
  <c r="N219" i="34" s="1"/>
  <c r="O219" i="34" s="1"/>
  <c r="P219" i="34" s="1"/>
  <c r="B219" i="34"/>
  <c r="D218" i="34"/>
  <c r="E218" i="34" s="1"/>
  <c r="F218" i="34" s="1"/>
  <c r="B218" i="34"/>
  <c r="AG216" i="34"/>
  <c r="AF216" i="34"/>
  <c r="AE216" i="34"/>
  <c r="AD216" i="34"/>
  <c r="AC216" i="34"/>
  <c r="AB216" i="34"/>
  <c r="AA216" i="34"/>
  <c r="Z216" i="34"/>
  <c r="Y216" i="34"/>
  <c r="X216" i="34"/>
  <c r="W216" i="34"/>
  <c r="V216" i="34"/>
  <c r="U216" i="34"/>
  <c r="T216" i="34"/>
  <c r="S216" i="34"/>
  <c r="R216" i="34"/>
  <c r="Q216" i="34"/>
  <c r="P216" i="34"/>
  <c r="O216" i="34"/>
  <c r="N216" i="34"/>
  <c r="M216" i="34"/>
  <c r="L216" i="34"/>
  <c r="K216" i="34"/>
  <c r="J216" i="34"/>
  <c r="I216" i="34"/>
  <c r="H216" i="34"/>
  <c r="G216" i="34"/>
  <c r="F216" i="34"/>
  <c r="E216" i="34"/>
  <c r="D216" i="34"/>
  <c r="C216" i="34"/>
  <c r="B216" i="34"/>
  <c r="AI109" i="34"/>
  <c r="AH109" i="34"/>
  <c r="AI108" i="34"/>
  <c r="AH108" i="34"/>
  <c r="AI107" i="34"/>
  <c r="AH107" i="34"/>
  <c r="AI106" i="34"/>
  <c r="AH106" i="34"/>
  <c r="AI105" i="34"/>
  <c r="AH105" i="34"/>
  <c r="AI104" i="34"/>
  <c r="AH104" i="34"/>
  <c r="AI102" i="34"/>
  <c r="AH102" i="34"/>
  <c r="AI101" i="34"/>
  <c r="AH101" i="34"/>
  <c r="AF100" i="34"/>
  <c r="AE100" i="34"/>
  <c r="AD100" i="34"/>
  <c r="AC100" i="34"/>
  <c r="AB100" i="34"/>
  <c r="AA100" i="34"/>
  <c r="Z100" i="34"/>
  <c r="Y100" i="34"/>
  <c r="X100" i="34"/>
  <c r="V100" i="34"/>
  <c r="U100" i="34"/>
  <c r="T100" i="34"/>
  <c r="R100" i="34"/>
  <c r="Q100" i="34"/>
  <c r="C100" i="34"/>
  <c r="AI99" i="34"/>
  <c r="AH99" i="34"/>
  <c r="AI98" i="34"/>
  <c r="AH98" i="34"/>
  <c r="AI97" i="34"/>
  <c r="AH97" i="34"/>
  <c r="AI96" i="34"/>
  <c r="AH96" i="34"/>
  <c r="AI95" i="34"/>
  <c r="AH95" i="34"/>
  <c r="AI94" i="34"/>
  <c r="AH94" i="34"/>
  <c r="AI93" i="34"/>
  <c r="AH93" i="34"/>
  <c r="AI92" i="34"/>
  <c r="AH92" i="34"/>
  <c r="AI91" i="34"/>
  <c r="AH91" i="34"/>
  <c r="AI88" i="34"/>
  <c r="AH88" i="34"/>
  <c r="AF87" i="34"/>
  <c r="AE87" i="34"/>
  <c r="AD87" i="34"/>
  <c r="AC87" i="34"/>
  <c r="AB87" i="34"/>
  <c r="AA87" i="34"/>
  <c r="Z87" i="34"/>
  <c r="Y87" i="34"/>
  <c r="X87" i="34"/>
  <c r="W87" i="34"/>
  <c r="V87" i="34"/>
  <c r="U87" i="34"/>
  <c r="T87" i="34"/>
  <c r="S87" i="34"/>
  <c r="R87" i="34"/>
  <c r="Q87" i="34"/>
  <c r="P87" i="34"/>
  <c r="O87" i="34"/>
  <c r="N87" i="34"/>
  <c r="M87" i="34"/>
  <c r="L87" i="34"/>
  <c r="K87" i="34"/>
  <c r="J87" i="34"/>
  <c r="I87" i="34"/>
  <c r="H87" i="34"/>
  <c r="G87" i="34"/>
  <c r="F87" i="34"/>
  <c r="E87" i="34"/>
  <c r="D87" i="34"/>
  <c r="C87" i="34"/>
  <c r="B87" i="34"/>
  <c r="AF86" i="34"/>
  <c r="AE86" i="34"/>
  <c r="AD86" i="34"/>
  <c r="AC86" i="34"/>
  <c r="AB86" i="34"/>
  <c r="AA86" i="34"/>
  <c r="Z86" i="34"/>
  <c r="Y86" i="34"/>
  <c r="X86" i="34"/>
  <c r="W86" i="34"/>
  <c r="V86" i="34"/>
  <c r="U86" i="34"/>
  <c r="T86" i="34"/>
  <c r="S86" i="34"/>
  <c r="R86" i="34"/>
  <c r="Q86" i="34"/>
  <c r="P86" i="34"/>
  <c r="O86" i="34"/>
  <c r="N86" i="34"/>
  <c r="M86" i="34"/>
  <c r="L86" i="34"/>
  <c r="K86" i="34"/>
  <c r="J86" i="34"/>
  <c r="I86" i="34"/>
  <c r="H86" i="34"/>
  <c r="G86" i="34"/>
  <c r="F86" i="34"/>
  <c r="E86" i="34"/>
  <c r="D86" i="34"/>
  <c r="C86" i="34"/>
  <c r="B86" i="34"/>
  <c r="AF85" i="34"/>
  <c r="AE85" i="34"/>
  <c r="AD85" i="34"/>
  <c r="AC85" i="34"/>
  <c r="AB85" i="34"/>
  <c r="AA85" i="34"/>
  <c r="Z85" i="34"/>
  <c r="Y85" i="34"/>
  <c r="X85" i="34"/>
  <c r="W85" i="34"/>
  <c r="V85" i="34"/>
  <c r="U85" i="34"/>
  <c r="T85" i="34"/>
  <c r="S85" i="34"/>
  <c r="R85" i="34"/>
  <c r="Q85" i="34"/>
  <c r="P85" i="34"/>
  <c r="O85" i="34"/>
  <c r="N85" i="34"/>
  <c r="M85" i="34"/>
  <c r="L85" i="34"/>
  <c r="K85" i="34"/>
  <c r="J85" i="34"/>
  <c r="I85" i="34"/>
  <c r="H85" i="34"/>
  <c r="G85" i="34"/>
  <c r="F85" i="34"/>
  <c r="E85" i="34"/>
  <c r="D85" i="34"/>
  <c r="C85" i="34"/>
  <c r="B85" i="34"/>
  <c r="AF84" i="34"/>
  <c r="AE84" i="34"/>
  <c r="AD84" i="34"/>
  <c r="AC84" i="34"/>
  <c r="AB84" i="34"/>
  <c r="AA84" i="34"/>
  <c r="Z84" i="34"/>
  <c r="Y84" i="34"/>
  <c r="X84" i="34"/>
  <c r="W84" i="34"/>
  <c r="V84" i="34"/>
  <c r="U84" i="34"/>
  <c r="T84" i="34"/>
  <c r="S84" i="34"/>
  <c r="R84" i="34"/>
  <c r="Q84" i="34"/>
  <c r="P84" i="34"/>
  <c r="O84" i="34"/>
  <c r="N84" i="34"/>
  <c r="M84" i="34"/>
  <c r="L84" i="34"/>
  <c r="K84" i="34"/>
  <c r="J84" i="34"/>
  <c r="I84" i="34"/>
  <c r="H84" i="34"/>
  <c r="G84" i="34"/>
  <c r="F84" i="34"/>
  <c r="E84" i="34"/>
  <c r="D84" i="34"/>
  <c r="C84" i="34"/>
  <c r="B84" i="34"/>
  <c r="AF83" i="34"/>
  <c r="AE83" i="34"/>
  <c r="AD83" i="34"/>
  <c r="AC83" i="34"/>
  <c r="AB83" i="34"/>
  <c r="AA83" i="34"/>
  <c r="Z83" i="34"/>
  <c r="Y83" i="34"/>
  <c r="X83" i="34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AI80" i="34"/>
  <c r="AH80" i="34"/>
  <c r="AI78" i="34"/>
  <c r="AH78" i="34"/>
  <c r="AG78" i="34"/>
  <c r="AI77" i="34"/>
  <c r="AH77" i="34"/>
  <c r="AI76" i="34"/>
  <c r="AH76" i="34"/>
  <c r="AI75" i="34"/>
  <c r="AH75" i="34"/>
  <c r="AG74" i="34"/>
  <c r="AF74" i="34"/>
  <c r="AE5" i="34" s="1"/>
  <c r="AE74" i="34"/>
  <c r="AD5" i="34" s="1"/>
  <c r="AD74" i="34"/>
  <c r="AC5" i="34" s="1"/>
  <c r="AC74" i="34"/>
  <c r="AB74" i="34"/>
  <c r="AA5" i="34" s="1"/>
  <c r="AA74" i="34"/>
  <c r="Z5" i="34" s="1"/>
  <c r="Z74" i="34"/>
  <c r="Y5" i="34" s="1"/>
  <c r="Y74" i="34"/>
  <c r="X74" i="34"/>
  <c r="W5" i="34" s="1"/>
  <c r="W74" i="34"/>
  <c r="V5" i="34" s="1"/>
  <c r="V74" i="34"/>
  <c r="U5" i="34" s="1"/>
  <c r="U74" i="34"/>
  <c r="T74" i="34"/>
  <c r="S74" i="34"/>
  <c r="R74" i="34"/>
  <c r="Q74" i="34"/>
  <c r="P5" i="34" s="1"/>
  <c r="P74" i="34"/>
  <c r="O5" i="34" s="1"/>
  <c r="O74" i="34"/>
  <c r="N5" i="34" s="1"/>
  <c r="N74" i="34"/>
  <c r="M5" i="34" s="1"/>
  <c r="M74" i="34"/>
  <c r="L5" i="34" s="1"/>
  <c r="L74" i="34"/>
  <c r="K5" i="34" s="1"/>
  <c r="K74" i="34"/>
  <c r="J5" i="34" s="1"/>
  <c r="J74" i="34"/>
  <c r="I5" i="34" s="1"/>
  <c r="I74" i="34"/>
  <c r="H5" i="34" s="1"/>
  <c r="H74" i="34"/>
  <c r="G5" i="34" s="1"/>
  <c r="G74" i="34"/>
  <c r="F5" i="34" s="1"/>
  <c r="F74" i="34"/>
  <c r="E5" i="34" s="1"/>
  <c r="E74" i="34"/>
  <c r="D5" i="34" s="1"/>
  <c r="D74" i="34"/>
  <c r="C5" i="34" s="1"/>
  <c r="C74" i="34"/>
  <c r="B74" i="34"/>
  <c r="AF5" i="34" s="1"/>
  <c r="AI73" i="34"/>
  <c r="AH73" i="34"/>
  <c r="AI72" i="34"/>
  <c r="AH72" i="34"/>
  <c r="AI71" i="34"/>
  <c r="AH71" i="34"/>
  <c r="AI70" i="34"/>
  <c r="AH70" i="34"/>
  <c r="AI69" i="34"/>
  <c r="AH69" i="34"/>
  <c r="AI68" i="34"/>
  <c r="AH68" i="34"/>
  <c r="AI67" i="34"/>
  <c r="AH67" i="34"/>
  <c r="AI66" i="34"/>
  <c r="AH66" i="34"/>
  <c r="AI65" i="34"/>
  <c r="AH65" i="34"/>
  <c r="AI64" i="34"/>
  <c r="AH64" i="34"/>
  <c r="AI63" i="34"/>
  <c r="AH63" i="34"/>
  <c r="AG62" i="34"/>
  <c r="AF62" i="34"/>
  <c r="AE62" i="34"/>
  <c r="AD62" i="34"/>
  <c r="AC62" i="34"/>
  <c r="AB62" i="34"/>
  <c r="AA62" i="34"/>
  <c r="Z62" i="34"/>
  <c r="Y62" i="34"/>
  <c r="X62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AI61" i="34"/>
  <c r="AH61" i="34"/>
  <c r="AI60" i="34"/>
  <c r="AH60" i="34"/>
  <c r="AI59" i="34"/>
  <c r="AH59" i="34"/>
  <c r="AF58" i="34"/>
  <c r="AE58" i="34"/>
  <c r="AD58" i="34"/>
  <c r="AC58" i="34"/>
  <c r="AB58" i="34"/>
  <c r="AA58" i="34"/>
  <c r="Z58" i="34"/>
  <c r="Y58" i="34"/>
  <c r="X58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AI57" i="34"/>
  <c r="AH57" i="34"/>
  <c r="AG57" i="34"/>
  <c r="AG58" i="34" s="1"/>
  <c r="AG3" i="34" s="1"/>
  <c r="AI56" i="34"/>
  <c r="AH56" i="34"/>
  <c r="AI55" i="34"/>
  <c r="AH55" i="34"/>
  <c r="AI54" i="34"/>
  <c r="AH54" i="34"/>
  <c r="AI53" i="34"/>
  <c r="AH53" i="34"/>
  <c r="AI52" i="34"/>
  <c r="AH52" i="34"/>
  <c r="AI51" i="34"/>
  <c r="AH51" i="34"/>
  <c r="AI50" i="34"/>
  <c r="AH50" i="34"/>
  <c r="AI49" i="34"/>
  <c r="AH49" i="34"/>
  <c r="AI48" i="34"/>
  <c r="AH48" i="34"/>
  <c r="AI47" i="34"/>
  <c r="AH47" i="34"/>
  <c r="AI46" i="34"/>
  <c r="AH46" i="34"/>
  <c r="AI45" i="34"/>
  <c r="AH45" i="34"/>
  <c r="AG44" i="34"/>
  <c r="AF44" i="34"/>
  <c r="AE44" i="34"/>
  <c r="AD44" i="34"/>
  <c r="AC44" i="34"/>
  <c r="AB44" i="34"/>
  <c r="AA44" i="34"/>
  <c r="Z44" i="34"/>
  <c r="Y44" i="34"/>
  <c r="X44" i="34"/>
  <c r="W44" i="34"/>
  <c r="V44" i="34"/>
  <c r="U44" i="34"/>
  <c r="T44" i="34"/>
  <c r="S44" i="34"/>
  <c r="R44" i="34"/>
  <c r="Q44" i="34"/>
  <c r="P44" i="34"/>
  <c r="O44" i="34"/>
  <c r="N44" i="34"/>
  <c r="M44" i="34"/>
  <c r="L44" i="34"/>
  <c r="K44" i="34"/>
  <c r="J44" i="34"/>
  <c r="I44" i="34"/>
  <c r="H44" i="34"/>
  <c r="G44" i="34"/>
  <c r="F44" i="34"/>
  <c r="E44" i="34"/>
  <c r="D44" i="34"/>
  <c r="C44" i="34"/>
  <c r="B44" i="34"/>
  <c r="AI43" i="34"/>
  <c r="AH43" i="34"/>
  <c r="AI42" i="34"/>
  <c r="AH42" i="34"/>
  <c r="AI41" i="34"/>
  <c r="AH41" i="34"/>
  <c r="AG40" i="34"/>
  <c r="AF40" i="34"/>
  <c r="AE40" i="34"/>
  <c r="AD40" i="34"/>
  <c r="AC40" i="34"/>
  <c r="AB40" i="34"/>
  <c r="AA40" i="34"/>
  <c r="Z40" i="34"/>
  <c r="Y40" i="34"/>
  <c r="X40" i="34"/>
  <c r="W40" i="34"/>
  <c r="V40" i="34"/>
  <c r="U40" i="34"/>
  <c r="T40" i="34"/>
  <c r="S40" i="34"/>
  <c r="R40" i="34"/>
  <c r="Q40" i="34"/>
  <c r="P40" i="34"/>
  <c r="O40" i="34"/>
  <c r="N40" i="34"/>
  <c r="M40" i="34"/>
  <c r="L40" i="34"/>
  <c r="K40" i="34"/>
  <c r="J40" i="34"/>
  <c r="I40" i="34"/>
  <c r="H40" i="34"/>
  <c r="G40" i="34"/>
  <c r="F40" i="34"/>
  <c r="E40" i="34"/>
  <c r="D40" i="34"/>
  <c r="C40" i="34"/>
  <c r="B40" i="34"/>
  <c r="AI38" i="34"/>
  <c r="AH38" i="34"/>
  <c r="AI37" i="34"/>
  <c r="AH37" i="34"/>
  <c r="AI36" i="34"/>
  <c r="AH36" i="34"/>
  <c r="AI35" i="34"/>
  <c r="AH35" i="34"/>
  <c r="AI34" i="34"/>
  <c r="AH34" i="34"/>
  <c r="AI33" i="34"/>
  <c r="AH33" i="34"/>
  <c r="AI32" i="34"/>
  <c r="AH32" i="34"/>
  <c r="AI31" i="34"/>
  <c r="AH31" i="34"/>
  <c r="AI30" i="34"/>
  <c r="AH30" i="34"/>
  <c r="AI29" i="34"/>
  <c r="AH29" i="34"/>
  <c r="AI28" i="34"/>
  <c r="AH28" i="34"/>
  <c r="AI27" i="34"/>
  <c r="AH27" i="34"/>
  <c r="AI26" i="34"/>
  <c r="AH26" i="34"/>
  <c r="AI25" i="34"/>
  <c r="AH25" i="34"/>
  <c r="AI24" i="34"/>
  <c r="AH24" i="34"/>
  <c r="AI23" i="34"/>
  <c r="AH23" i="34"/>
  <c r="AI22" i="34"/>
  <c r="AH22" i="34"/>
  <c r="AI21" i="34"/>
  <c r="AH21" i="34"/>
  <c r="AI20" i="34"/>
  <c r="AH20" i="34"/>
  <c r="AI19" i="34"/>
  <c r="AH19" i="34"/>
  <c r="AI18" i="34"/>
  <c r="AH18" i="34"/>
  <c r="AI17" i="34"/>
  <c r="AH17" i="34"/>
  <c r="AI16" i="34"/>
  <c r="AH16" i="34"/>
  <c r="AI15" i="34"/>
  <c r="AH15" i="34"/>
  <c r="AI14" i="34"/>
  <c r="AH14" i="34"/>
  <c r="AI13" i="34"/>
  <c r="AH13" i="34"/>
  <c r="AI12" i="34"/>
  <c r="AH12" i="34"/>
  <c r="AI11" i="34"/>
  <c r="AH11" i="34"/>
  <c r="X5" i="34"/>
  <c r="AG4" i="34"/>
  <c r="K4" i="34"/>
  <c r="B4" i="34"/>
  <c r="S235" i="34" s="1"/>
  <c r="AG2" i="34"/>
  <c r="AD39" i="33"/>
  <c r="AC103" i="33"/>
  <c r="AC39" i="33"/>
  <c r="AB103" i="33"/>
  <c r="AB39" i="33"/>
  <c r="AA39" i="33"/>
  <c r="Z39" i="33"/>
  <c r="Y39" i="33"/>
  <c r="X39" i="33"/>
  <c r="W39" i="33"/>
  <c r="V39" i="33"/>
  <c r="U39" i="33"/>
  <c r="E4" i="35"/>
  <c r="E4" i="34"/>
  <c r="AG81" i="35" l="1"/>
  <c r="B100" i="35"/>
  <c r="J89" i="34"/>
  <c r="D100" i="34"/>
  <c r="V79" i="35"/>
  <c r="V81" i="35" s="1"/>
  <c r="V89" i="35"/>
  <c r="AD89" i="35"/>
  <c r="AD90" i="35" s="1"/>
  <c r="D224" i="35"/>
  <c r="W79" i="35"/>
  <c r="W81" i="35" s="1"/>
  <c r="AG6" i="35"/>
  <c r="H79" i="35"/>
  <c r="H81" i="35" s="1"/>
  <c r="AH39" i="35"/>
  <c r="AE79" i="35"/>
  <c r="AE81" i="35" s="1"/>
  <c r="AE89" i="35"/>
  <c r="AG6" i="34"/>
  <c r="AG79" i="35"/>
  <c r="AH100" i="37"/>
  <c r="AI100" i="37"/>
  <c r="B224" i="34"/>
  <c r="B224" i="35"/>
  <c r="W89" i="35"/>
  <c r="W90" i="35" s="1"/>
  <c r="AI103" i="34"/>
  <c r="M89" i="35"/>
  <c r="M82" i="35" s="1"/>
  <c r="AD79" i="35"/>
  <c r="AD81" i="35" s="1"/>
  <c r="AD7" i="35" s="1"/>
  <c r="AE90" i="35"/>
  <c r="AF89" i="35"/>
  <c r="AF90" i="35" s="1"/>
  <c r="AE5" i="35"/>
  <c r="AF79" i="35"/>
  <c r="AF81" i="35" s="1"/>
  <c r="AX238" i="35" s="1"/>
  <c r="AC89" i="35"/>
  <c r="AC90" i="35" s="1"/>
  <c r="AB5" i="35"/>
  <c r="AC79" i="35"/>
  <c r="AC81" i="35" s="1"/>
  <c r="AC7" i="35" s="1"/>
  <c r="AB89" i="35"/>
  <c r="AB79" i="35"/>
  <c r="AB81" i="35" s="1"/>
  <c r="AA89" i="35"/>
  <c r="AA79" i="35"/>
  <c r="AA81" i="35" s="1"/>
  <c r="Z89" i="35"/>
  <c r="Z79" i="35"/>
  <c r="Z81" i="35" s="1"/>
  <c r="Y79" i="35"/>
  <c r="Y81" i="35" s="1"/>
  <c r="Y7" i="35" s="1"/>
  <c r="Y89" i="35"/>
  <c r="Y90" i="35" s="1"/>
  <c r="X89" i="35"/>
  <c r="X90" i="35" s="1"/>
  <c r="X79" i="35"/>
  <c r="X81" i="35" s="1"/>
  <c r="V90" i="35"/>
  <c r="U89" i="35"/>
  <c r="U90" i="35" s="1"/>
  <c r="T5" i="35"/>
  <c r="U79" i="35"/>
  <c r="U81" i="35" s="1"/>
  <c r="U82" i="35" s="1"/>
  <c r="T89" i="35"/>
  <c r="T82" i="35" s="1"/>
  <c r="T79" i="35"/>
  <c r="T81" i="35" s="1"/>
  <c r="S89" i="35"/>
  <c r="S79" i="35"/>
  <c r="S81" i="35" s="1"/>
  <c r="AK238" i="35" s="1"/>
  <c r="R89" i="35"/>
  <c r="Q89" i="35"/>
  <c r="Q90" i="35" s="1"/>
  <c r="P5" i="35"/>
  <c r="P89" i="35"/>
  <c r="P90" i="35" s="1"/>
  <c r="P79" i="35"/>
  <c r="P81" i="35" s="1"/>
  <c r="P7" i="35" s="1"/>
  <c r="N5" i="35"/>
  <c r="O89" i="35"/>
  <c r="O90" i="35" s="1"/>
  <c r="N79" i="35"/>
  <c r="N81" i="35" s="1"/>
  <c r="N89" i="35"/>
  <c r="N90" i="35" s="1"/>
  <c r="R79" i="35"/>
  <c r="R81" i="35" s="1"/>
  <c r="R82" i="35" s="1"/>
  <c r="Q79" i="35"/>
  <c r="Q81" i="35" s="1"/>
  <c r="O79" i="35"/>
  <c r="O81" i="35" s="1"/>
  <c r="AG238" i="35" s="1"/>
  <c r="M90" i="35"/>
  <c r="L5" i="35"/>
  <c r="M79" i="35"/>
  <c r="M81" i="35" s="1"/>
  <c r="M7" i="35" s="1"/>
  <c r="J79" i="35"/>
  <c r="J81" i="35" s="1"/>
  <c r="AB238" i="35" s="1"/>
  <c r="K89" i="35"/>
  <c r="L89" i="35"/>
  <c r="K79" i="35"/>
  <c r="K81" i="35" s="1"/>
  <c r="K82" i="35" s="1"/>
  <c r="L79" i="35"/>
  <c r="L81" i="35" s="1"/>
  <c r="AD238" i="35" s="1"/>
  <c r="I89" i="35"/>
  <c r="I90" i="35" s="1"/>
  <c r="J89" i="35"/>
  <c r="I79" i="35"/>
  <c r="I81" i="35" s="1"/>
  <c r="H89" i="35"/>
  <c r="H82" i="35" s="1"/>
  <c r="AI39" i="35"/>
  <c r="E79" i="35"/>
  <c r="E81" i="35" s="1"/>
  <c r="E7" i="35" s="1"/>
  <c r="F89" i="35"/>
  <c r="F90" i="35" s="1"/>
  <c r="G89" i="35"/>
  <c r="G90" i="35" s="1"/>
  <c r="AI85" i="35"/>
  <c r="AI84" i="35"/>
  <c r="AI83" i="35"/>
  <c r="AH84" i="35"/>
  <c r="E89" i="35"/>
  <c r="E90" i="35" s="1"/>
  <c r="F79" i="35"/>
  <c r="F81" i="35" s="1"/>
  <c r="F7" i="35" s="1"/>
  <c r="G79" i="35"/>
  <c r="G81" i="35" s="1"/>
  <c r="AH44" i="35"/>
  <c r="D89" i="35"/>
  <c r="AI87" i="35"/>
  <c r="D79" i="35"/>
  <c r="D81" i="35" s="1"/>
  <c r="D82" i="35" s="1"/>
  <c r="AI86" i="35"/>
  <c r="C89" i="35"/>
  <c r="C90" i="35" s="1"/>
  <c r="AI62" i="35"/>
  <c r="AI58" i="35"/>
  <c r="C79" i="35"/>
  <c r="C81" i="35" s="1"/>
  <c r="C7" i="35" s="1"/>
  <c r="AH86" i="35"/>
  <c r="AI44" i="35"/>
  <c r="B79" i="35"/>
  <c r="AF79" i="34"/>
  <c r="AF81" i="34" s="1"/>
  <c r="AF7" i="34" s="1"/>
  <c r="H4" i="35"/>
  <c r="J7" i="35"/>
  <c r="K7" i="35"/>
  <c r="S7" i="35"/>
  <c r="S82" i="35"/>
  <c r="AA7" i="35"/>
  <c r="AS238" i="35"/>
  <c r="AA82" i="35"/>
  <c r="T7" i="35"/>
  <c r="AL238" i="35"/>
  <c r="AB7" i="35"/>
  <c r="AT238" i="35"/>
  <c r="AB82" i="35"/>
  <c r="W238" i="35"/>
  <c r="AE238" i="35"/>
  <c r="U7" i="35"/>
  <c r="AM238" i="35"/>
  <c r="B81" i="35"/>
  <c r="N7" i="35"/>
  <c r="AF238" i="35"/>
  <c r="N82" i="35"/>
  <c r="V7" i="35"/>
  <c r="AN238" i="35"/>
  <c r="V82" i="35"/>
  <c r="R7" i="35"/>
  <c r="AJ238" i="35"/>
  <c r="AO238" i="35"/>
  <c r="W82" i="35"/>
  <c r="W7" i="35"/>
  <c r="AW238" i="35"/>
  <c r="AE82" i="35"/>
  <c r="AE7" i="35"/>
  <c r="J90" i="35"/>
  <c r="R90" i="35"/>
  <c r="Z90" i="35"/>
  <c r="G218" i="35"/>
  <c r="Z7" i="35"/>
  <c r="AR238" i="35"/>
  <c r="Z82" i="35"/>
  <c r="H7" i="35"/>
  <c r="Z238" i="35"/>
  <c r="X7" i="35"/>
  <c r="AP238" i="35"/>
  <c r="X82" i="35"/>
  <c r="AF7" i="35"/>
  <c r="AF82" i="35"/>
  <c r="K90" i="35"/>
  <c r="S90" i="35"/>
  <c r="AA90" i="35"/>
  <c r="AA238" i="35"/>
  <c r="Q7" i="35"/>
  <c r="AI238" i="35"/>
  <c r="Q82" i="35"/>
  <c r="D90" i="35"/>
  <c r="L90" i="35"/>
  <c r="T90" i="35"/>
  <c r="AB90" i="35"/>
  <c r="F219" i="35"/>
  <c r="G219" i="35" s="1"/>
  <c r="H219" i="35" s="1"/>
  <c r="I219" i="35" s="1"/>
  <c r="J219" i="35" s="1"/>
  <c r="K219" i="35" s="1"/>
  <c r="L219" i="35" s="1"/>
  <c r="M219" i="35" s="1"/>
  <c r="N219" i="35" s="1"/>
  <c r="O219" i="35" s="1"/>
  <c r="P219" i="35" s="1"/>
  <c r="D235" i="35"/>
  <c r="AH58" i="35"/>
  <c r="AH62" i="35"/>
  <c r="AH74" i="35"/>
  <c r="E223" i="35"/>
  <c r="AI74" i="35"/>
  <c r="AH83" i="35"/>
  <c r="B89" i="35"/>
  <c r="AH40" i="35"/>
  <c r="AH85" i="35"/>
  <c r="AI40" i="35"/>
  <c r="AH87" i="35"/>
  <c r="AE89" i="34"/>
  <c r="AE90" i="34" s="1"/>
  <c r="AE79" i="34"/>
  <c r="AE81" i="34" s="1"/>
  <c r="AW238" i="34" s="1"/>
  <c r="AD79" i="34"/>
  <c r="AD81" i="34" s="1"/>
  <c r="AB79" i="34"/>
  <c r="AB81" i="34" s="1"/>
  <c r="AT238" i="34" s="1"/>
  <c r="AA79" i="34"/>
  <c r="AA81" i="34" s="1"/>
  <c r="AA82" i="34" s="1"/>
  <c r="Z79" i="34"/>
  <c r="Z81" i="34" s="1"/>
  <c r="Z89" i="34"/>
  <c r="Z90" i="34" s="1"/>
  <c r="X79" i="34"/>
  <c r="X81" i="34" s="1"/>
  <c r="W89" i="34"/>
  <c r="W90" i="34" s="1"/>
  <c r="W79" i="34"/>
  <c r="W81" i="34" s="1"/>
  <c r="W7" i="34" s="1"/>
  <c r="V79" i="34"/>
  <c r="V81" i="34" s="1"/>
  <c r="AG81" i="34"/>
  <c r="Y89" i="34"/>
  <c r="Y90" i="34" s="1"/>
  <c r="Y79" i="34"/>
  <c r="Y81" i="34" s="1"/>
  <c r="K89" i="34"/>
  <c r="K90" i="34" s="1"/>
  <c r="AA89" i="34"/>
  <c r="AA90" i="34" s="1"/>
  <c r="U89" i="34"/>
  <c r="U90" i="34" s="1"/>
  <c r="D224" i="34"/>
  <c r="AB89" i="34"/>
  <c r="AC89" i="34"/>
  <c r="AC90" i="34" s="1"/>
  <c r="T5" i="34"/>
  <c r="AB5" i="34"/>
  <c r="AC79" i="34"/>
  <c r="AC81" i="34" s="1"/>
  <c r="AU238" i="34" s="1"/>
  <c r="V89" i="34"/>
  <c r="V90" i="34" s="1"/>
  <c r="AD89" i="34"/>
  <c r="G89" i="34"/>
  <c r="X89" i="34"/>
  <c r="X82" i="34" s="1"/>
  <c r="AF89" i="34"/>
  <c r="AB90" i="34"/>
  <c r="U79" i="34"/>
  <c r="U81" i="34" s="1"/>
  <c r="T89" i="34"/>
  <c r="T90" i="34" s="1"/>
  <c r="S5" i="34"/>
  <c r="T79" i="34"/>
  <c r="T81" i="34" s="1"/>
  <c r="S89" i="34"/>
  <c r="S90" i="34" s="1"/>
  <c r="R5" i="34"/>
  <c r="S79" i="34"/>
  <c r="S81" i="34" s="1"/>
  <c r="S7" i="34" s="1"/>
  <c r="R89" i="34"/>
  <c r="R90" i="34" s="1"/>
  <c r="Q5" i="34"/>
  <c r="R79" i="34"/>
  <c r="R81" i="34" s="1"/>
  <c r="AJ238" i="34" s="1"/>
  <c r="Q89" i="34"/>
  <c r="Q90" i="34" s="1"/>
  <c r="Q79" i="34"/>
  <c r="Q81" i="34" s="1"/>
  <c r="P89" i="34"/>
  <c r="P79" i="34"/>
  <c r="P81" i="34" s="1"/>
  <c r="P82" i="34" s="1"/>
  <c r="O89" i="34"/>
  <c r="O90" i="34" s="1"/>
  <c r="O79" i="34"/>
  <c r="O81" i="34" s="1"/>
  <c r="AG238" i="34" s="1"/>
  <c r="AH39" i="34"/>
  <c r="N89" i="34"/>
  <c r="N90" i="34" s="1"/>
  <c r="N79" i="34"/>
  <c r="N81" i="34" s="1"/>
  <c r="N7" i="34" s="1"/>
  <c r="M89" i="34"/>
  <c r="M90" i="34" s="1"/>
  <c r="M79" i="34"/>
  <c r="M81" i="34" s="1"/>
  <c r="M7" i="34" s="1"/>
  <c r="L89" i="34"/>
  <c r="L90" i="34" s="1"/>
  <c r="L79" i="34"/>
  <c r="L81" i="34" s="1"/>
  <c r="J90" i="34"/>
  <c r="J79" i="34"/>
  <c r="J81" i="34" s="1"/>
  <c r="AB238" i="34" s="1"/>
  <c r="K79" i="34"/>
  <c r="K81" i="34" s="1"/>
  <c r="AC238" i="34" s="1"/>
  <c r="I89" i="34"/>
  <c r="I90" i="34" s="1"/>
  <c r="I79" i="34"/>
  <c r="I81" i="34" s="1"/>
  <c r="AA238" i="34" s="1"/>
  <c r="F89" i="34"/>
  <c r="F90" i="34" s="1"/>
  <c r="AI86" i="34"/>
  <c r="G79" i="34"/>
  <c r="G81" i="34" s="1"/>
  <c r="G82" i="34" s="1"/>
  <c r="H89" i="34"/>
  <c r="H90" i="34" s="1"/>
  <c r="AI85" i="34"/>
  <c r="G90" i="34"/>
  <c r="E89" i="34"/>
  <c r="E90" i="34" s="1"/>
  <c r="H79" i="34"/>
  <c r="H81" i="34" s="1"/>
  <c r="F79" i="34"/>
  <c r="F81" i="34" s="1"/>
  <c r="AI44" i="34"/>
  <c r="AI58" i="34"/>
  <c r="AI83" i="34"/>
  <c r="D89" i="34"/>
  <c r="D90" i="34" s="1"/>
  <c r="AI87" i="34"/>
  <c r="AI84" i="34"/>
  <c r="C89" i="34"/>
  <c r="C90" i="34" s="1"/>
  <c r="AH84" i="34"/>
  <c r="C79" i="34"/>
  <c r="C81" i="34" s="1"/>
  <c r="U238" i="34" s="1"/>
  <c r="B5" i="34"/>
  <c r="E79" i="34"/>
  <c r="E81" i="34" s="1"/>
  <c r="E7" i="34" s="1"/>
  <c r="AI62" i="34"/>
  <c r="D79" i="34"/>
  <c r="D81" i="34" s="1"/>
  <c r="D7" i="34" s="1"/>
  <c r="AI40" i="34"/>
  <c r="H4" i="34"/>
  <c r="V7" i="34"/>
  <c r="AN238" i="34"/>
  <c r="AD7" i="34"/>
  <c r="AV238" i="34"/>
  <c r="AD82" i="34"/>
  <c r="O82" i="34"/>
  <c r="P7" i="34"/>
  <c r="AH238" i="34"/>
  <c r="AX238" i="34"/>
  <c r="AF82" i="34"/>
  <c r="X7" i="34"/>
  <c r="AP238" i="34"/>
  <c r="Q7" i="34"/>
  <c r="AI238" i="34"/>
  <c r="Y7" i="34"/>
  <c r="AQ238" i="34"/>
  <c r="AG79" i="34"/>
  <c r="R7" i="34"/>
  <c r="Z7" i="34"/>
  <c r="AR238" i="34"/>
  <c r="Z82" i="34"/>
  <c r="AD90" i="34"/>
  <c r="G218" i="34"/>
  <c r="AA7" i="34"/>
  <c r="AS238" i="34"/>
  <c r="U7" i="34"/>
  <c r="AM238" i="34"/>
  <c r="T7" i="34"/>
  <c r="AL238" i="34"/>
  <c r="AB7" i="34"/>
  <c r="AB82" i="34"/>
  <c r="P90" i="34"/>
  <c r="AF90" i="34"/>
  <c r="D235" i="34"/>
  <c r="AH58" i="34"/>
  <c r="AH62" i="34"/>
  <c r="AH74" i="34"/>
  <c r="E223" i="34"/>
  <c r="AI74" i="34"/>
  <c r="AH83" i="34"/>
  <c r="B89" i="34"/>
  <c r="B90" i="34" s="1"/>
  <c r="AH40" i="34"/>
  <c r="AH44" i="34"/>
  <c r="B79" i="34"/>
  <c r="AH85" i="34"/>
  <c r="AH86" i="34"/>
  <c r="AH87" i="34"/>
  <c r="B100" i="34"/>
  <c r="T39" i="33"/>
  <c r="S103" i="33"/>
  <c r="S39" i="33"/>
  <c r="R103" i="33"/>
  <c r="R39" i="33"/>
  <c r="Q103" i="33"/>
  <c r="Q39" i="33"/>
  <c r="P103" i="33"/>
  <c r="P39" i="33"/>
  <c r="W82" i="34" l="1"/>
  <c r="V82" i="34"/>
  <c r="AO238" i="34"/>
  <c r="AE7" i="34"/>
  <c r="O7" i="34"/>
  <c r="AD82" i="35"/>
  <c r="AE82" i="34"/>
  <c r="N82" i="34"/>
  <c r="Y82" i="35"/>
  <c r="AV238" i="35"/>
  <c r="T82" i="34"/>
  <c r="Q82" i="34"/>
  <c r="AF238" i="34"/>
  <c r="AQ238" i="35"/>
  <c r="P82" i="35"/>
  <c r="AC82" i="35"/>
  <c r="H90" i="35"/>
  <c r="AH238" i="35"/>
  <c r="AU238" i="35"/>
  <c r="E82" i="35"/>
  <c r="L82" i="35"/>
  <c r="I82" i="35"/>
  <c r="R82" i="34"/>
  <c r="X90" i="34"/>
  <c r="AI90" i="34" s="1"/>
  <c r="L7" i="35"/>
  <c r="G82" i="35"/>
  <c r="J82" i="35"/>
  <c r="O7" i="35"/>
  <c r="O82" i="35"/>
  <c r="AC238" i="35"/>
  <c r="B233" i="35"/>
  <c r="I7" i="35"/>
  <c r="X238" i="35"/>
  <c r="Y238" i="35"/>
  <c r="G7" i="35"/>
  <c r="C233" i="35"/>
  <c r="F82" i="35"/>
  <c r="AH79" i="35"/>
  <c r="V238" i="35"/>
  <c r="D7" i="35"/>
  <c r="AI79" i="35"/>
  <c r="C82" i="35"/>
  <c r="U238" i="35"/>
  <c r="H218" i="35"/>
  <c r="B7" i="35"/>
  <c r="T238" i="35"/>
  <c r="B82" i="35"/>
  <c r="AI81" i="35"/>
  <c r="AH81" i="35"/>
  <c r="D259" i="35"/>
  <c r="F223" i="35"/>
  <c r="E100" i="35"/>
  <c r="AI89" i="35"/>
  <c r="AH89" i="35"/>
  <c r="E224" i="35"/>
  <c r="B90" i="35"/>
  <c r="AC7" i="34"/>
  <c r="Y82" i="34"/>
  <c r="S82" i="34"/>
  <c r="U82" i="34"/>
  <c r="Y238" i="34"/>
  <c r="L82" i="34"/>
  <c r="AK238" i="34"/>
  <c r="F82" i="34"/>
  <c r="H82" i="34"/>
  <c r="AC82" i="34"/>
  <c r="AD238" i="34"/>
  <c r="G7" i="34"/>
  <c r="M82" i="34"/>
  <c r="AE238" i="34"/>
  <c r="J7" i="34"/>
  <c r="L7" i="34"/>
  <c r="K82" i="34"/>
  <c r="K7" i="34"/>
  <c r="J82" i="34"/>
  <c r="I82" i="34"/>
  <c r="I7" i="34"/>
  <c r="X238" i="34"/>
  <c r="C233" i="34"/>
  <c r="B233" i="34"/>
  <c r="Z238" i="34"/>
  <c r="H7" i="34"/>
  <c r="F7" i="34"/>
  <c r="E82" i="34"/>
  <c r="W238" i="34"/>
  <c r="D82" i="34"/>
  <c r="V238" i="34"/>
  <c r="C82" i="34"/>
  <c r="C7" i="34"/>
  <c r="AI79" i="34"/>
  <c r="AH79" i="34"/>
  <c r="B81" i="34"/>
  <c r="D259" i="34"/>
  <c r="F223" i="34"/>
  <c r="E100" i="34"/>
  <c r="AI89" i="34"/>
  <c r="AH89" i="34"/>
  <c r="E224" i="34"/>
  <c r="H218" i="34"/>
  <c r="O103" i="33"/>
  <c r="O39" i="33"/>
  <c r="N103" i="33"/>
  <c r="N39" i="33"/>
  <c r="M103" i="33"/>
  <c r="M39" i="33"/>
  <c r="K103" i="33"/>
  <c r="K39" i="33"/>
  <c r="J103" i="33"/>
  <c r="J39" i="33"/>
  <c r="I103" i="33"/>
  <c r="I39" i="33"/>
  <c r="H103" i="33"/>
  <c r="H39" i="33"/>
  <c r="G103" i="33"/>
  <c r="G39" i="33"/>
  <c r="F103" i="33"/>
  <c r="F39" i="33"/>
  <c r="AI39" i="33" s="1"/>
  <c r="E103" i="33"/>
  <c r="AI103" i="33" s="1"/>
  <c r="E39" i="33"/>
  <c r="D103" i="33"/>
  <c r="C103" i="33"/>
  <c r="C39" i="33"/>
  <c r="B103" i="33"/>
  <c r="AF263" i="33"/>
  <c r="AE263" i="33"/>
  <c r="AD263" i="33"/>
  <c r="AC263" i="33"/>
  <c r="AB263" i="33"/>
  <c r="AA263" i="33"/>
  <c r="Z263" i="33"/>
  <c r="Y263" i="33"/>
  <c r="X263" i="33"/>
  <c r="W263" i="33"/>
  <c r="V263" i="33"/>
  <c r="U263" i="33"/>
  <c r="T263" i="33"/>
  <c r="S263" i="33"/>
  <c r="R263" i="33"/>
  <c r="Q263" i="33"/>
  <c r="P263" i="33"/>
  <c r="O263" i="33"/>
  <c r="N263" i="33"/>
  <c r="M263" i="33"/>
  <c r="L263" i="33"/>
  <c r="K263" i="33"/>
  <c r="J263" i="33"/>
  <c r="I263" i="33"/>
  <c r="H263" i="33"/>
  <c r="G263" i="33"/>
  <c r="F263" i="33"/>
  <c r="E263" i="33"/>
  <c r="D263" i="33"/>
  <c r="C263" i="33"/>
  <c r="B263" i="33"/>
  <c r="A263" i="33"/>
  <c r="AF262" i="33"/>
  <c r="AE262" i="33"/>
  <c r="AD262" i="33"/>
  <c r="AC262" i="33"/>
  <c r="AB262" i="33"/>
  <c r="AA262" i="33"/>
  <c r="Z262" i="33"/>
  <c r="Y262" i="33"/>
  <c r="X262" i="33"/>
  <c r="W262" i="33"/>
  <c r="V262" i="33"/>
  <c r="U262" i="33"/>
  <c r="T262" i="33"/>
  <c r="S262" i="33"/>
  <c r="R262" i="33"/>
  <c r="Q262" i="33"/>
  <c r="P262" i="33"/>
  <c r="O262" i="33"/>
  <c r="N262" i="33"/>
  <c r="M262" i="33"/>
  <c r="L262" i="33"/>
  <c r="K262" i="33"/>
  <c r="J262" i="33"/>
  <c r="I262" i="33"/>
  <c r="H262" i="33"/>
  <c r="G262" i="33"/>
  <c r="F262" i="33"/>
  <c r="E262" i="33"/>
  <c r="D262" i="33"/>
  <c r="C262" i="33"/>
  <c r="B262" i="33"/>
  <c r="A262" i="33"/>
  <c r="AF261" i="33"/>
  <c r="AE261" i="33"/>
  <c r="AD261" i="33"/>
  <c r="AC261" i="33"/>
  <c r="AB261" i="33"/>
  <c r="AA261" i="33"/>
  <c r="Z261" i="33"/>
  <c r="Y261" i="33"/>
  <c r="X261" i="33"/>
  <c r="W261" i="33"/>
  <c r="V261" i="33"/>
  <c r="U261" i="33"/>
  <c r="T261" i="33"/>
  <c r="S261" i="33"/>
  <c r="R261" i="33"/>
  <c r="Q261" i="33"/>
  <c r="P261" i="33"/>
  <c r="O261" i="33"/>
  <c r="N261" i="33"/>
  <c r="M261" i="33"/>
  <c r="L261" i="33"/>
  <c r="K261" i="33"/>
  <c r="J261" i="33"/>
  <c r="I261" i="33"/>
  <c r="H261" i="33"/>
  <c r="G261" i="33"/>
  <c r="F261" i="33"/>
  <c r="E261" i="33"/>
  <c r="D261" i="33"/>
  <c r="C261" i="33"/>
  <c r="B261" i="33"/>
  <c r="A261" i="33"/>
  <c r="AF260" i="33"/>
  <c r="AE260" i="33"/>
  <c r="AD260" i="33"/>
  <c r="AC260" i="33"/>
  <c r="AB260" i="33"/>
  <c r="AA260" i="33"/>
  <c r="Z260" i="33"/>
  <c r="Y260" i="33"/>
  <c r="X260" i="33"/>
  <c r="W260" i="33"/>
  <c r="V260" i="33"/>
  <c r="U260" i="33"/>
  <c r="T260" i="33"/>
  <c r="S260" i="33"/>
  <c r="R260" i="33"/>
  <c r="Q260" i="33"/>
  <c r="P260" i="33"/>
  <c r="O260" i="33"/>
  <c r="N260" i="33"/>
  <c r="M260" i="33"/>
  <c r="L260" i="33"/>
  <c r="K260" i="33"/>
  <c r="J260" i="33"/>
  <c r="I260" i="33"/>
  <c r="H260" i="33"/>
  <c r="G260" i="33"/>
  <c r="F260" i="33"/>
  <c r="E260" i="33"/>
  <c r="D260" i="33"/>
  <c r="C260" i="33"/>
  <c r="B260" i="33"/>
  <c r="A260" i="33"/>
  <c r="AE259" i="33"/>
  <c r="AD259" i="33"/>
  <c r="AC259" i="33"/>
  <c r="AB259" i="33"/>
  <c r="AA259" i="33"/>
  <c r="Z259" i="33"/>
  <c r="Y259" i="33"/>
  <c r="X259" i="33"/>
  <c r="W259" i="33"/>
  <c r="V259" i="33"/>
  <c r="U259" i="33"/>
  <c r="T259" i="33"/>
  <c r="S259" i="33"/>
  <c r="R259" i="33"/>
  <c r="Q259" i="33"/>
  <c r="P259" i="33"/>
  <c r="C259" i="33"/>
  <c r="B259" i="33"/>
  <c r="S234" i="33"/>
  <c r="AG224" i="33"/>
  <c r="AG57" i="33" s="1"/>
  <c r="AF224" i="33"/>
  <c r="AE224" i="33"/>
  <c r="AD224" i="33"/>
  <c r="AC224" i="33"/>
  <c r="AB224" i="33"/>
  <c r="AA224" i="33"/>
  <c r="Z224" i="33"/>
  <c r="Y224" i="33"/>
  <c r="X224" i="33"/>
  <c r="W224" i="33"/>
  <c r="V224" i="33"/>
  <c r="U224" i="33"/>
  <c r="T224" i="33"/>
  <c r="S224" i="33"/>
  <c r="R224" i="33"/>
  <c r="Q224" i="33"/>
  <c r="C224" i="33"/>
  <c r="D223" i="33"/>
  <c r="E223" i="33" s="1"/>
  <c r="B223" i="33"/>
  <c r="AF259" i="33" s="1"/>
  <c r="D222" i="33"/>
  <c r="E222" i="33" s="1"/>
  <c r="F222" i="33" s="1"/>
  <c r="G222" i="33" s="1"/>
  <c r="H222" i="33" s="1"/>
  <c r="I222" i="33" s="1"/>
  <c r="J222" i="33" s="1"/>
  <c r="K222" i="33" s="1"/>
  <c r="L222" i="33" s="1"/>
  <c r="M222" i="33" s="1"/>
  <c r="N222" i="33" s="1"/>
  <c r="O222" i="33" s="1"/>
  <c r="P222" i="33" s="1"/>
  <c r="B222" i="33"/>
  <c r="D221" i="33"/>
  <c r="E221" i="33" s="1"/>
  <c r="F221" i="33" s="1"/>
  <c r="G221" i="33" s="1"/>
  <c r="H221" i="33" s="1"/>
  <c r="I221" i="33" s="1"/>
  <c r="J221" i="33" s="1"/>
  <c r="K221" i="33" s="1"/>
  <c r="L221" i="33" s="1"/>
  <c r="M221" i="33" s="1"/>
  <c r="N221" i="33" s="1"/>
  <c r="O221" i="33" s="1"/>
  <c r="P221" i="33" s="1"/>
  <c r="B221" i="33"/>
  <c r="E220" i="33"/>
  <c r="F220" i="33" s="1"/>
  <c r="G220" i="33" s="1"/>
  <c r="H220" i="33" s="1"/>
  <c r="I220" i="33" s="1"/>
  <c r="J220" i="33" s="1"/>
  <c r="K220" i="33" s="1"/>
  <c r="L220" i="33" s="1"/>
  <c r="M220" i="33" s="1"/>
  <c r="N220" i="33" s="1"/>
  <c r="O220" i="33" s="1"/>
  <c r="P220" i="33" s="1"/>
  <c r="D220" i="33"/>
  <c r="B220" i="33"/>
  <c r="D219" i="33"/>
  <c r="E219" i="33" s="1"/>
  <c r="F219" i="33" s="1"/>
  <c r="G219" i="33" s="1"/>
  <c r="H219" i="33" s="1"/>
  <c r="I219" i="33" s="1"/>
  <c r="J219" i="33" s="1"/>
  <c r="K219" i="33" s="1"/>
  <c r="L219" i="33" s="1"/>
  <c r="M219" i="33" s="1"/>
  <c r="N219" i="33" s="1"/>
  <c r="O219" i="33" s="1"/>
  <c r="P219" i="33" s="1"/>
  <c r="B219" i="33"/>
  <c r="D218" i="33"/>
  <c r="B218" i="33"/>
  <c r="B100" i="33" s="1"/>
  <c r="AG216" i="33"/>
  <c r="AF216" i="33"/>
  <c r="AE216" i="33"/>
  <c r="AD216" i="33"/>
  <c r="AC216" i="33"/>
  <c r="AB216" i="33"/>
  <c r="AA216" i="33"/>
  <c r="Z216" i="33"/>
  <c r="Y216" i="33"/>
  <c r="X216" i="33"/>
  <c r="W216" i="33"/>
  <c r="V216" i="33"/>
  <c r="U216" i="33"/>
  <c r="T216" i="33"/>
  <c r="S216" i="33"/>
  <c r="R216" i="33"/>
  <c r="Q216" i="33"/>
  <c r="P216" i="33"/>
  <c r="O216" i="33"/>
  <c r="N216" i="33"/>
  <c r="M216" i="33"/>
  <c r="L216" i="33"/>
  <c r="K216" i="33"/>
  <c r="J216" i="33"/>
  <c r="I216" i="33"/>
  <c r="H216" i="33"/>
  <c r="G216" i="33"/>
  <c r="F216" i="33"/>
  <c r="E216" i="33"/>
  <c r="D216" i="33"/>
  <c r="C216" i="33"/>
  <c r="B216" i="33"/>
  <c r="AI109" i="33"/>
  <c r="AH109" i="33"/>
  <c r="AI108" i="33"/>
  <c r="AH108" i="33"/>
  <c r="AI107" i="33"/>
  <c r="AH107" i="33"/>
  <c r="AI106" i="33"/>
  <c r="AH106" i="33"/>
  <c r="AI105" i="33"/>
  <c r="AH105" i="33"/>
  <c r="AI104" i="33"/>
  <c r="AH104" i="33"/>
  <c r="AI102" i="33"/>
  <c r="AH102" i="33"/>
  <c r="AI101" i="33"/>
  <c r="AH101" i="33"/>
  <c r="AF100" i="33"/>
  <c r="AE100" i="33"/>
  <c r="AD100" i="33"/>
  <c r="AC100" i="33"/>
  <c r="AB100" i="33"/>
  <c r="AA100" i="33"/>
  <c r="Z100" i="33"/>
  <c r="Y100" i="33"/>
  <c r="X100" i="33"/>
  <c r="W100" i="33"/>
  <c r="V100" i="33"/>
  <c r="U100" i="33"/>
  <c r="T100" i="33"/>
  <c r="S100" i="33"/>
  <c r="R100" i="33"/>
  <c r="Q100" i="33"/>
  <c r="C100" i="33"/>
  <c r="AI99" i="33"/>
  <c r="AH99" i="33"/>
  <c r="AI98" i="33"/>
  <c r="AH98" i="33"/>
  <c r="AI97" i="33"/>
  <c r="AH97" i="33"/>
  <c r="AI96" i="33"/>
  <c r="AH96" i="33"/>
  <c r="AI95" i="33"/>
  <c r="AH95" i="33"/>
  <c r="AI94" i="33"/>
  <c r="AH94" i="33"/>
  <c r="AI93" i="33"/>
  <c r="AH93" i="33"/>
  <c r="AI92" i="33"/>
  <c r="AH92" i="33"/>
  <c r="AI91" i="33"/>
  <c r="AH91" i="33"/>
  <c r="AI88" i="33"/>
  <c r="AH88" i="33"/>
  <c r="AF87" i="33"/>
  <c r="AE87" i="33"/>
  <c r="AD87" i="33"/>
  <c r="AC87" i="33"/>
  <c r="AB87" i="33"/>
  <c r="AA87" i="33"/>
  <c r="Z87" i="33"/>
  <c r="Y87" i="33"/>
  <c r="X87" i="33"/>
  <c r="W87" i="33"/>
  <c r="V87" i="33"/>
  <c r="U87" i="33"/>
  <c r="T87" i="33"/>
  <c r="S87" i="33"/>
  <c r="R87" i="33"/>
  <c r="Q87" i="33"/>
  <c r="P87" i="33"/>
  <c r="O87" i="33"/>
  <c r="N87" i="33"/>
  <c r="M87" i="33"/>
  <c r="L87" i="33"/>
  <c r="K87" i="33"/>
  <c r="J87" i="33"/>
  <c r="I87" i="33"/>
  <c r="H87" i="33"/>
  <c r="G87" i="33"/>
  <c r="F87" i="33"/>
  <c r="E87" i="33"/>
  <c r="D87" i="33"/>
  <c r="C87" i="33"/>
  <c r="B87" i="33"/>
  <c r="AF86" i="33"/>
  <c r="AE86" i="33"/>
  <c r="AD86" i="33"/>
  <c r="AC86" i="33"/>
  <c r="AB86" i="33"/>
  <c r="AA86" i="33"/>
  <c r="Z86" i="33"/>
  <c r="Y86" i="33"/>
  <c r="X86" i="33"/>
  <c r="W86" i="33"/>
  <c r="V86" i="33"/>
  <c r="U86" i="33"/>
  <c r="T86" i="33"/>
  <c r="S86" i="33"/>
  <c r="R86" i="33"/>
  <c r="Q86" i="33"/>
  <c r="P86" i="33"/>
  <c r="O86" i="33"/>
  <c r="N86" i="33"/>
  <c r="M86" i="33"/>
  <c r="L86" i="33"/>
  <c r="K86" i="33"/>
  <c r="J86" i="33"/>
  <c r="I86" i="33"/>
  <c r="H86" i="33"/>
  <c r="G86" i="33"/>
  <c r="F86" i="33"/>
  <c r="E86" i="33"/>
  <c r="D86" i="33"/>
  <c r="C86" i="33"/>
  <c r="B86" i="33"/>
  <c r="AF85" i="33"/>
  <c r="AE85" i="33"/>
  <c r="AD85" i="33"/>
  <c r="AC85" i="33"/>
  <c r="AB85" i="33"/>
  <c r="AA85" i="33"/>
  <c r="Z85" i="33"/>
  <c r="Y85" i="33"/>
  <c r="X85" i="33"/>
  <c r="W85" i="33"/>
  <c r="V85" i="33"/>
  <c r="U85" i="33"/>
  <c r="T85" i="33"/>
  <c r="S85" i="33"/>
  <c r="R85" i="33"/>
  <c r="Q85" i="33"/>
  <c r="P85" i="33"/>
  <c r="O85" i="33"/>
  <c r="N85" i="33"/>
  <c r="M85" i="33"/>
  <c r="L85" i="33"/>
  <c r="K85" i="33"/>
  <c r="J85" i="33"/>
  <c r="I85" i="33"/>
  <c r="H85" i="33"/>
  <c r="G85" i="33"/>
  <c r="F85" i="33"/>
  <c r="E85" i="33"/>
  <c r="E89" i="33" s="1"/>
  <c r="D85" i="33"/>
  <c r="C85" i="33"/>
  <c r="B85" i="33"/>
  <c r="AF84" i="33"/>
  <c r="AE84" i="33"/>
  <c r="AD84" i="33"/>
  <c r="AC84" i="33"/>
  <c r="AB84" i="33"/>
  <c r="AA84" i="33"/>
  <c r="Z84" i="33"/>
  <c r="Y84" i="33"/>
  <c r="X84" i="33"/>
  <c r="W84" i="33"/>
  <c r="V84" i="33"/>
  <c r="U84" i="33"/>
  <c r="T84" i="33"/>
  <c r="S84" i="33"/>
  <c r="R84" i="33"/>
  <c r="Q84" i="33"/>
  <c r="P84" i="33"/>
  <c r="O84" i="33"/>
  <c r="N84" i="33"/>
  <c r="M84" i="33"/>
  <c r="L84" i="33"/>
  <c r="K84" i="33"/>
  <c r="J84" i="33"/>
  <c r="I84" i="33"/>
  <c r="H84" i="33"/>
  <c r="G84" i="33"/>
  <c r="F84" i="33"/>
  <c r="E84" i="33"/>
  <c r="D84" i="33"/>
  <c r="C84" i="33"/>
  <c r="B84" i="33"/>
  <c r="AF83" i="33"/>
  <c r="AE83" i="33"/>
  <c r="AD83" i="33"/>
  <c r="AC83" i="33"/>
  <c r="AB83" i="33"/>
  <c r="AA83" i="33"/>
  <c r="Z83" i="33"/>
  <c r="Y83" i="33"/>
  <c r="X83" i="33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C89" i="33" s="1"/>
  <c r="B83" i="33"/>
  <c r="AI80" i="33"/>
  <c r="AH80" i="33"/>
  <c r="AI78" i="33"/>
  <c r="AH78" i="33"/>
  <c r="AG78" i="33"/>
  <c r="AI77" i="33"/>
  <c r="AH77" i="33"/>
  <c r="AI76" i="33"/>
  <c r="AH76" i="33"/>
  <c r="AI75" i="33"/>
  <c r="AH75" i="33"/>
  <c r="AG74" i="33"/>
  <c r="AF74" i="33"/>
  <c r="AE5" i="33" s="1"/>
  <c r="AE74" i="33"/>
  <c r="AD5" i="33" s="1"/>
  <c r="AD74" i="33"/>
  <c r="AC5" i="33" s="1"/>
  <c r="AC74" i="33"/>
  <c r="AB5" i="33" s="1"/>
  <c r="AB74" i="33"/>
  <c r="AA5" i="33" s="1"/>
  <c r="AA74" i="33"/>
  <c r="Z74" i="33"/>
  <c r="Y74" i="33"/>
  <c r="X5" i="33" s="1"/>
  <c r="X74" i="33"/>
  <c r="W5" i="33" s="1"/>
  <c r="W74" i="33"/>
  <c r="V5" i="33" s="1"/>
  <c r="V74" i="33"/>
  <c r="U5" i="33" s="1"/>
  <c r="U74" i="33"/>
  <c r="T5" i="33" s="1"/>
  <c r="T74" i="33"/>
  <c r="S5" i="33" s="1"/>
  <c r="S74" i="33"/>
  <c r="R74" i="33"/>
  <c r="Q74" i="33"/>
  <c r="P5" i="33" s="1"/>
  <c r="P74" i="33"/>
  <c r="O5" i="33" s="1"/>
  <c r="O74" i="33"/>
  <c r="N5" i="33" s="1"/>
  <c r="N74" i="33"/>
  <c r="M5" i="33" s="1"/>
  <c r="M74" i="33"/>
  <c r="L5" i="33" s="1"/>
  <c r="L74" i="33"/>
  <c r="K5" i="33" s="1"/>
  <c r="K74" i="33"/>
  <c r="J74" i="33"/>
  <c r="I5" i="33" s="1"/>
  <c r="I74" i="33"/>
  <c r="H74" i="33"/>
  <c r="G5" i="33" s="1"/>
  <c r="G74" i="33"/>
  <c r="F5" i="33" s="1"/>
  <c r="F74" i="33"/>
  <c r="E5" i="33" s="1"/>
  <c r="E74" i="33"/>
  <c r="D5" i="33" s="1"/>
  <c r="D74" i="33"/>
  <c r="C5" i="33" s="1"/>
  <c r="C74" i="33"/>
  <c r="B5" i="33" s="1"/>
  <c r="B74" i="33"/>
  <c r="AF5" i="33" s="1"/>
  <c r="AI73" i="33"/>
  <c r="AH73" i="33"/>
  <c r="AI72" i="33"/>
  <c r="AH72" i="33"/>
  <c r="AI71" i="33"/>
  <c r="AH71" i="33"/>
  <c r="AI70" i="33"/>
  <c r="AH70" i="33"/>
  <c r="AI69" i="33"/>
  <c r="AH69" i="33"/>
  <c r="AI68" i="33"/>
  <c r="AH68" i="33"/>
  <c r="AI67" i="33"/>
  <c r="AH67" i="33"/>
  <c r="AI66" i="33"/>
  <c r="AH66" i="33"/>
  <c r="AI65" i="33"/>
  <c r="AH65" i="33"/>
  <c r="AI64" i="33"/>
  <c r="AH64" i="33"/>
  <c r="AI63" i="33"/>
  <c r="AH63" i="33"/>
  <c r="AG62" i="33"/>
  <c r="AF62" i="33"/>
  <c r="AE62" i="33"/>
  <c r="AD62" i="33"/>
  <c r="AC62" i="33"/>
  <c r="AB62" i="33"/>
  <c r="AA62" i="33"/>
  <c r="Z62" i="33"/>
  <c r="Y62" i="33"/>
  <c r="X62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AI61" i="33"/>
  <c r="AH61" i="33"/>
  <c r="AI60" i="33"/>
  <c r="AH60" i="33"/>
  <c r="AI59" i="33"/>
  <c r="AH59" i="33"/>
  <c r="AG58" i="33"/>
  <c r="AG3" i="33" s="1"/>
  <c r="AF58" i="33"/>
  <c r="AE58" i="33"/>
  <c r="AD58" i="33"/>
  <c r="AC58" i="33"/>
  <c r="AB58" i="33"/>
  <c r="AA58" i="33"/>
  <c r="Z58" i="33"/>
  <c r="Y58" i="33"/>
  <c r="X58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AI57" i="33"/>
  <c r="AH57" i="33"/>
  <c r="AI56" i="33"/>
  <c r="AH56" i="33"/>
  <c r="AI55" i="33"/>
  <c r="AH55" i="33"/>
  <c r="AI54" i="33"/>
  <c r="AH54" i="33"/>
  <c r="AI53" i="33"/>
  <c r="AH53" i="33"/>
  <c r="AI52" i="33"/>
  <c r="AH52" i="33"/>
  <c r="AI51" i="33"/>
  <c r="AH51" i="33"/>
  <c r="AI50" i="33"/>
  <c r="AH50" i="33"/>
  <c r="AI49" i="33"/>
  <c r="AH49" i="33"/>
  <c r="AI48" i="33"/>
  <c r="AH48" i="33"/>
  <c r="AI47" i="33"/>
  <c r="AH47" i="33"/>
  <c r="AI46" i="33"/>
  <c r="AH46" i="33"/>
  <c r="AI45" i="33"/>
  <c r="AH45" i="33"/>
  <c r="AG44" i="33"/>
  <c r="AF44" i="33"/>
  <c r="AE44" i="33"/>
  <c r="AD44" i="33"/>
  <c r="AC44" i="33"/>
  <c r="AB44" i="33"/>
  <c r="AA44" i="33"/>
  <c r="Z44" i="33"/>
  <c r="Y44" i="33"/>
  <c r="X44" i="33"/>
  <c r="W44" i="33"/>
  <c r="V44" i="33"/>
  <c r="U44" i="33"/>
  <c r="T44" i="33"/>
  <c r="S44" i="33"/>
  <c r="R44" i="33"/>
  <c r="Q44" i="33"/>
  <c r="P44" i="33"/>
  <c r="O44" i="33"/>
  <c r="N44" i="33"/>
  <c r="M44" i="33"/>
  <c r="L44" i="33"/>
  <c r="K44" i="33"/>
  <c r="J44" i="33"/>
  <c r="I44" i="33"/>
  <c r="H44" i="33"/>
  <c r="G44" i="33"/>
  <c r="F44" i="33"/>
  <c r="E44" i="33"/>
  <c r="D44" i="33"/>
  <c r="C44" i="33"/>
  <c r="B44" i="33"/>
  <c r="AI43" i="33"/>
  <c r="AH43" i="33"/>
  <c r="AI42" i="33"/>
  <c r="AH42" i="33"/>
  <c r="AI41" i="33"/>
  <c r="AH41" i="33"/>
  <c r="AG40" i="33"/>
  <c r="AG79" i="33" s="1"/>
  <c r="AF40" i="33"/>
  <c r="AF79" i="33" s="1"/>
  <c r="AF81" i="33" s="1"/>
  <c r="AE40" i="33"/>
  <c r="AD40" i="33"/>
  <c r="AC40" i="33"/>
  <c r="AB40" i="33"/>
  <c r="AA40" i="33"/>
  <c r="Z40" i="33"/>
  <c r="Y40" i="33"/>
  <c r="X40" i="33"/>
  <c r="W40" i="33"/>
  <c r="V40" i="33"/>
  <c r="U40" i="33"/>
  <c r="T40" i="33"/>
  <c r="S40" i="33"/>
  <c r="R40" i="33"/>
  <c r="Q40" i="33"/>
  <c r="P40" i="33"/>
  <c r="O40" i="33"/>
  <c r="N40" i="33"/>
  <c r="M40" i="33"/>
  <c r="L40" i="33"/>
  <c r="K40" i="33"/>
  <c r="J40" i="33"/>
  <c r="I40" i="33"/>
  <c r="H40" i="33"/>
  <c r="G40" i="33"/>
  <c r="F40" i="33"/>
  <c r="E40" i="33"/>
  <c r="D40" i="33"/>
  <c r="C40" i="33"/>
  <c r="B40" i="33"/>
  <c r="AI38" i="33"/>
  <c r="AH38" i="33"/>
  <c r="AI37" i="33"/>
  <c r="AH37" i="33"/>
  <c r="AI36" i="33"/>
  <c r="AH36" i="33"/>
  <c r="AI35" i="33"/>
  <c r="AH35" i="33"/>
  <c r="AI34" i="33"/>
  <c r="AH34" i="33"/>
  <c r="AI33" i="33"/>
  <c r="AH33" i="33"/>
  <c r="AI32" i="33"/>
  <c r="AH32" i="33"/>
  <c r="AI31" i="33"/>
  <c r="AH31" i="33"/>
  <c r="AI30" i="33"/>
  <c r="AH30" i="33"/>
  <c r="AI29" i="33"/>
  <c r="AH29" i="33"/>
  <c r="AI28" i="33"/>
  <c r="AH28" i="33"/>
  <c r="AI27" i="33"/>
  <c r="AH27" i="33"/>
  <c r="AI26" i="33"/>
  <c r="AH26" i="33"/>
  <c r="AI25" i="33"/>
  <c r="AH25" i="33"/>
  <c r="AI24" i="33"/>
  <c r="AH24" i="33"/>
  <c r="AI23" i="33"/>
  <c r="AH23" i="33"/>
  <c r="AI22" i="33"/>
  <c r="AH22" i="33"/>
  <c r="AI21" i="33"/>
  <c r="AH21" i="33"/>
  <c r="AI20" i="33"/>
  <c r="AH20" i="33"/>
  <c r="AI19" i="33"/>
  <c r="AH19" i="33"/>
  <c r="AI18" i="33"/>
  <c r="AH18" i="33"/>
  <c r="AI17" i="33"/>
  <c r="AH17" i="33"/>
  <c r="AI16" i="33"/>
  <c r="AH16" i="33"/>
  <c r="AI15" i="33"/>
  <c r="AH15" i="33"/>
  <c r="AI14" i="33"/>
  <c r="AH14" i="33"/>
  <c r="AI13" i="33"/>
  <c r="AH13" i="33"/>
  <c r="AI12" i="33"/>
  <c r="AH12" i="33"/>
  <c r="AI11" i="33"/>
  <c r="AH11" i="33"/>
  <c r="Z5" i="33"/>
  <c r="AG4" i="33"/>
  <c r="K4" i="33"/>
  <c r="B4" i="33"/>
  <c r="AG2" i="33"/>
  <c r="AF103" i="32"/>
  <c r="AF39" i="32"/>
  <c r="AE103" i="32"/>
  <c r="AE39" i="32"/>
  <c r="E4" i="33"/>
  <c r="F223" i="33" l="1"/>
  <c r="D259" i="33"/>
  <c r="D89" i="33"/>
  <c r="AH103" i="33"/>
  <c r="R89" i="33"/>
  <c r="P89" i="33"/>
  <c r="L89" i="33"/>
  <c r="L90" i="33" s="1"/>
  <c r="AH90" i="34"/>
  <c r="AH39" i="33"/>
  <c r="AG6" i="33"/>
  <c r="A7" i="35"/>
  <c r="K6" i="35"/>
  <c r="AI90" i="35"/>
  <c r="AH90" i="35"/>
  <c r="AI82" i="35"/>
  <c r="AH82" i="35"/>
  <c r="E259" i="35"/>
  <c r="G223" i="35"/>
  <c r="F224" i="35"/>
  <c r="F100" i="35"/>
  <c r="I218" i="35"/>
  <c r="K6" i="34"/>
  <c r="E259" i="34"/>
  <c r="G223" i="34"/>
  <c r="F100" i="34"/>
  <c r="F224" i="34"/>
  <c r="B7" i="34"/>
  <c r="T238" i="34"/>
  <c r="B82" i="34"/>
  <c r="AI81" i="34"/>
  <c r="AH81" i="34"/>
  <c r="I218" i="34"/>
  <c r="AF89" i="33"/>
  <c r="AE79" i="33"/>
  <c r="AE81" i="33" s="1"/>
  <c r="AE89" i="33"/>
  <c r="AE90" i="33" s="1"/>
  <c r="AF90" i="33"/>
  <c r="AD79" i="33"/>
  <c r="AD81" i="33" s="1"/>
  <c r="AC89" i="33"/>
  <c r="AC79" i="33"/>
  <c r="AC81" i="33" s="1"/>
  <c r="AC7" i="33" s="1"/>
  <c r="AB79" i="33"/>
  <c r="AB81" i="33" s="1"/>
  <c r="AB82" i="33" s="1"/>
  <c r="AB89" i="33"/>
  <c r="AA89" i="33"/>
  <c r="AA90" i="33"/>
  <c r="AA79" i="33"/>
  <c r="AA81" i="33" s="1"/>
  <c r="AA7" i="33" s="1"/>
  <c r="Z89" i="33"/>
  <c r="Z90" i="33"/>
  <c r="Y5" i="33"/>
  <c r="Y89" i="33"/>
  <c r="Y90" i="33" s="1"/>
  <c r="Y79" i="33"/>
  <c r="Y81" i="33" s="1"/>
  <c r="X89" i="33"/>
  <c r="X90" i="33" s="1"/>
  <c r="W89" i="33"/>
  <c r="W90" i="33" s="1"/>
  <c r="W79" i="33"/>
  <c r="W81" i="33" s="1"/>
  <c r="AO238" i="33" s="1"/>
  <c r="U89" i="33"/>
  <c r="U79" i="33"/>
  <c r="U81" i="33" s="1"/>
  <c r="Z79" i="33"/>
  <c r="Z81" i="33" s="1"/>
  <c r="Z7" i="33" s="1"/>
  <c r="V79" i="33"/>
  <c r="V81" i="33" s="1"/>
  <c r="AN238" i="33" s="1"/>
  <c r="T89" i="33"/>
  <c r="X79" i="33"/>
  <c r="X81" i="33" s="1"/>
  <c r="AH62" i="33"/>
  <c r="T79" i="33"/>
  <c r="T81" i="33" s="1"/>
  <c r="AL238" i="33" s="1"/>
  <c r="S89" i="33"/>
  <c r="S90" i="33" s="1"/>
  <c r="R5" i="33"/>
  <c r="S79" i="33"/>
  <c r="S81" i="33" s="1"/>
  <c r="S82" i="33" s="1"/>
  <c r="R90" i="33"/>
  <c r="R79" i="33"/>
  <c r="R81" i="33" s="1"/>
  <c r="Q89" i="33"/>
  <c r="Q90" i="33" s="1"/>
  <c r="Q79" i="33"/>
  <c r="Q81" i="33" s="1"/>
  <c r="O89" i="33"/>
  <c r="O90" i="33" s="1"/>
  <c r="P79" i="33"/>
  <c r="P81" i="33" s="1"/>
  <c r="O79" i="33"/>
  <c r="O81" i="33" s="1"/>
  <c r="AG238" i="33" s="1"/>
  <c r="L79" i="33"/>
  <c r="L81" i="33" s="1"/>
  <c r="AD238" i="33" s="1"/>
  <c r="N79" i="33"/>
  <c r="N81" i="33" s="1"/>
  <c r="M89" i="33"/>
  <c r="M79" i="33"/>
  <c r="M81" i="33" s="1"/>
  <c r="M7" i="33" s="1"/>
  <c r="K89" i="33"/>
  <c r="K90" i="33" s="1"/>
  <c r="J5" i="33"/>
  <c r="K79" i="33"/>
  <c r="K81" i="33" s="1"/>
  <c r="AC238" i="33" s="1"/>
  <c r="J89" i="33"/>
  <c r="J90" i="33"/>
  <c r="J79" i="33"/>
  <c r="J81" i="33" s="1"/>
  <c r="J7" i="33" s="1"/>
  <c r="I89" i="33"/>
  <c r="I90" i="33" s="1"/>
  <c r="I79" i="33"/>
  <c r="I81" i="33" s="1"/>
  <c r="I82" i="33" s="1"/>
  <c r="H89" i="33"/>
  <c r="H90" i="33"/>
  <c r="H79" i="33"/>
  <c r="H81" i="33" s="1"/>
  <c r="G89" i="33"/>
  <c r="G90" i="33" s="1"/>
  <c r="G79" i="33"/>
  <c r="G81" i="33" s="1"/>
  <c r="G82" i="33" s="1"/>
  <c r="AI84" i="33"/>
  <c r="F79" i="33"/>
  <c r="F81" i="33" s="1"/>
  <c r="X238" i="33" s="1"/>
  <c r="AI85" i="33"/>
  <c r="AI86" i="33"/>
  <c r="E79" i="33"/>
  <c r="E81" i="33" s="1"/>
  <c r="E7" i="33" s="1"/>
  <c r="AI83" i="33"/>
  <c r="D79" i="33"/>
  <c r="D81" i="33" s="1"/>
  <c r="D7" i="33" s="1"/>
  <c r="AH44" i="33"/>
  <c r="C79" i="33"/>
  <c r="C81" i="33" s="1"/>
  <c r="C7" i="33" s="1"/>
  <c r="C90" i="33"/>
  <c r="AH85" i="33"/>
  <c r="AI58" i="33"/>
  <c r="AH40" i="33"/>
  <c r="B89" i="33"/>
  <c r="AH86" i="33"/>
  <c r="AI44" i="33"/>
  <c r="H4" i="33"/>
  <c r="Z82" i="33"/>
  <c r="AS238" i="33"/>
  <c r="AW238" i="33"/>
  <c r="AE82" i="33"/>
  <c r="AE7" i="33"/>
  <c r="S7" i="33"/>
  <c r="AF238" i="33"/>
  <c r="N7" i="33"/>
  <c r="AV238" i="33"/>
  <c r="AD7" i="33"/>
  <c r="AE238" i="33"/>
  <c r="M82" i="33"/>
  <c r="Y238" i="33"/>
  <c r="W7" i="33"/>
  <c r="I7" i="33"/>
  <c r="F7" i="33"/>
  <c r="AP238" i="33"/>
  <c r="X82" i="33"/>
  <c r="X7" i="33"/>
  <c r="AX238" i="33"/>
  <c r="AF82" i="33"/>
  <c r="AF7" i="33"/>
  <c r="R82" i="33"/>
  <c r="AJ238" i="33"/>
  <c r="R7" i="33"/>
  <c r="U7" i="33"/>
  <c r="AM238" i="33"/>
  <c r="U82" i="33"/>
  <c r="AI238" i="33"/>
  <c r="Q7" i="33"/>
  <c r="Q82" i="33"/>
  <c r="AQ238" i="33"/>
  <c r="Y7" i="33"/>
  <c r="S235" i="33"/>
  <c r="D235" i="33"/>
  <c r="AI40" i="33"/>
  <c r="AH238" i="33"/>
  <c r="P82" i="33"/>
  <c r="D224" i="33"/>
  <c r="D100" i="33"/>
  <c r="H5" i="33"/>
  <c r="Q5" i="33"/>
  <c r="B90" i="33"/>
  <c r="E218" i="33"/>
  <c r="Z238" i="33"/>
  <c r="F89" i="33"/>
  <c r="F90" i="33" s="1"/>
  <c r="N89" i="33"/>
  <c r="N82" i="33" s="1"/>
  <c r="V89" i="33"/>
  <c r="AD89" i="33"/>
  <c r="AD82" i="33" s="1"/>
  <c r="AH58" i="33"/>
  <c r="AI62" i="33"/>
  <c r="AI74" i="33"/>
  <c r="D90" i="33"/>
  <c r="T90" i="33"/>
  <c r="AB90" i="33"/>
  <c r="AH83" i="33"/>
  <c r="AH74" i="33"/>
  <c r="P7" i="33"/>
  <c r="E90" i="33"/>
  <c r="M90" i="33"/>
  <c r="U90" i="33"/>
  <c r="AC90" i="33"/>
  <c r="B79" i="33"/>
  <c r="AH84" i="33"/>
  <c r="AG81" i="33"/>
  <c r="AI87" i="33"/>
  <c r="P90" i="33"/>
  <c r="B224" i="33"/>
  <c r="AH87" i="33"/>
  <c r="AD39" i="32"/>
  <c r="AD103" i="32"/>
  <c r="AC103" i="32"/>
  <c r="AC39" i="32"/>
  <c r="AB103" i="32"/>
  <c r="AB39" i="32"/>
  <c r="AA103" i="32"/>
  <c r="Z103" i="32"/>
  <c r="Z100" i="32" s="1"/>
  <c r="AA39" i="32"/>
  <c r="Z39" i="32"/>
  <c r="Y103" i="32"/>
  <c r="Y39" i="32"/>
  <c r="X103" i="32"/>
  <c r="X39" i="32"/>
  <c r="W103" i="32"/>
  <c r="W39" i="32"/>
  <c r="V108" i="32"/>
  <c r="AI108" i="32" s="1"/>
  <c r="V104" i="32"/>
  <c r="V39" i="32"/>
  <c r="U103" i="32"/>
  <c r="U39" i="32"/>
  <c r="T103" i="32"/>
  <c r="T86" i="32"/>
  <c r="T39" i="32"/>
  <c r="S103" i="32"/>
  <c r="S100" i="32" s="1"/>
  <c r="S39" i="32"/>
  <c r="R103" i="32"/>
  <c r="R39" i="32"/>
  <c r="Q39" i="32"/>
  <c r="P103" i="32"/>
  <c r="P39" i="32"/>
  <c r="O103" i="32"/>
  <c r="O39" i="32"/>
  <c r="N103" i="32"/>
  <c r="N74" i="32"/>
  <c r="N39" i="32"/>
  <c r="M39" i="32"/>
  <c r="L39" i="32"/>
  <c r="K103" i="32"/>
  <c r="K39" i="32"/>
  <c r="J103" i="32"/>
  <c r="J39" i="32"/>
  <c r="I103" i="32"/>
  <c r="I39" i="32"/>
  <c r="H103" i="32"/>
  <c r="H39" i="32"/>
  <c r="G103" i="32"/>
  <c r="G39" i="32"/>
  <c r="F103" i="32"/>
  <c r="AI103" i="32" s="1"/>
  <c r="F39" i="32"/>
  <c r="E103" i="32"/>
  <c r="E39" i="32"/>
  <c r="D39" i="32"/>
  <c r="C39" i="32"/>
  <c r="B39" i="32"/>
  <c r="B40" i="32"/>
  <c r="AF263" i="32"/>
  <c r="AE263" i="32"/>
  <c r="AD263" i="32"/>
  <c r="AC263" i="32"/>
  <c r="AB263" i="32"/>
  <c r="AA263" i="32"/>
  <c r="Z263" i="32"/>
  <c r="Y263" i="32"/>
  <c r="X263" i="32"/>
  <c r="W263" i="32"/>
  <c r="V263" i="32"/>
  <c r="U263" i="32"/>
  <c r="T263" i="32"/>
  <c r="S263" i="32"/>
  <c r="R263" i="32"/>
  <c r="Q263" i="32"/>
  <c r="P263" i="32"/>
  <c r="O263" i="32"/>
  <c r="N263" i="32"/>
  <c r="M263" i="32"/>
  <c r="L263" i="32"/>
  <c r="K263" i="32"/>
  <c r="J263" i="32"/>
  <c r="I263" i="32"/>
  <c r="H263" i="32"/>
  <c r="G263" i="32"/>
  <c r="F263" i="32"/>
  <c r="E263" i="32"/>
  <c r="D263" i="32"/>
  <c r="C263" i="32"/>
  <c r="B263" i="32"/>
  <c r="A263" i="32"/>
  <c r="AF262" i="32"/>
  <c r="AE262" i="32"/>
  <c r="AD262" i="32"/>
  <c r="AC262" i="32"/>
  <c r="AB262" i="32"/>
  <c r="AA262" i="32"/>
  <c r="Z262" i="32"/>
  <c r="Y262" i="32"/>
  <c r="X262" i="32"/>
  <c r="W262" i="32"/>
  <c r="V262" i="32"/>
  <c r="U262" i="32"/>
  <c r="T262" i="32"/>
  <c r="S262" i="32"/>
  <c r="R262" i="32"/>
  <c r="Q262" i="32"/>
  <c r="P262" i="32"/>
  <c r="O262" i="32"/>
  <c r="N262" i="32"/>
  <c r="M262" i="32"/>
  <c r="L262" i="32"/>
  <c r="K262" i="32"/>
  <c r="J262" i="32"/>
  <c r="I262" i="32"/>
  <c r="H262" i="32"/>
  <c r="G262" i="32"/>
  <c r="F262" i="32"/>
  <c r="E262" i="32"/>
  <c r="D262" i="32"/>
  <c r="C262" i="32"/>
  <c r="B262" i="32"/>
  <c r="A262" i="32"/>
  <c r="AF261" i="32"/>
  <c r="AE261" i="32"/>
  <c r="AD261" i="32"/>
  <c r="AC261" i="32"/>
  <c r="AB261" i="32"/>
  <c r="AA261" i="32"/>
  <c r="Z261" i="32"/>
  <c r="Y261" i="32"/>
  <c r="X261" i="32"/>
  <c r="W261" i="32"/>
  <c r="V261" i="32"/>
  <c r="U261" i="32"/>
  <c r="T261" i="32"/>
  <c r="S261" i="32"/>
  <c r="R261" i="32"/>
  <c r="Q261" i="32"/>
  <c r="P261" i="32"/>
  <c r="O261" i="32"/>
  <c r="N261" i="32"/>
  <c r="M261" i="32"/>
  <c r="L261" i="32"/>
  <c r="K261" i="32"/>
  <c r="J261" i="32"/>
  <c r="I261" i="32"/>
  <c r="H261" i="32"/>
  <c r="G261" i="32"/>
  <c r="F261" i="32"/>
  <c r="E261" i="32"/>
  <c r="D261" i="32"/>
  <c r="C261" i="32"/>
  <c r="B261" i="32"/>
  <c r="A261" i="32"/>
  <c r="AF260" i="32"/>
  <c r="AE260" i="32"/>
  <c r="AD260" i="32"/>
  <c r="AC260" i="32"/>
  <c r="AB260" i="32"/>
  <c r="AA260" i="32"/>
  <c r="Z260" i="32"/>
  <c r="Y260" i="32"/>
  <c r="X260" i="32"/>
  <c r="W260" i="32"/>
  <c r="V260" i="32"/>
  <c r="U260" i="32"/>
  <c r="T260" i="32"/>
  <c r="S260" i="32"/>
  <c r="R260" i="32"/>
  <c r="Q260" i="32"/>
  <c r="P260" i="32"/>
  <c r="O260" i="32"/>
  <c r="N260" i="32"/>
  <c r="M260" i="32"/>
  <c r="L260" i="32"/>
  <c r="K260" i="32"/>
  <c r="J260" i="32"/>
  <c r="I260" i="32"/>
  <c r="H260" i="32"/>
  <c r="G260" i="32"/>
  <c r="F260" i="32"/>
  <c r="E260" i="32"/>
  <c r="D260" i="32"/>
  <c r="C260" i="32"/>
  <c r="B260" i="32"/>
  <c r="A260" i="32"/>
  <c r="AE259" i="32"/>
  <c r="AD259" i="32"/>
  <c r="AC259" i="32"/>
  <c r="AB259" i="32"/>
  <c r="AA259" i="32"/>
  <c r="Z259" i="32"/>
  <c r="Y259" i="32"/>
  <c r="X259" i="32"/>
  <c r="W259" i="32"/>
  <c r="V259" i="32"/>
  <c r="U259" i="32"/>
  <c r="T259" i="32"/>
  <c r="S259" i="32"/>
  <c r="R259" i="32"/>
  <c r="Q259" i="32"/>
  <c r="P259" i="32"/>
  <c r="C259" i="32"/>
  <c r="B259" i="32"/>
  <c r="S234" i="32"/>
  <c r="AG224" i="32"/>
  <c r="AG57" i="32" s="1"/>
  <c r="AG58" i="32" s="1"/>
  <c r="AG3" i="32" s="1"/>
  <c r="AF224" i="32"/>
  <c r="AE224" i="32"/>
  <c r="AD224" i="32"/>
  <c r="AC224" i="32"/>
  <c r="AB224" i="32"/>
  <c r="AA224" i="32"/>
  <c r="Z224" i="32"/>
  <c r="Y224" i="32"/>
  <c r="X224" i="32"/>
  <c r="W224" i="32"/>
  <c r="V224" i="32"/>
  <c r="U224" i="32"/>
  <c r="T224" i="32"/>
  <c r="S224" i="32"/>
  <c r="R224" i="32"/>
  <c r="Q224" i="32"/>
  <c r="C224" i="32"/>
  <c r="E223" i="32"/>
  <c r="D259" i="32" s="1"/>
  <c r="D223" i="32"/>
  <c r="B223" i="32"/>
  <c r="AF259" i="32" s="1"/>
  <c r="D222" i="32"/>
  <c r="E222" i="32" s="1"/>
  <c r="F222" i="32" s="1"/>
  <c r="G222" i="32" s="1"/>
  <c r="H222" i="32" s="1"/>
  <c r="I222" i="32" s="1"/>
  <c r="J222" i="32" s="1"/>
  <c r="K222" i="32" s="1"/>
  <c r="L222" i="32" s="1"/>
  <c r="M222" i="32" s="1"/>
  <c r="N222" i="32" s="1"/>
  <c r="O222" i="32" s="1"/>
  <c r="P222" i="32" s="1"/>
  <c r="B222" i="32"/>
  <c r="D221" i="32"/>
  <c r="E221" i="32" s="1"/>
  <c r="F221" i="32" s="1"/>
  <c r="G221" i="32" s="1"/>
  <c r="H221" i="32" s="1"/>
  <c r="I221" i="32" s="1"/>
  <c r="J221" i="32" s="1"/>
  <c r="K221" i="32" s="1"/>
  <c r="L221" i="32" s="1"/>
  <c r="M221" i="32" s="1"/>
  <c r="N221" i="32" s="1"/>
  <c r="O221" i="32" s="1"/>
  <c r="P221" i="32" s="1"/>
  <c r="B221" i="32"/>
  <c r="E220" i="32"/>
  <c r="F220" i="32" s="1"/>
  <c r="G220" i="32" s="1"/>
  <c r="H220" i="32" s="1"/>
  <c r="I220" i="32" s="1"/>
  <c r="J220" i="32" s="1"/>
  <c r="K220" i="32" s="1"/>
  <c r="L220" i="32" s="1"/>
  <c r="M220" i="32" s="1"/>
  <c r="N220" i="32" s="1"/>
  <c r="O220" i="32" s="1"/>
  <c r="P220" i="32" s="1"/>
  <c r="D220" i="32"/>
  <c r="B220" i="32"/>
  <c r="D219" i="32"/>
  <c r="E219" i="32" s="1"/>
  <c r="F219" i="32" s="1"/>
  <c r="G219" i="32" s="1"/>
  <c r="H219" i="32" s="1"/>
  <c r="I219" i="32" s="1"/>
  <c r="J219" i="32" s="1"/>
  <c r="K219" i="32" s="1"/>
  <c r="L219" i="32" s="1"/>
  <c r="M219" i="32" s="1"/>
  <c r="N219" i="32" s="1"/>
  <c r="O219" i="32" s="1"/>
  <c r="P219" i="32" s="1"/>
  <c r="B219" i="32"/>
  <c r="E218" i="32"/>
  <c r="E100" i="32" s="1"/>
  <c r="D218" i="32"/>
  <c r="B218" i="32"/>
  <c r="B100" i="32" s="1"/>
  <c r="AG216" i="32"/>
  <c r="AF216" i="32"/>
  <c r="AE216" i="32"/>
  <c r="AD216" i="32"/>
  <c r="AC216" i="32"/>
  <c r="AB216" i="32"/>
  <c r="AA216" i="32"/>
  <c r="Z216" i="32"/>
  <c r="Y216" i="32"/>
  <c r="X216" i="32"/>
  <c r="W216" i="32"/>
  <c r="V216" i="32"/>
  <c r="U216" i="32"/>
  <c r="T216" i="32"/>
  <c r="S216" i="32"/>
  <c r="R216" i="32"/>
  <c r="Q216" i="32"/>
  <c r="P216" i="32"/>
  <c r="O216" i="32"/>
  <c r="N216" i="32"/>
  <c r="M216" i="32"/>
  <c r="L216" i="32"/>
  <c r="K216" i="32"/>
  <c r="J216" i="32"/>
  <c r="I216" i="32"/>
  <c r="H216" i="32"/>
  <c r="G216" i="32"/>
  <c r="F216" i="32"/>
  <c r="E216" i="32"/>
  <c r="D216" i="32"/>
  <c r="C216" i="32"/>
  <c r="B216" i="32"/>
  <c r="AI109" i="32"/>
  <c r="AH109" i="32"/>
  <c r="AH108" i="32"/>
  <c r="AI107" i="32"/>
  <c r="AH107" i="32"/>
  <c r="AI106" i="32"/>
  <c r="AH106" i="32"/>
  <c r="AI105" i="32"/>
  <c r="AH105" i="32"/>
  <c r="AI104" i="32"/>
  <c r="AH104" i="32"/>
  <c r="AI102" i="32"/>
  <c r="AH102" i="32"/>
  <c r="AI101" i="32"/>
  <c r="AH101" i="32"/>
  <c r="AF100" i="32"/>
  <c r="AE100" i="32"/>
  <c r="AD100" i="32"/>
  <c r="AC100" i="32"/>
  <c r="AB100" i="32"/>
  <c r="AA100" i="32"/>
  <c r="Y100" i="32"/>
  <c r="X100" i="32"/>
  <c r="W100" i="32"/>
  <c r="V100" i="32"/>
  <c r="U100" i="32"/>
  <c r="T100" i="32"/>
  <c r="R100" i="32"/>
  <c r="Q100" i="32"/>
  <c r="C100" i="32"/>
  <c r="AI99" i="32"/>
  <c r="AH99" i="32"/>
  <c r="AI98" i="32"/>
  <c r="AH98" i="32"/>
  <c r="AI97" i="32"/>
  <c r="AH97" i="32"/>
  <c r="AI96" i="32"/>
  <c r="AH96" i="32"/>
  <c r="AI95" i="32"/>
  <c r="AH95" i="32"/>
  <c r="AI94" i="32"/>
  <c r="AH94" i="32"/>
  <c r="AI93" i="32"/>
  <c r="AH93" i="32"/>
  <c r="AI92" i="32"/>
  <c r="AH92" i="32"/>
  <c r="AI91" i="32"/>
  <c r="AH91" i="32"/>
  <c r="AI88" i="32"/>
  <c r="AH88" i="32"/>
  <c r="AF87" i="32"/>
  <c r="AE87" i="32"/>
  <c r="AD87" i="32"/>
  <c r="AC87" i="32"/>
  <c r="AB87" i="32"/>
  <c r="AA87" i="32"/>
  <c r="Z87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AF86" i="32"/>
  <c r="AE86" i="32"/>
  <c r="AD86" i="32"/>
  <c r="AC86" i="32"/>
  <c r="AB86" i="32"/>
  <c r="AA86" i="32"/>
  <c r="Z86" i="32"/>
  <c r="Y86" i="32"/>
  <c r="X86" i="32"/>
  <c r="W86" i="32"/>
  <c r="V86" i="32"/>
  <c r="U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AF85" i="32"/>
  <c r="AE85" i="32"/>
  <c r="AD85" i="32"/>
  <c r="AC85" i="32"/>
  <c r="AB85" i="32"/>
  <c r="AA85" i="32"/>
  <c r="Z85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AF84" i="32"/>
  <c r="AE84" i="32"/>
  <c r="AD84" i="32"/>
  <c r="AC84" i="32"/>
  <c r="AB84" i="32"/>
  <c r="AA84" i="32"/>
  <c r="Z84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AF83" i="32"/>
  <c r="AE83" i="32"/>
  <c r="AD83" i="32"/>
  <c r="AC83" i="32"/>
  <c r="AB83" i="32"/>
  <c r="AB89" i="32" s="1"/>
  <c r="AA83" i="32"/>
  <c r="Z83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AI80" i="32"/>
  <c r="AH80" i="32"/>
  <c r="AI78" i="32"/>
  <c r="AH78" i="32"/>
  <c r="AG78" i="32"/>
  <c r="AI77" i="32"/>
  <c r="AH77" i="32"/>
  <c r="AI76" i="32"/>
  <c r="AH76" i="32"/>
  <c r="AI75" i="32"/>
  <c r="AH75" i="32"/>
  <c r="AG74" i="32"/>
  <c r="AF74" i="32"/>
  <c r="AE74" i="32"/>
  <c r="AD74" i="32"/>
  <c r="AC74" i="32"/>
  <c r="AB74" i="32"/>
  <c r="AA5" i="32" s="1"/>
  <c r="AA74" i="32"/>
  <c r="Z5" i="32" s="1"/>
  <c r="Z74" i="32"/>
  <c r="Y5" i="32" s="1"/>
  <c r="Y74" i="32"/>
  <c r="X5" i="32" s="1"/>
  <c r="X74" i="32"/>
  <c r="W5" i="32" s="1"/>
  <c r="W74" i="32"/>
  <c r="V74" i="32"/>
  <c r="U74" i="32"/>
  <c r="T74" i="32"/>
  <c r="S74" i="32"/>
  <c r="R5" i="32" s="1"/>
  <c r="R74" i="32"/>
  <c r="Q5" i="32" s="1"/>
  <c r="Q74" i="32"/>
  <c r="P5" i="32" s="1"/>
  <c r="P74" i="32"/>
  <c r="O74" i="32"/>
  <c r="N5" i="32" s="1"/>
  <c r="M74" i="32"/>
  <c r="L5" i="32" s="1"/>
  <c r="L74" i="32"/>
  <c r="K74" i="32"/>
  <c r="J5" i="32" s="1"/>
  <c r="J74" i="32"/>
  <c r="I5" i="32" s="1"/>
  <c r="I74" i="32"/>
  <c r="H5" i="32" s="1"/>
  <c r="H74" i="32"/>
  <c r="G5" i="32" s="1"/>
  <c r="G74" i="32"/>
  <c r="F5" i="32" s="1"/>
  <c r="F74" i="32"/>
  <c r="E74" i="32"/>
  <c r="D74" i="32"/>
  <c r="C5" i="32" s="1"/>
  <c r="C74" i="32"/>
  <c r="B74" i="32"/>
  <c r="AF5" i="32" s="1"/>
  <c r="AI73" i="32"/>
  <c r="AH73" i="32"/>
  <c r="AI72" i="32"/>
  <c r="AH72" i="32"/>
  <c r="AI71" i="32"/>
  <c r="AH71" i="32"/>
  <c r="AI70" i="32"/>
  <c r="AH70" i="32"/>
  <c r="AI69" i="32"/>
  <c r="AH69" i="32"/>
  <c r="AI68" i="32"/>
  <c r="AH68" i="32"/>
  <c r="AI67" i="32"/>
  <c r="AH67" i="32"/>
  <c r="AI66" i="32"/>
  <c r="AH66" i="32"/>
  <c r="AI65" i="32"/>
  <c r="AH65" i="32"/>
  <c r="AI64" i="32"/>
  <c r="AH64" i="32"/>
  <c r="AI63" i="32"/>
  <c r="AH63" i="32"/>
  <c r="AG62" i="32"/>
  <c r="AF62" i="32"/>
  <c r="AE62" i="32"/>
  <c r="AD62" i="32"/>
  <c r="AC62" i="32"/>
  <c r="AB62" i="32"/>
  <c r="AA62" i="32"/>
  <c r="Z62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AI61" i="32"/>
  <c r="AH61" i="32"/>
  <c r="AI60" i="32"/>
  <c r="AH60" i="32"/>
  <c r="AI59" i="32"/>
  <c r="AH59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B58" i="32"/>
  <c r="AI57" i="32"/>
  <c r="AH57" i="32"/>
  <c r="AI56" i="32"/>
  <c r="AH56" i="32"/>
  <c r="AI55" i="32"/>
  <c r="AH55" i="32"/>
  <c r="AI54" i="32"/>
  <c r="AH54" i="32"/>
  <c r="AI53" i="32"/>
  <c r="AH53" i="32"/>
  <c r="AI52" i="32"/>
  <c r="AH52" i="32"/>
  <c r="AI51" i="32"/>
  <c r="AH51" i="32"/>
  <c r="AI50" i="32"/>
  <c r="AH50" i="32"/>
  <c r="AI49" i="32"/>
  <c r="AH49" i="32"/>
  <c r="AI48" i="32"/>
  <c r="AH48" i="32"/>
  <c r="AI47" i="32"/>
  <c r="AH47" i="32"/>
  <c r="AI46" i="32"/>
  <c r="AH46" i="32"/>
  <c r="AI45" i="32"/>
  <c r="AH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AI43" i="32"/>
  <c r="AH43" i="32"/>
  <c r="AI42" i="32"/>
  <c r="AH42" i="32"/>
  <c r="AI41" i="32"/>
  <c r="AH41" i="32"/>
  <c r="AG40" i="32"/>
  <c r="AG2" i="32" s="1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I38" i="32"/>
  <c r="AH38" i="32"/>
  <c r="AI37" i="32"/>
  <c r="AH37" i="32"/>
  <c r="AI36" i="32"/>
  <c r="AH36" i="32"/>
  <c r="AI35" i="32"/>
  <c r="AH35" i="32"/>
  <c r="AI34" i="32"/>
  <c r="AH34" i="32"/>
  <c r="AI33" i="32"/>
  <c r="AH33" i="32"/>
  <c r="AI32" i="32"/>
  <c r="AH32" i="32"/>
  <c r="AI31" i="32"/>
  <c r="AH31" i="32"/>
  <c r="AI30" i="32"/>
  <c r="AH30" i="32"/>
  <c r="AI29" i="32"/>
  <c r="AH29" i="32"/>
  <c r="AI28" i="32"/>
  <c r="AH28" i="32"/>
  <c r="AI27" i="32"/>
  <c r="AH27" i="32"/>
  <c r="AI26" i="32"/>
  <c r="AH26" i="32"/>
  <c r="AI25" i="32"/>
  <c r="AH25" i="32"/>
  <c r="AI24" i="32"/>
  <c r="AH24" i="32"/>
  <c r="AI23" i="32"/>
  <c r="AH23" i="32"/>
  <c r="AI22" i="32"/>
  <c r="AH22" i="32"/>
  <c r="AI21" i="32"/>
  <c r="AH21" i="32"/>
  <c r="AI20" i="32"/>
  <c r="AH20" i="32"/>
  <c r="AI19" i="32"/>
  <c r="AH19" i="32"/>
  <c r="AI18" i="32"/>
  <c r="AH18" i="32"/>
  <c r="AI17" i="32"/>
  <c r="AH17" i="32"/>
  <c r="AI16" i="32"/>
  <c r="AH16" i="32"/>
  <c r="AI15" i="32"/>
  <c r="AH15" i="32"/>
  <c r="AI14" i="32"/>
  <c r="AH14" i="32"/>
  <c r="AI13" i="32"/>
  <c r="AH13" i="32"/>
  <c r="AI12" i="32"/>
  <c r="AH12" i="32"/>
  <c r="AI11" i="32"/>
  <c r="AH11" i="32"/>
  <c r="AE5" i="32"/>
  <c r="AD5" i="32"/>
  <c r="O5" i="32"/>
  <c r="AG4" i="32"/>
  <c r="K4" i="32"/>
  <c r="B4" i="32"/>
  <c r="S235" i="32" s="1"/>
  <c r="AF39" i="31"/>
  <c r="AE39" i="31"/>
  <c r="AD39" i="31"/>
  <c r="AC39" i="31"/>
  <c r="E4" i="32"/>
  <c r="AK238" i="33" l="1"/>
  <c r="L89" i="32"/>
  <c r="V82" i="33"/>
  <c r="Y82" i="33"/>
  <c r="W82" i="33"/>
  <c r="AC82" i="33"/>
  <c r="AR238" i="33"/>
  <c r="L82" i="33"/>
  <c r="AH103" i="32"/>
  <c r="AU238" i="33"/>
  <c r="L7" i="33"/>
  <c r="E82" i="33"/>
  <c r="O7" i="33"/>
  <c r="AG6" i="32"/>
  <c r="D224" i="32"/>
  <c r="W238" i="33"/>
  <c r="O82" i="33"/>
  <c r="AT238" i="33"/>
  <c r="A7" i="34"/>
  <c r="AJ7" i="34"/>
  <c r="X79" i="32"/>
  <c r="X81" i="32" s="1"/>
  <c r="AP238" i="32" s="1"/>
  <c r="AG81" i="32"/>
  <c r="B224" i="32"/>
  <c r="V7" i="33"/>
  <c r="AB7" i="33"/>
  <c r="AA82" i="33"/>
  <c r="S79" i="32"/>
  <c r="S81" i="32" s="1"/>
  <c r="F218" i="32"/>
  <c r="G218" i="32" s="1"/>
  <c r="F223" i="32"/>
  <c r="G7" i="33"/>
  <c r="H82" i="33"/>
  <c r="G223" i="33"/>
  <c r="E259" i="33"/>
  <c r="F259" i="35"/>
  <c r="H223" i="35"/>
  <c r="G100" i="35"/>
  <c r="G224" i="35"/>
  <c r="J218" i="35"/>
  <c r="J218" i="34"/>
  <c r="F259" i="34"/>
  <c r="H223" i="34"/>
  <c r="G100" i="34"/>
  <c r="G224" i="34"/>
  <c r="AI82" i="34"/>
  <c r="AH82" i="34"/>
  <c r="AD90" i="33"/>
  <c r="V90" i="33"/>
  <c r="T82" i="33"/>
  <c r="T7" i="33"/>
  <c r="N90" i="33"/>
  <c r="K7" i="33"/>
  <c r="K82" i="33"/>
  <c r="AB238" i="33"/>
  <c r="J82" i="33"/>
  <c r="AH89" i="33"/>
  <c r="AA238" i="33"/>
  <c r="B233" i="33"/>
  <c r="C233" i="33"/>
  <c r="H7" i="33"/>
  <c r="AI89" i="33"/>
  <c r="F82" i="33"/>
  <c r="C82" i="33"/>
  <c r="U238" i="33"/>
  <c r="D82" i="33"/>
  <c r="V238" i="33"/>
  <c r="AI79" i="33"/>
  <c r="AH79" i="33"/>
  <c r="B81" i="33"/>
  <c r="E224" i="33"/>
  <c r="E100" i="33"/>
  <c r="F218" i="33"/>
  <c r="AF79" i="32"/>
  <c r="AF81" i="32" s="1"/>
  <c r="AF89" i="32"/>
  <c r="AF90" i="32" s="1"/>
  <c r="AE89" i="32"/>
  <c r="AE90" i="32" s="1"/>
  <c r="AE79" i="32"/>
  <c r="AE81" i="32" s="1"/>
  <c r="AW238" i="32" s="1"/>
  <c r="AD89" i="32"/>
  <c r="AD79" i="32"/>
  <c r="AD81" i="32" s="1"/>
  <c r="AD90" i="32"/>
  <c r="AC5" i="32"/>
  <c r="AC89" i="32"/>
  <c r="AC82" i="32" s="1"/>
  <c r="AC79" i="32"/>
  <c r="AC81" i="32" s="1"/>
  <c r="AB5" i="32"/>
  <c r="AB79" i="32"/>
  <c r="AB81" i="32" s="1"/>
  <c r="AB7" i="32" s="1"/>
  <c r="AA89" i="32"/>
  <c r="AA90" i="32"/>
  <c r="Z89" i="32"/>
  <c r="Z90" i="32" s="1"/>
  <c r="Z79" i="32"/>
  <c r="Z81" i="32" s="1"/>
  <c r="Z82" i="32" s="1"/>
  <c r="AA79" i="32"/>
  <c r="AA81" i="32" s="1"/>
  <c r="AS238" i="32" s="1"/>
  <c r="Y89" i="32"/>
  <c r="Y90" i="32" s="1"/>
  <c r="Y79" i="32"/>
  <c r="Y81" i="32" s="1"/>
  <c r="Y7" i="32" s="1"/>
  <c r="X89" i="32"/>
  <c r="X90" i="32" s="1"/>
  <c r="V5" i="32"/>
  <c r="W89" i="32"/>
  <c r="W90" i="32" s="1"/>
  <c r="W79" i="32"/>
  <c r="W81" i="32" s="1"/>
  <c r="U5" i="32"/>
  <c r="V89" i="32"/>
  <c r="V90" i="32" s="1"/>
  <c r="V79" i="32"/>
  <c r="V81" i="32" s="1"/>
  <c r="U79" i="32"/>
  <c r="U81" i="32" s="1"/>
  <c r="AM238" i="32" s="1"/>
  <c r="U89" i="32"/>
  <c r="U90" i="32" s="1"/>
  <c r="T5" i="32"/>
  <c r="T89" i="32"/>
  <c r="T90" i="32" s="1"/>
  <c r="T79" i="32"/>
  <c r="T81" i="32" s="1"/>
  <c r="T82" i="32" s="1"/>
  <c r="S89" i="32"/>
  <c r="S90" i="32" s="1"/>
  <c r="R89" i="32"/>
  <c r="R90" i="32" s="1"/>
  <c r="R79" i="32"/>
  <c r="R81" i="32" s="1"/>
  <c r="AJ238" i="32" s="1"/>
  <c r="Q89" i="32"/>
  <c r="Q90" i="32" s="1"/>
  <c r="Q79" i="32"/>
  <c r="Q81" i="32" s="1"/>
  <c r="P89" i="32"/>
  <c r="P90" i="32" s="1"/>
  <c r="P79" i="32"/>
  <c r="P81" i="32" s="1"/>
  <c r="O89" i="32"/>
  <c r="O90" i="32" s="1"/>
  <c r="O79" i="32"/>
  <c r="O81" i="32" s="1"/>
  <c r="O7" i="32" s="1"/>
  <c r="AH39" i="32"/>
  <c r="AI39" i="32"/>
  <c r="N89" i="32"/>
  <c r="N90" i="32" s="1"/>
  <c r="M5" i="32"/>
  <c r="N79" i="32"/>
  <c r="N81" i="32" s="1"/>
  <c r="M89" i="32"/>
  <c r="M90" i="32" s="1"/>
  <c r="M79" i="32"/>
  <c r="M81" i="32" s="1"/>
  <c r="AE238" i="32" s="1"/>
  <c r="L90" i="32"/>
  <c r="L79" i="32"/>
  <c r="L81" i="32" s="1"/>
  <c r="K89" i="32"/>
  <c r="K90" i="32"/>
  <c r="K79" i="32"/>
  <c r="K81" i="32" s="1"/>
  <c r="J89" i="32"/>
  <c r="J90" i="32" s="1"/>
  <c r="J79" i="32"/>
  <c r="J81" i="32" s="1"/>
  <c r="AB238" i="32" s="1"/>
  <c r="I89" i="32"/>
  <c r="I90" i="32" s="1"/>
  <c r="I79" i="32"/>
  <c r="I81" i="32" s="1"/>
  <c r="AA238" i="32" s="1"/>
  <c r="H89" i="32"/>
  <c r="H79" i="32"/>
  <c r="H81" i="32" s="1"/>
  <c r="H90" i="32"/>
  <c r="G89" i="32"/>
  <c r="G90" i="32" s="1"/>
  <c r="G79" i="32"/>
  <c r="G81" i="32" s="1"/>
  <c r="F89" i="32"/>
  <c r="F90" i="32" s="1"/>
  <c r="AH84" i="32"/>
  <c r="AI84" i="32"/>
  <c r="E5" i="32"/>
  <c r="AI86" i="32"/>
  <c r="E89" i="32"/>
  <c r="AH86" i="32"/>
  <c r="D5" i="32"/>
  <c r="E79" i="32"/>
  <c r="E81" i="32" s="1"/>
  <c r="E7" i="32" s="1"/>
  <c r="D89" i="32"/>
  <c r="D90" i="32" s="1"/>
  <c r="AI87" i="32"/>
  <c r="AI58" i="32"/>
  <c r="D79" i="32"/>
  <c r="D81" i="32" s="1"/>
  <c r="V238" i="32" s="1"/>
  <c r="AH44" i="32"/>
  <c r="AI85" i="32"/>
  <c r="C89" i="32"/>
  <c r="C90" i="32" s="1"/>
  <c r="C79" i="32"/>
  <c r="C81" i="32" s="1"/>
  <c r="C7" i="32" s="1"/>
  <c r="AH58" i="32"/>
  <c r="AH85" i="32"/>
  <c r="B79" i="32"/>
  <c r="AI74" i="32"/>
  <c r="B89" i="32"/>
  <c r="B90" i="32" s="1"/>
  <c r="F79" i="32"/>
  <c r="F81" i="32" s="1"/>
  <c r="AH62" i="32"/>
  <c r="AI62" i="32"/>
  <c r="H4" i="32"/>
  <c r="P7" i="32"/>
  <c r="AH238" i="32"/>
  <c r="Q7" i="32"/>
  <c r="AI238" i="32"/>
  <c r="Q82" i="32"/>
  <c r="Z7" i="32"/>
  <c r="AR238" i="32"/>
  <c r="S7" i="32"/>
  <c r="AK238" i="32"/>
  <c r="AF7" i="32"/>
  <c r="AX238" i="32"/>
  <c r="AF82" i="32"/>
  <c r="K7" i="32"/>
  <c r="AA82" i="32"/>
  <c r="L7" i="32"/>
  <c r="AD238" i="32"/>
  <c r="L82" i="32"/>
  <c r="T7" i="32"/>
  <c r="AL238" i="32"/>
  <c r="AB82" i="32"/>
  <c r="M82" i="32"/>
  <c r="U7" i="32"/>
  <c r="AC7" i="32"/>
  <c r="AU238" i="32"/>
  <c r="N7" i="32"/>
  <c r="AF238" i="32"/>
  <c r="N82" i="32"/>
  <c r="AD7" i="32"/>
  <c r="AV238" i="32"/>
  <c r="AD82" i="32"/>
  <c r="H218" i="32"/>
  <c r="H7" i="32"/>
  <c r="Z238" i="32"/>
  <c r="H82" i="32"/>
  <c r="U238" i="32"/>
  <c r="V7" i="32"/>
  <c r="AN238" i="32"/>
  <c r="V82" i="32"/>
  <c r="AG238" i="32"/>
  <c r="O82" i="32"/>
  <c r="AO238" i="32"/>
  <c r="W82" i="32"/>
  <c r="W7" i="32"/>
  <c r="AG79" i="32"/>
  <c r="AI83" i="32"/>
  <c r="AI40" i="32"/>
  <c r="AI44" i="32"/>
  <c r="AB90" i="32"/>
  <c r="D100" i="32"/>
  <c r="E224" i="32"/>
  <c r="D235" i="32"/>
  <c r="AH40" i="32"/>
  <c r="B5" i="32"/>
  <c r="AH74" i="32"/>
  <c r="K5" i="32"/>
  <c r="S5" i="32"/>
  <c r="AH83" i="32"/>
  <c r="F100" i="32"/>
  <c r="AH87" i="32"/>
  <c r="X7" i="32" l="1"/>
  <c r="C82" i="32"/>
  <c r="AA7" i="32"/>
  <c r="AQ238" i="32"/>
  <c r="P82" i="32"/>
  <c r="Y82" i="32"/>
  <c r="F259" i="33"/>
  <c r="H223" i="33"/>
  <c r="U82" i="32"/>
  <c r="AI90" i="33"/>
  <c r="AE7" i="32"/>
  <c r="AE82" i="32"/>
  <c r="AC90" i="32"/>
  <c r="R7" i="32"/>
  <c r="G223" i="32"/>
  <c r="E259" i="32"/>
  <c r="X82" i="32"/>
  <c r="R82" i="32"/>
  <c r="I7" i="32"/>
  <c r="F224" i="32"/>
  <c r="S82" i="32"/>
  <c r="F82" i="32"/>
  <c r="K82" i="32"/>
  <c r="K218" i="35"/>
  <c r="G259" i="35"/>
  <c r="I223" i="35"/>
  <c r="H100" i="35"/>
  <c r="H224" i="35"/>
  <c r="G259" i="34"/>
  <c r="I223" i="34"/>
  <c r="H100" i="34"/>
  <c r="H224" i="34"/>
  <c r="K218" i="34"/>
  <c r="AH90" i="33"/>
  <c r="K6" i="33"/>
  <c r="AT238" i="32"/>
  <c r="G218" i="33"/>
  <c r="F224" i="33"/>
  <c r="F100" i="33"/>
  <c r="B7" i="33"/>
  <c r="A7" i="33" s="1"/>
  <c r="AI81" i="33"/>
  <c r="T238" i="33"/>
  <c r="B82" i="33"/>
  <c r="AH81" i="33"/>
  <c r="M7" i="32"/>
  <c r="AC238" i="32"/>
  <c r="J7" i="32"/>
  <c r="J82" i="32"/>
  <c r="B233" i="32"/>
  <c r="AH89" i="32"/>
  <c r="I82" i="32"/>
  <c r="Y238" i="32"/>
  <c r="C233" i="32"/>
  <c r="K6" i="32" s="1"/>
  <c r="G82" i="32"/>
  <c r="G7" i="32"/>
  <c r="F7" i="32"/>
  <c r="AI89" i="32"/>
  <c r="X238" i="32"/>
  <c r="W238" i="32"/>
  <c r="E82" i="32"/>
  <c r="E90" i="32"/>
  <c r="AI90" i="32" s="1"/>
  <c r="D7" i="32"/>
  <c r="D82" i="32"/>
  <c r="AI79" i="32"/>
  <c r="B81" i="32"/>
  <c r="B7" i="32" s="1"/>
  <c r="A7" i="32" s="1"/>
  <c r="AH79" i="32"/>
  <c r="I218" i="32"/>
  <c r="AI81" i="32"/>
  <c r="AH81" i="32"/>
  <c r="F259" i="32" l="1"/>
  <c r="H223" i="32"/>
  <c r="G100" i="32"/>
  <c r="G224" i="32"/>
  <c r="B82" i="32"/>
  <c r="AI82" i="32" s="1"/>
  <c r="T238" i="32"/>
  <c r="AH90" i="32"/>
  <c r="G259" i="33"/>
  <c r="I223" i="33"/>
  <c r="H259" i="35"/>
  <c r="J223" i="35"/>
  <c r="I100" i="35"/>
  <c r="I224" i="35"/>
  <c r="L218" i="35"/>
  <c r="L218" i="34"/>
  <c r="H259" i="34"/>
  <c r="J223" i="34"/>
  <c r="I100" i="34"/>
  <c r="I224" i="34"/>
  <c r="AI82" i="33"/>
  <c r="AH82" i="33"/>
  <c r="H218" i="33"/>
  <c r="G100" i="33"/>
  <c r="G224" i="33"/>
  <c r="J218" i="32"/>
  <c r="AB39" i="31"/>
  <c r="AA103" i="31"/>
  <c r="AA39" i="31"/>
  <c r="AH82" i="32" l="1"/>
  <c r="I223" i="32"/>
  <c r="G259" i="32"/>
  <c r="H224" i="32"/>
  <c r="H100" i="32"/>
  <c r="H259" i="33"/>
  <c r="J223" i="33"/>
  <c r="M218" i="35"/>
  <c r="K223" i="35"/>
  <c r="I259" i="35"/>
  <c r="J100" i="35"/>
  <c r="J224" i="35"/>
  <c r="K223" i="34"/>
  <c r="I259" i="34"/>
  <c r="J100" i="34"/>
  <c r="J224" i="34"/>
  <c r="M218" i="34"/>
  <c r="I218" i="33"/>
  <c r="H224" i="33"/>
  <c r="H100" i="33"/>
  <c r="K218" i="32"/>
  <c r="I259" i="33" l="1"/>
  <c r="K223" i="33"/>
  <c r="J223" i="32"/>
  <c r="H259" i="32"/>
  <c r="I224" i="32"/>
  <c r="I100" i="32"/>
  <c r="J259" i="35"/>
  <c r="L223" i="35"/>
  <c r="K100" i="35"/>
  <c r="K224" i="35"/>
  <c r="N218" i="35"/>
  <c r="N218" i="34"/>
  <c r="J259" i="34"/>
  <c r="L223" i="34"/>
  <c r="K100" i="34"/>
  <c r="K224" i="34"/>
  <c r="I100" i="33"/>
  <c r="J218" i="33"/>
  <c r="I224" i="33"/>
  <c r="L218" i="32"/>
  <c r="Z103" i="31"/>
  <c r="Z39" i="31"/>
  <c r="Y103" i="31"/>
  <c r="X103" i="31"/>
  <c r="X39" i="31"/>
  <c r="W39" i="31"/>
  <c r="W103" i="31"/>
  <c r="V103" i="31"/>
  <c r="V39" i="31"/>
  <c r="K223" i="32" l="1"/>
  <c r="I259" i="32"/>
  <c r="J224" i="32"/>
  <c r="J100" i="32"/>
  <c r="J259" i="33"/>
  <c r="L223" i="33"/>
  <c r="K259" i="35"/>
  <c r="M223" i="35"/>
  <c r="L224" i="35"/>
  <c r="L100" i="35"/>
  <c r="O218" i="35"/>
  <c r="K259" i="34"/>
  <c r="M223" i="34"/>
  <c r="L224" i="34"/>
  <c r="L100" i="34"/>
  <c r="O218" i="34"/>
  <c r="J100" i="33"/>
  <c r="J224" i="33"/>
  <c r="K218" i="33"/>
  <c r="M218" i="32"/>
  <c r="M223" i="33" l="1"/>
  <c r="K259" i="33"/>
  <c r="L223" i="32"/>
  <c r="J259" i="32"/>
  <c r="K224" i="32"/>
  <c r="K100" i="32"/>
  <c r="P218" i="35"/>
  <c r="L259" i="35"/>
  <c r="N223" i="35"/>
  <c r="M100" i="35"/>
  <c r="M224" i="35"/>
  <c r="P218" i="34"/>
  <c r="L259" i="34"/>
  <c r="N223" i="34"/>
  <c r="M100" i="34"/>
  <c r="M224" i="34"/>
  <c r="K100" i="33"/>
  <c r="K224" i="33"/>
  <c r="L218" i="33"/>
  <c r="N218" i="32"/>
  <c r="U103" i="31"/>
  <c r="U39" i="31"/>
  <c r="T103" i="31"/>
  <c r="T39" i="31"/>
  <c r="S103" i="31"/>
  <c r="S39" i="31"/>
  <c r="R103" i="31"/>
  <c r="R39" i="31"/>
  <c r="R40" i="31"/>
  <c r="Q103" i="31"/>
  <c r="Q39" i="31"/>
  <c r="P103" i="31"/>
  <c r="P39" i="31"/>
  <c r="O103" i="31"/>
  <c r="AI103" i="31" s="1"/>
  <c r="O39" i="31"/>
  <c r="N103" i="31"/>
  <c r="N39" i="31"/>
  <c r="M103" i="31"/>
  <c r="M39" i="31"/>
  <c r="L39" i="31"/>
  <c r="K39" i="31"/>
  <c r="AI39" i="31" s="1"/>
  <c r="E40" i="31"/>
  <c r="D39" i="31"/>
  <c r="C39" i="31"/>
  <c r="B39" i="31"/>
  <c r="AF263" i="31"/>
  <c r="AE263" i="31"/>
  <c r="AD263" i="31"/>
  <c r="AC263" i="31"/>
  <c r="AB263" i="31"/>
  <c r="AA263" i="31"/>
  <c r="Z263" i="31"/>
  <c r="Y263" i="31"/>
  <c r="X263" i="31"/>
  <c r="W263" i="31"/>
  <c r="V263" i="31"/>
  <c r="U263" i="31"/>
  <c r="T263" i="31"/>
  <c r="S263" i="31"/>
  <c r="R263" i="31"/>
  <c r="Q263" i="31"/>
  <c r="P263" i="31"/>
  <c r="O263" i="31"/>
  <c r="N263" i="31"/>
  <c r="M263" i="31"/>
  <c r="L263" i="31"/>
  <c r="K263" i="31"/>
  <c r="J263" i="31"/>
  <c r="I263" i="31"/>
  <c r="H263" i="31"/>
  <c r="G263" i="31"/>
  <c r="F263" i="31"/>
  <c r="E263" i="31"/>
  <c r="D263" i="31"/>
  <c r="C263" i="31"/>
  <c r="B263" i="31"/>
  <c r="A263" i="31"/>
  <c r="AF262" i="31"/>
  <c r="AE262" i="31"/>
  <c r="AD262" i="31"/>
  <c r="AC262" i="31"/>
  <c r="AB262" i="31"/>
  <c r="AA262" i="31"/>
  <c r="Z262" i="31"/>
  <c r="Y262" i="31"/>
  <c r="X262" i="31"/>
  <c r="W262" i="31"/>
  <c r="V262" i="31"/>
  <c r="U262" i="31"/>
  <c r="T262" i="31"/>
  <c r="S262" i="31"/>
  <c r="R262" i="31"/>
  <c r="Q262" i="31"/>
  <c r="P262" i="31"/>
  <c r="O262" i="31"/>
  <c r="N262" i="31"/>
  <c r="M262" i="31"/>
  <c r="L262" i="31"/>
  <c r="K262" i="31"/>
  <c r="J262" i="31"/>
  <c r="I262" i="31"/>
  <c r="H262" i="31"/>
  <c r="G262" i="31"/>
  <c r="F262" i="31"/>
  <c r="E262" i="31"/>
  <c r="D262" i="31"/>
  <c r="C262" i="31"/>
  <c r="B262" i="31"/>
  <c r="A262" i="31"/>
  <c r="AF261" i="31"/>
  <c r="AE261" i="31"/>
  <c r="AD261" i="31"/>
  <c r="AC261" i="31"/>
  <c r="AB261" i="31"/>
  <c r="AA261" i="31"/>
  <c r="Z261" i="31"/>
  <c r="Y261" i="31"/>
  <c r="X261" i="31"/>
  <c r="W261" i="31"/>
  <c r="V261" i="31"/>
  <c r="U261" i="31"/>
  <c r="T261" i="31"/>
  <c r="S261" i="31"/>
  <c r="R261" i="31"/>
  <c r="Q261" i="31"/>
  <c r="P261" i="31"/>
  <c r="O261" i="31"/>
  <c r="N261" i="31"/>
  <c r="M261" i="31"/>
  <c r="L261" i="31"/>
  <c r="K261" i="31"/>
  <c r="J261" i="31"/>
  <c r="I261" i="31"/>
  <c r="H261" i="31"/>
  <c r="G261" i="31"/>
  <c r="F261" i="31"/>
  <c r="E261" i="31"/>
  <c r="D261" i="31"/>
  <c r="C261" i="31"/>
  <c r="B261" i="31"/>
  <c r="A261" i="31"/>
  <c r="AF260" i="31"/>
  <c r="AE260" i="31"/>
  <c r="AD260" i="31"/>
  <c r="AC260" i="31"/>
  <c r="AB260" i="31"/>
  <c r="AA260" i="31"/>
  <c r="Z260" i="31"/>
  <c r="Y260" i="31"/>
  <c r="X260" i="31"/>
  <c r="W260" i="31"/>
  <c r="V260" i="31"/>
  <c r="U260" i="31"/>
  <c r="T260" i="31"/>
  <c r="S260" i="31"/>
  <c r="R260" i="31"/>
  <c r="Q260" i="31"/>
  <c r="P260" i="31"/>
  <c r="O260" i="31"/>
  <c r="N260" i="31"/>
  <c r="M260" i="31"/>
  <c r="L260" i="31"/>
  <c r="K260" i="31"/>
  <c r="J260" i="31"/>
  <c r="I260" i="31"/>
  <c r="H260" i="31"/>
  <c r="G260" i="31"/>
  <c r="F260" i="31"/>
  <c r="E260" i="31"/>
  <c r="D260" i="31"/>
  <c r="C260" i="31"/>
  <c r="B260" i="31"/>
  <c r="A260" i="31"/>
  <c r="AE259" i="31"/>
  <c r="AD259" i="31"/>
  <c r="AC259" i="31"/>
  <c r="AB259" i="31"/>
  <c r="AA259" i="31"/>
  <c r="Z259" i="31"/>
  <c r="Y259" i="31"/>
  <c r="X259" i="31"/>
  <c r="W259" i="31"/>
  <c r="V259" i="31"/>
  <c r="U259" i="31"/>
  <c r="T259" i="31"/>
  <c r="S259" i="31"/>
  <c r="R259" i="31"/>
  <c r="Q259" i="31"/>
  <c r="P259" i="31"/>
  <c r="B259" i="31"/>
  <c r="S234" i="31"/>
  <c r="AG224" i="31"/>
  <c r="AF224" i="31"/>
  <c r="AE224" i="31"/>
  <c r="AD224" i="31"/>
  <c r="AC224" i="31"/>
  <c r="AB224" i="31"/>
  <c r="AA224" i="31"/>
  <c r="Z224" i="31"/>
  <c r="Y224" i="31"/>
  <c r="X224" i="31"/>
  <c r="W224" i="31"/>
  <c r="V224" i="31"/>
  <c r="U224" i="31"/>
  <c r="T224" i="31"/>
  <c r="S224" i="31"/>
  <c r="R224" i="31"/>
  <c r="Q224" i="31"/>
  <c r="C224" i="31"/>
  <c r="D223" i="31"/>
  <c r="C259" i="31" s="1"/>
  <c r="B223" i="31"/>
  <c r="AF259" i="31" s="1"/>
  <c r="D222" i="31"/>
  <c r="E222" i="31" s="1"/>
  <c r="F222" i="31" s="1"/>
  <c r="G222" i="31" s="1"/>
  <c r="H222" i="31" s="1"/>
  <c r="I222" i="31" s="1"/>
  <c r="J222" i="31" s="1"/>
  <c r="K222" i="31" s="1"/>
  <c r="L222" i="31" s="1"/>
  <c r="M222" i="31" s="1"/>
  <c r="N222" i="31" s="1"/>
  <c r="O222" i="31" s="1"/>
  <c r="P222" i="31" s="1"/>
  <c r="B222" i="31"/>
  <c r="D221" i="31"/>
  <c r="E221" i="31" s="1"/>
  <c r="F221" i="31" s="1"/>
  <c r="G221" i="31" s="1"/>
  <c r="H221" i="31" s="1"/>
  <c r="I221" i="31" s="1"/>
  <c r="J221" i="31" s="1"/>
  <c r="K221" i="31" s="1"/>
  <c r="L221" i="31" s="1"/>
  <c r="M221" i="31" s="1"/>
  <c r="N221" i="31" s="1"/>
  <c r="O221" i="31" s="1"/>
  <c r="P221" i="31" s="1"/>
  <c r="B221" i="31"/>
  <c r="D220" i="31"/>
  <c r="E220" i="31" s="1"/>
  <c r="F220" i="31" s="1"/>
  <c r="G220" i="31" s="1"/>
  <c r="H220" i="31" s="1"/>
  <c r="I220" i="31" s="1"/>
  <c r="J220" i="31" s="1"/>
  <c r="K220" i="31" s="1"/>
  <c r="L220" i="31" s="1"/>
  <c r="M220" i="31" s="1"/>
  <c r="N220" i="31" s="1"/>
  <c r="O220" i="31" s="1"/>
  <c r="P220" i="31" s="1"/>
  <c r="B220" i="31"/>
  <c r="E219" i="31"/>
  <c r="F219" i="31" s="1"/>
  <c r="G219" i="31" s="1"/>
  <c r="H219" i="31" s="1"/>
  <c r="I219" i="31" s="1"/>
  <c r="J219" i="31" s="1"/>
  <c r="K219" i="31" s="1"/>
  <c r="L219" i="31" s="1"/>
  <c r="M219" i="31" s="1"/>
  <c r="N219" i="31" s="1"/>
  <c r="O219" i="31" s="1"/>
  <c r="P219" i="31" s="1"/>
  <c r="D219" i="31"/>
  <c r="B219" i="31"/>
  <c r="D218" i="31"/>
  <c r="E218" i="31" s="1"/>
  <c r="B218" i="31"/>
  <c r="B224" i="31" s="1"/>
  <c r="AG216" i="31"/>
  <c r="AF216" i="31"/>
  <c r="AE216" i="31"/>
  <c r="AD216" i="31"/>
  <c r="AC216" i="31"/>
  <c r="AB216" i="31"/>
  <c r="AA216" i="31"/>
  <c r="Z216" i="31"/>
  <c r="Y216" i="31"/>
  <c r="X216" i="31"/>
  <c r="W216" i="31"/>
  <c r="V216" i="31"/>
  <c r="U216" i="31"/>
  <c r="T216" i="31"/>
  <c r="S216" i="31"/>
  <c r="R216" i="31"/>
  <c r="Q216" i="31"/>
  <c r="P216" i="31"/>
  <c r="O216" i="31"/>
  <c r="N216" i="31"/>
  <c r="M216" i="31"/>
  <c r="L216" i="31"/>
  <c r="K216" i="31"/>
  <c r="J216" i="31"/>
  <c r="I216" i="31"/>
  <c r="H216" i="31"/>
  <c r="G216" i="31"/>
  <c r="F216" i="31"/>
  <c r="E216" i="31"/>
  <c r="D216" i="31"/>
  <c r="C216" i="31"/>
  <c r="B216" i="31"/>
  <c r="AI109" i="31"/>
  <c r="AH109" i="31"/>
  <c r="AI108" i="31"/>
  <c r="AH108" i="31"/>
  <c r="AI107" i="31"/>
  <c r="AH107" i="31"/>
  <c r="AI106" i="31"/>
  <c r="AH106" i="31"/>
  <c r="AI105" i="31"/>
  <c r="AH105" i="31"/>
  <c r="AI104" i="31"/>
  <c r="AH104" i="31"/>
  <c r="AI102" i="31"/>
  <c r="AH102" i="31"/>
  <c r="AI101" i="31"/>
  <c r="AH101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C100" i="31"/>
  <c r="AI99" i="31"/>
  <c r="AH99" i="31"/>
  <c r="AI98" i="31"/>
  <c r="AH98" i="31"/>
  <c r="AI97" i="31"/>
  <c r="AH97" i="31"/>
  <c r="AI96" i="31"/>
  <c r="AH96" i="31"/>
  <c r="AI95" i="31"/>
  <c r="AH95" i="31"/>
  <c r="AI94" i="31"/>
  <c r="AH94" i="31"/>
  <c r="AI93" i="31"/>
  <c r="AH93" i="31"/>
  <c r="AI92" i="31"/>
  <c r="AH92" i="31"/>
  <c r="AI91" i="31"/>
  <c r="AH91" i="31"/>
  <c r="AI88" i="31"/>
  <c r="AH88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AI80" i="31"/>
  <c r="AH80" i="31"/>
  <c r="AI78" i="31"/>
  <c r="AH78" i="31"/>
  <c r="AG78" i="31"/>
  <c r="AG81" i="31" s="1"/>
  <c r="AI77" i="31"/>
  <c r="AH77" i="31"/>
  <c r="AI76" i="31"/>
  <c r="AH76" i="31"/>
  <c r="AI75" i="31"/>
  <c r="AH75" i="31"/>
  <c r="AG74" i="31"/>
  <c r="AF74" i="31"/>
  <c r="AE5" i="31" s="1"/>
  <c r="AE74" i="31"/>
  <c r="AD5" i="31" s="1"/>
  <c r="AD74" i="31"/>
  <c r="AC74" i="31"/>
  <c r="AB5" i="31" s="1"/>
  <c r="AB74" i="31"/>
  <c r="AA5" i="31" s="1"/>
  <c r="AA74" i="31"/>
  <c r="Z5" i="31" s="1"/>
  <c r="Z74" i="31"/>
  <c r="Y74" i="31"/>
  <c r="X5" i="31" s="1"/>
  <c r="X74" i="31"/>
  <c r="W5" i="31" s="1"/>
  <c r="W74" i="31"/>
  <c r="V5" i="31" s="1"/>
  <c r="V74" i="31"/>
  <c r="U74" i="31"/>
  <c r="T5" i="31" s="1"/>
  <c r="T74" i="31"/>
  <c r="S5" i="31" s="1"/>
  <c r="S74" i="31"/>
  <c r="R5" i="31" s="1"/>
  <c r="R74" i="31"/>
  <c r="Q5" i="31" s="1"/>
  <c r="Q74" i="31"/>
  <c r="P74" i="31"/>
  <c r="O74" i="31"/>
  <c r="N74" i="31"/>
  <c r="M74" i="31"/>
  <c r="L74" i="31"/>
  <c r="K5" i="31" s="1"/>
  <c r="K74" i="31"/>
  <c r="J5" i="31" s="1"/>
  <c r="J74" i="31"/>
  <c r="I74" i="31"/>
  <c r="H5" i="31" s="1"/>
  <c r="H74" i="31"/>
  <c r="G5" i="31" s="1"/>
  <c r="G74" i="31"/>
  <c r="F5" i="31" s="1"/>
  <c r="F74" i="31"/>
  <c r="E74" i="31"/>
  <c r="D5" i="31" s="1"/>
  <c r="D74" i="31"/>
  <c r="C5" i="31" s="1"/>
  <c r="C74" i="31"/>
  <c r="B5" i="31" s="1"/>
  <c r="B74" i="31"/>
  <c r="AF5" i="31" s="1"/>
  <c r="AI73" i="31"/>
  <c r="AH73" i="31"/>
  <c r="AI72" i="31"/>
  <c r="AH72" i="31"/>
  <c r="AI71" i="31"/>
  <c r="AH71" i="31"/>
  <c r="AI70" i="31"/>
  <c r="AH70" i="31"/>
  <c r="AI69" i="31"/>
  <c r="AH69" i="31"/>
  <c r="AI68" i="31"/>
  <c r="AH68" i="31"/>
  <c r="AI67" i="31"/>
  <c r="AH67" i="31"/>
  <c r="AI66" i="31"/>
  <c r="AH66" i="31"/>
  <c r="AI65" i="31"/>
  <c r="AH65" i="31"/>
  <c r="AI64" i="31"/>
  <c r="AH64" i="31"/>
  <c r="AI63" i="31"/>
  <c r="AH63" i="31"/>
  <c r="AG62" i="31"/>
  <c r="AF62" i="31"/>
  <c r="AE62" i="31"/>
  <c r="AD62" i="31"/>
  <c r="AC62" i="31"/>
  <c r="AB62" i="31"/>
  <c r="AA62" i="31"/>
  <c r="Z62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AI61" i="31"/>
  <c r="AH61" i="31"/>
  <c r="AI60" i="31"/>
  <c r="AH60" i="31"/>
  <c r="AI59" i="31"/>
  <c r="AH59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B58" i="31"/>
  <c r="AI57" i="31"/>
  <c r="AH57" i="31"/>
  <c r="AG57" i="31"/>
  <c r="AG58" i="31" s="1"/>
  <c r="AG3" i="31" s="1"/>
  <c r="AI56" i="31"/>
  <c r="AH56" i="31"/>
  <c r="AI55" i="31"/>
  <c r="AH55" i="31"/>
  <c r="AI54" i="31"/>
  <c r="AH54" i="31"/>
  <c r="AI53" i="31"/>
  <c r="AH53" i="31"/>
  <c r="AI52" i="31"/>
  <c r="AH52" i="31"/>
  <c r="AI51" i="31"/>
  <c r="AH51" i="31"/>
  <c r="AI50" i="31"/>
  <c r="AH50" i="31"/>
  <c r="AI49" i="31"/>
  <c r="AH49" i="31"/>
  <c r="AI48" i="31"/>
  <c r="AH48" i="31"/>
  <c r="AI47" i="31"/>
  <c r="AH47" i="31"/>
  <c r="AI46" i="31"/>
  <c r="AH46" i="31"/>
  <c r="AI45" i="31"/>
  <c r="AH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AI43" i="31"/>
  <c r="AH43" i="31"/>
  <c r="AI42" i="31"/>
  <c r="AH42" i="31"/>
  <c r="AI41" i="31"/>
  <c r="AH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Q40" i="31"/>
  <c r="P40" i="31"/>
  <c r="O40" i="31"/>
  <c r="N40" i="31"/>
  <c r="M40" i="31"/>
  <c r="M79" i="31" s="1"/>
  <c r="M81" i="31" s="1"/>
  <c r="L40" i="31"/>
  <c r="K40" i="31"/>
  <c r="J40" i="31"/>
  <c r="I40" i="31"/>
  <c r="H40" i="31"/>
  <c r="G40" i="31"/>
  <c r="F40" i="31"/>
  <c r="D40" i="31"/>
  <c r="C40" i="31"/>
  <c r="B40" i="31"/>
  <c r="AI38" i="31"/>
  <c r="AH38" i="31"/>
  <c r="AI37" i="31"/>
  <c r="AH37" i="31"/>
  <c r="AI36" i="31"/>
  <c r="AH36" i="31"/>
  <c r="AI35" i="31"/>
  <c r="AH35" i="31"/>
  <c r="AI34" i="31"/>
  <c r="AH34" i="31"/>
  <c r="AI33" i="31"/>
  <c r="AH33" i="31"/>
  <c r="AI32" i="31"/>
  <c r="AH32" i="31"/>
  <c r="AI31" i="31"/>
  <c r="AH31" i="31"/>
  <c r="AI30" i="31"/>
  <c r="AH30" i="31"/>
  <c r="AI29" i="31"/>
  <c r="AH29" i="31"/>
  <c r="AI28" i="31"/>
  <c r="AH28" i="31"/>
  <c r="AI27" i="31"/>
  <c r="AH27" i="31"/>
  <c r="AI26" i="31"/>
  <c r="AH26" i="31"/>
  <c r="AI25" i="31"/>
  <c r="AH25" i="31"/>
  <c r="AI24" i="31"/>
  <c r="AH24" i="31"/>
  <c r="AI23" i="31"/>
  <c r="AH23" i="31"/>
  <c r="AI22" i="31"/>
  <c r="AH22" i="31"/>
  <c r="AI21" i="31"/>
  <c r="AH21" i="31"/>
  <c r="AI20" i="31"/>
  <c r="AH20" i="31"/>
  <c r="AI19" i="31"/>
  <c r="AH19" i="31"/>
  <c r="AI18" i="31"/>
  <c r="AH18" i="31"/>
  <c r="AI17" i="31"/>
  <c r="AH17" i="31"/>
  <c r="AI16" i="31"/>
  <c r="AH16" i="31"/>
  <c r="AI15" i="31"/>
  <c r="AH15" i="31"/>
  <c r="AI14" i="31"/>
  <c r="AH14" i="31"/>
  <c r="AI13" i="31"/>
  <c r="AH13" i="31"/>
  <c r="AI12" i="31"/>
  <c r="AH12" i="31"/>
  <c r="AI11" i="31"/>
  <c r="AH11" i="31"/>
  <c r="AC5" i="31"/>
  <c r="Y5" i="31"/>
  <c r="U5" i="31"/>
  <c r="N5" i="31"/>
  <c r="L5" i="31"/>
  <c r="AG4" i="31"/>
  <c r="K4" i="31"/>
  <c r="B4" i="31"/>
  <c r="S235" i="31" s="1"/>
  <c r="AG2" i="31"/>
  <c r="AF39" i="30"/>
  <c r="AE39" i="30"/>
  <c r="AD39" i="30"/>
  <c r="AC39" i="30"/>
  <c r="AB39" i="30"/>
  <c r="AA103" i="30"/>
  <c r="AA39" i="30"/>
  <c r="Z103" i="30"/>
  <c r="X103" i="30"/>
  <c r="X39" i="30"/>
  <c r="W103" i="30"/>
  <c r="W39" i="30"/>
  <c r="V103" i="30"/>
  <c r="V100" i="30" s="1"/>
  <c r="V39" i="30"/>
  <c r="U103" i="30"/>
  <c r="U39" i="30"/>
  <c r="T103" i="30"/>
  <c r="S103" i="30"/>
  <c r="S39" i="30"/>
  <c r="R39" i="30"/>
  <c r="AI39" i="30" s="1"/>
  <c r="Q103" i="30"/>
  <c r="Q39" i="30"/>
  <c r="P39" i="30"/>
  <c r="AH11" i="29"/>
  <c r="AH12" i="29"/>
  <c r="AH13" i="29"/>
  <c r="AH14" i="29"/>
  <c r="AH15" i="29"/>
  <c r="AH16" i="29"/>
  <c r="AH17" i="29"/>
  <c r="AH18" i="29"/>
  <c r="AH19" i="29"/>
  <c r="AH20" i="29"/>
  <c r="AH21" i="29"/>
  <c r="AH22" i="29"/>
  <c r="AH23" i="29"/>
  <c r="AH24" i="29"/>
  <c r="AH25" i="29"/>
  <c r="AH26" i="29"/>
  <c r="AH27" i="29"/>
  <c r="AH28" i="29"/>
  <c r="AH29" i="29"/>
  <c r="AH30" i="29"/>
  <c r="AH31" i="29"/>
  <c r="AH32" i="29"/>
  <c r="AH33" i="29"/>
  <c r="AH34" i="29"/>
  <c r="AH35" i="29"/>
  <c r="AH36" i="29"/>
  <c r="AH37" i="29"/>
  <c r="AH38" i="29"/>
  <c r="AH41" i="29"/>
  <c r="AH42" i="29"/>
  <c r="AH43" i="29"/>
  <c r="AH45" i="29"/>
  <c r="AH46" i="29"/>
  <c r="AH47" i="29"/>
  <c r="AH48" i="29"/>
  <c r="AH49" i="29"/>
  <c r="AH50" i="29"/>
  <c r="AH51" i="29"/>
  <c r="AH52" i="29"/>
  <c r="AH53" i="29"/>
  <c r="AH54" i="29"/>
  <c r="AH55" i="29"/>
  <c r="AH56" i="29"/>
  <c r="AH57" i="29"/>
  <c r="AH59" i="29"/>
  <c r="AH60" i="29"/>
  <c r="AH61" i="29"/>
  <c r="AH63" i="29"/>
  <c r="AH64" i="29"/>
  <c r="AH65" i="29"/>
  <c r="AH66" i="29"/>
  <c r="AH67" i="29"/>
  <c r="AH68" i="29"/>
  <c r="AH69" i="29"/>
  <c r="AH70" i="29"/>
  <c r="AH71" i="29"/>
  <c r="AH72" i="29"/>
  <c r="AH73" i="29"/>
  <c r="AH75" i="29"/>
  <c r="AH76" i="29"/>
  <c r="AH77" i="29"/>
  <c r="AH78" i="29"/>
  <c r="AH80" i="29"/>
  <c r="AH88" i="29"/>
  <c r="AH91" i="29"/>
  <c r="AH92" i="29"/>
  <c r="AH93" i="29"/>
  <c r="AH94" i="29"/>
  <c r="AH95" i="29"/>
  <c r="AH96" i="29"/>
  <c r="AH97" i="29"/>
  <c r="AH98" i="29"/>
  <c r="AH99" i="29"/>
  <c r="AH101" i="29"/>
  <c r="AH102" i="29"/>
  <c r="AH104" i="29"/>
  <c r="AH105" i="29"/>
  <c r="AH106" i="29"/>
  <c r="AH107" i="29"/>
  <c r="AH108" i="29"/>
  <c r="AH109" i="29"/>
  <c r="O39" i="30"/>
  <c r="N39" i="30"/>
  <c r="M39" i="30"/>
  <c r="AF263" i="30"/>
  <c r="AE263" i="30"/>
  <c r="AD263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J263" i="30"/>
  <c r="I263" i="30"/>
  <c r="H263" i="30"/>
  <c r="G263" i="30"/>
  <c r="F263" i="30"/>
  <c r="E263" i="30"/>
  <c r="D263" i="30"/>
  <c r="C263" i="30"/>
  <c r="B263" i="30"/>
  <c r="A263" i="30"/>
  <c r="AF262" i="30"/>
  <c r="AE262" i="30"/>
  <c r="AD262" i="30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J262" i="30"/>
  <c r="I262" i="30"/>
  <c r="H262" i="30"/>
  <c r="G262" i="30"/>
  <c r="F262" i="30"/>
  <c r="E262" i="30"/>
  <c r="D262" i="30"/>
  <c r="C262" i="30"/>
  <c r="B262" i="30"/>
  <c r="A262" i="30"/>
  <c r="AF261" i="30"/>
  <c r="AE261" i="30"/>
  <c r="AD261" i="30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J261" i="30"/>
  <c r="I261" i="30"/>
  <c r="H261" i="30"/>
  <c r="G261" i="30"/>
  <c r="F261" i="30"/>
  <c r="E261" i="30"/>
  <c r="D261" i="30"/>
  <c r="C261" i="30"/>
  <c r="B261" i="30"/>
  <c r="A261" i="30"/>
  <c r="AF260" i="30"/>
  <c r="AE260" i="30"/>
  <c r="AD260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J260" i="30"/>
  <c r="I260" i="30"/>
  <c r="H260" i="30"/>
  <c r="G260" i="30"/>
  <c r="F260" i="30"/>
  <c r="E260" i="30"/>
  <c r="D260" i="30"/>
  <c r="C260" i="30"/>
  <c r="B260" i="30"/>
  <c r="A260" i="30"/>
  <c r="AE259" i="30"/>
  <c r="AD259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B259" i="30"/>
  <c r="S234" i="30"/>
  <c r="AG224" i="30"/>
  <c r="AG57" i="30" s="1"/>
  <c r="AG58" i="30" s="1"/>
  <c r="AG3" i="30" s="1"/>
  <c r="AG6" i="30" s="1"/>
  <c r="AF224" i="30"/>
  <c r="AE224" i="30"/>
  <c r="AD224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C224" i="30"/>
  <c r="E223" i="30"/>
  <c r="D259" i="30" s="1"/>
  <c r="D223" i="30"/>
  <c r="C259" i="30" s="1"/>
  <c r="B223" i="30"/>
  <c r="AF259" i="30" s="1"/>
  <c r="D222" i="30"/>
  <c r="E222" i="30" s="1"/>
  <c r="F222" i="30" s="1"/>
  <c r="G222" i="30" s="1"/>
  <c r="H222" i="30" s="1"/>
  <c r="I222" i="30" s="1"/>
  <c r="J222" i="30" s="1"/>
  <c r="K222" i="30" s="1"/>
  <c r="L222" i="30" s="1"/>
  <c r="M222" i="30" s="1"/>
  <c r="N222" i="30" s="1"/>
  <c r="O222" i="30" s="1"/>
  <c r="P222" i="30" s="1"/>
  <c r="B222" i="30"/>
  <c r="D221" i="30"/>
  <c r="E221" i="30" s="1"/>
  <c r="F221" i="30" s="1"/>
  <c r="G221" i="30" s="1"/>
  <c r="H221" i="30" s="1"/>
  <c r="I221" i="30" s="1"/>
  <c r="J221" i="30" s="1"/>
  <c r="K221" i="30" s="1"/>
  <c r="L221" i="30" s="1"/>
  <c r="M221" i="30" s="1"/>
  <c r="N221" i="30" s="1"/>
  <c r="O221" i="30" s="1"/>
  <c r="P221" i="30" s="1"/>
  <c r="B221" i="30"/>
  <c r="D220" i="30"/>
  <c r="E220" i="30" s="1"/>
  <c r="F220" i="30" s="1"/>
  <c r="G220" i="30" s="1"/>
  <c r="H220" i="30" s="1"/>
  <c r="I220" i="30" s="1"/>
  <c r="J220" i="30" s="1"/>
  <c r="K220" i="30" s="1"/>
  <c r="L220" i="30" s="1"/>
  <c r="M220" i="30" s="1"/>
  <c r="N220" i="30" s="1"/>
  <c r="O220" i="30" s="1"/>
  <c r="P220" i="30" s="1"/>
  <c r="B220" i="30"/>
  <c r="E219" i="30"/>
  <c r="F219" i="30" s="1"/>
  <c r="G219" i="30" s="1"/>
  <c r="H219" i="30" s="1"/>
  <c r="I219" i="30" s="1"/>
  <c r="J219" i="30" s="1"/>
  <c r="K219" i="30" s="1"/>
  <c r="L219" i="30" s="1"/>
  <c r="M219" i="30" s="1"/>
  <c r="N219" i="30" s="1"/>
  <c r="O219" i="30" s="1"/>
  <c r="P219" i="30" s="1"/>
  <c r="D219" i="30"/>
  <c r="B219" i="30"/>
  <c r="D218" i="30"/>
  <c r="B218" i="30"/>
  <c r="B100" i="30" s="1"/>
  <c r="AG216" i="30"/>
  <c r="AF216" i="30"/>
  <c r="AE216" i="30"/>
  <c r="AD216" i="30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J216" i="30"/>
  <c r="I216" i="30"/>
  <c r="H216" i="30"/>
  <c r="G216" i="30"/>
  <c r="F216" i="30"/>
  <c r="E216" i="30"/>
  <c r="D216" i="30"/>
  <c r="C216" i="30"/>
  <c r="B216" i="30"/>
  <c r="AI109" i="30"/>
  <c r="AH109" i="30"/>
  <c r="AI108" i="30"/>
  <c r="AH108" i="30"/>
  <c r="AI107" i="30"/>
  <c r="AH107" i="30"/>
  <c r="AI106" i="30"/>
  <c r="AH106" i="30"/>
  <c r="AI105" i="30"/>
  <c r="AH105" i="30"/>
  <c r="AI104" i="30"/>
  <c r="AH104" i="30"/>
  <c r="AI102" i="30"/>
  <c r="AH102" i="30"/>
  <c r="AI101" i="30"/>
  <c r="AH101" i="30"/>
  <c r="AF100" i="30"/>
  <c r="AE100" i="30"/>
  <c r="AD100" i="30"/>
  <c r="AC100" i="30"/>
  <c r="AB100" i="30"/>
  <c r="AA100" i="30"/>
  <c r="Z100" i="30"/>
  <c r="Y100" i="30"/>
  <c r="X100" i="30"/>
  <c r="W100" i="30"/>
  <c r="U100" i="30"/>
  <c r="T100" i="30"/>
  <c r="S100" i="30"/>
  <c r="R100" i="30"/>
  <c r="Q100" i="30"/>
  <c r="C100" i="30"/>
  <c r="AI99" i="30"/>
  <c r="AH99" i="30"/>
  <c r="AI98" i="30"/>
  <c r="AH98" i="30"/>
  <c r="AI97" i="30"/>
  <c r="AH97" i="30"/>
  <c r="AI96" i="30"/>
  <c r="AH96" i="30"/>
  <c r="AI95" i="30"/>
  <c r="AH95" i="30"/>
  <c r="AI94" i="30"/>
  <c r="AH94" i="30"/>
  <c r="AI93" i="30"/>
  <c r="AH93" i="30"/>
  <c r="AI92" i="30"/>
  <c r="AH92" i="30"/>
  <c r="AI91" i="30"/>
  <c r="AH91" i="30"/>
  <c r="AI88" i="30"/>
  <c r="AH88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AI80" i="30"/>
  <c r="AH80" i="30"/>
  <c r="AI78" i="30"/>
  <c r="AH78" i="30"/>
  <c r="AG78" i="30"/>
  <c r="AI77" i="30"/>
  <c r="AH77" i="30"/>
  <c r="AI76" i="30"/>
  <c r="AH76" i="30"/>
  <c r="AI75" i="30"/>
  <c r="AH75" i="30"/>
  <c r="AG74" i="30"/>
  <c r="AF74" i="30"/>
  <c r="AE74" i="30"/>
  <c r="AD74" i="30"/>
  <c r="AC74" i="30"/>
  <c r="AB74" i="30"/>
  <c r="AA74" i="30"/>
  <c r="Z5" i="30" s="1"/>
  <c r="Z74" i="30"/>
  <c r="Y5" i="30" s="1"/>
  <c r="Y74" i="30"/>
  <c r="X74" i="30"/>
  <c r="W74" i="30"/>
  <c r="V5" i="30" s="1"/>
  <c r="V74" i="30"/>
  <c r="U5" i="30" s="1"/>
  <c r="U74" i="30"/>
  <c r="T74" i="30"/>
  <c r="S74" i="30"/>
  <c r="R5" i="30" s="1"/>
  <c r="R74" i="30"/>
  <c r="Q74" i="30"/>
  <c r="P74" i="30"/>
  <c r="O74" i="30"/>
  <c r="N5" i="30" s="1"/>
  <c r="N74" i="30"/>
  <c r="M5" i="30" s="1"/>
  <c r="M74" i="30"/>
  <c r="L74" i="30"/>
  <c r="K5" i="30" s="1"/>
  <c r="K74" i="30"/>
  <c r="J5" i="30" s="1"/>
  <c r="J74" i="30"/>
  <c r="I5" i="30" s="1"/>
  <c r="I74" i="30"/>
  <c r="H5" i="30" s="1"/>
  <c r="H74" i="30"/>
  <c r="G5" i="30" s="1"/>
  <c r="G74" i="30"/>
  <c r="F5" i="30" s="1"/>
  <c r="F74" i="30"/>
  <c r="E74" i="30"/>
  <c r="D74" i="30"/>
  <c r="C74" i="30"/>
  <c r="B5" i="30" s="1"/>
  <c r="B74" i="30"/>
  <c r="AF5" i="30" s="1"/>
  <c r="AI73" i="30"/>
  <c r="AH73" i="30"/>
  <c r="AI72" i="30"/>
  <c r="AH72" i="30"/>
  <c r="AI71" i="30"/>
  <c r="AH71" i="30"/>
  <c r="AI70" i="30"/>
  <c r="AH70" i="30"/>
  <c r="AI69" i="30"/>
  <c r="AH69" i="30"/>
  <c r="AI68" i="30"/>
  <c r="AH68" i="30"/>
  <c r="AI67" i="30"/>
  <c r="AH67" i="30"/>
  <c r="AI66" i="30"/>
  <c r="AH66" i="30"/>
  <c r="AI65" i="30"/>
  <c r="AH65" i="30"/>
  <c r="AI64" i="30"/>
  <c r="AH64" i="30"/>
  <c r="AI63" i="30"/>
  <c r="AH63" i="30"/>
  <c r="AG62" i="30"/>
  <c r="AF62" i="30"/>
  <c r="AE62" i="30"/>
  <c r="AD62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AI61" i="30"/>
  <c r="AH61" i="30"/>
  <c r="AI60" i="30"/>
  <c r="AH60" i="30"/>
  <c r="AI59" i="30"/>
  <c r="AH59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B58" i="30"/>
  <c r="AI57" i="30"/>
  <c r="AH57" i="30"/>
  <c r="AI56" i="30"/>
  <c r="AH56" i="30"/>
  <c r="AI55" i="30"/>
  <c r="AH55" i="30"/>
  <c r="AI54" i="30"/>
  <c r="AH54" i="30"/>
  <c r="AI53" i="30"/>
  <c r="AH53" i="30"/>
  <c r="AI52" i="30"/>
  <c r="AH52" i="30"/>
  <c r="AI51" i="30"/>
  <c r="AH51" i="30"/>
  <c r="AI50" i="30"/>
  <c r="AH50" i="30"/>
  <c r="AI49" i="30"/>
  <c r="AH49" i="30"/>
  <c r="AI48" i="30"/>
  <c r="AH48" i="30"/>
  <c r="AI47" i="30"/>
  <c r="AH47" i="30"/>
  <c r="AI46" i="30"/>
  <c r="AH46" i="30"/>
  <c r="AI45" i="30"/>
  <c r="AH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AI43" i="30"/>
  <c r="AH43" i="30"/>
  <c r="AI42" i="30"/>
  <c r="AH42" i="30"/>
  <c r="AI41" i="30"/>
  <c r="AH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AI38" i="30"/>
  <c r="AH38" i="30"/>
  <c r="AI37" i="30"/>
  <c r="AH37" i="30"/>
  <c r="AI36" i="30"/>
  <c r="AH36" i="30"/>
  <c r="AI35" i="30"/>
  <c r="AH35" i="30"/>
  <c r="AI34" i="30"/>
  <c r="AH34" i="30"/>
  <c r="AI33" i="30"/>
  <c r="AH33" i="30"/>
  <c r="AI32" i="30"/>
  <c r="AH32" i="30"/>
  <c r="AI31" i="30"/>
  <c r="AH31" i="30"/>
  <c r="AI30" i="30"/>
  <c r="AH30" i="30"/>
  <c r="AI29" i="30"/>
  <c r="AH29" i="30"/>
  <c r="AI28" i="30"/>
  <c r="AH28" i="30"/>
  <c r="AI27" i="30"/>
  <c r="AH27" i="30"/>
  <c r="AI26" i="30"/>
  <c r="AH26" i="30"/>
  <c r="AI25" i="30"/>
  <c r="AH25" i="30"/>
  <c r="AI24" i="30"/>
  <c r="AH24" i="30"/>
  <c r="AI23" i="30"/>
  <c r="AH23" i="30"/>
  <c r="AI22" i="30"/>
  <c r="AH22" i="30"/>
  <c r="AI21" i="30"/>
  <c r="AH21" i="30"/>
  <c r="AI20" i="30"/>
  <c r="AH20" i="30"/>
  <c r="AI19" i="30"/>
  <c r="AH19" i="30"/>
  <c r="AI18" i="30"/>
  <c r="AH18" i="30"/>
  <c r="AI17" i="30"/>
  <c r="AH17" i="30"/>
  <c r="AI16" i="30"/>
  <c r="AH16" i="30"/>
  <c r="AI15" i="30"/>
  <c r="AH15" i="30"/>
  <c r="AI14" i="30"/>
  <c r="AH14" i="30"/>
  <c r="AI13" i="30"/>
  <c r="AH13" i="30"/>
  <c r="AI12" i="30"/>
  <c r="AH12" i="30"/>
  <c r="AI11" i="30"/>
  <c r="AH11" i="30"/>
  <c r="AE5" i="30"/>
  <c r="AA5" i="30"/>
  <c r="Q5" i="30"/>
  <c r="AG4" i="30"/>
  <c r="K4" i="30"/>
  <c r="B4" i="30"/>
  <c r="S235" i="30" s="1"/>
  <c r="AG2" i="30"/>
  <c r="AA103" i="29"/>
  <c r="AA39" i="29"/>
  <c r="Z103" i="29"/>
  <c r="Z39" i="29"/>
  <c r="Y103" i="29"/>
  <c r="Y39" i="29"/>
  <c r="X103" i="29"/>
  <c r="X39" i="29"/>
  <c r="W103" i="29"/>
  <c r="W39" i="29"/>
  <c r="V103" i="29"/>
  <c r="V39" i="29"/>
  <c r="U103" i="29"/>
  <c r="U100" i="29" s="1"/>
  <c r="U39" i="29"/>
  <c r="T103" i="29"/>
  <c r="T39" i="29"/>
  <c r="S39" i="29"/>
  <c r="R39" i="29"/>
  <c r="Q103" i="29"/>
  <c r="Q39" i="29"/>
  <c r="P103" i="29"/>
  <c r="P39" i="29"/>
  <c r="O103" i="29"/>
  <c r="O39" i="29"/>
  <c r="M103" i="29"/>
  <c r="M39" i="29"/>
  <c r="L103" i="29"/>
  <c r="J103" i="29"/>
  <c r="K103" i="29"/>
  <c r="L39" i="29"/>
  <c r="J39" i="29"/>
  <c r="K39" i="29"/>
  <c r="I103" i="29"/>
  <c r="H103" i="29"/>
  <c r="I39" i="29"/>
  <c r="H39" i="29"/>
  <c r="G103" i="29"/>
  <c r="AH103" i="29" s="1"/>
  <c r="G39" i="29"/>
  <c r="AH39" i="29" s="1"/>
  <c r="B44" i="29"/>
  <c r="AF263" i="29"/>
  <c r="AE263" i="29"/>
  <c r="AD263" i="29"/>
  <c r="AC263" i="29"/>
  <c r="AB263" i="29"/>
  <c r="AA263" i="29"/>
  <c r="Z263" i="29"/>
  <c r="Y263" i="29"/>
  <c r="X263" i="29"/>
  <c r="W263" i="29"/>
  <c r="V263" i="29"/>
  <c r="U263" i="29"/>
  <c r="T263" i="29"/>
  <c r="S263" i="29"/>
  <c r="R263" i="29"/>
  <c r="Q263" i="29"/>
  <c r="P263" i="29"/>
  <c r="O263" i="29"/>
  <c r="N263" i="29"/>
  <c r="M263" i="29"/>
  <c r="L263" i="29"/>
  <c r="K263" i="29"/>
  <c r="J263" i="29"/>
  <c r="I263" i="29"/>
  <c r="H263" i="29"/>
  <c r="G263" i="29"/>
  <c r="F263" i="29"/>
  <c r="E263" i="29"/>
  <c r="D263" i="29"/>
  <c r="C263" i="29"/>
  <c r="B263" i="29"/>
  <c r="A263" i="29"/>
  <c r="AF262" i="29"/>
  <c r="AE262" i="29"/>
  <c r="AD262" i="29"/>
  <c r="AC262" i="29"/>
  <c r="AB262" i="29"/>
  <c r="AA262" i="29"/>
  <c r="Z262" i="29"/>
  <c r="Y262" i="29"/>
  <c r="X262" i="29"/>
  <c r="W262" i="29"/>
  <c r="V262" i="29"/>
  <c r="U262" i="29"/>
  <c r="T262" i="29"/>
  <c r="S262" i="29"/>
  <c r="R262" i="29"/>
  <c r="Q262" i="29"/>
  <c r="P262" i="29"/>
  <c r="O262" i="29"/>
  <c r="N262" i="29"/>
  <c r="M262" i="29"/>
  <c r="L262" i="29"/>
  <c r="K262" i="29"/>
  <c r="J262" i="29"/>
  <c r="I262" i="29"/>
  <c r="H262" i="29"/>
  <c r="G262" i="29"/>
  <c r="F262" i="29"/>
  <c r="E262" i="29"/>
  <c r="D262" i="29"/>
  <c r="C262" i="29"/>
  <c r="B262" i="29"/>
  <c r="A262" i="29"/>
  <c r="AF261" i="29"/>
  <c r="AE261" i="29"/>
  <c r="AD261" i="29"/>
  <c r="AC261" i="29"/>
  <c r="AB261" i="29"/>
  <c r="AA261" i="29"/>
  <c r="Z261" i="29"/>
  <c r="Y261" i="29"/>
  <c r="X261" i="29"/>
  <c r="W261" i="29"/>
  <c r="V261" i="29"/>
  <c r="U261" i="29"/>
  <c r="T261" i="29"/>
  <c r="S261" i="29"/>
  <c r="R261" i="29"/>
  <c r="Q261" i="29"/>
  <c r="P261" i="29"/>
  <c r="O261" i="29"/>
  <c r="N261" i="29"/>
  <c r="M261" i="29"/>
  <c r="L261" i="29"/>
  <c r="K261" i="29"/>
  <c r="J261" i="29"/>
  <c r="I261" i="29"/>
  <c r="H261" i="29"/>
  <c r="G261" i="29"/>
  <c r="F261" i="29"/>
  <c r="E261" i="29"/>
  <c r="D261" i="29"/>
  <c r="C261" i="29"/>
  <c r="B261" i="29"/>
  <c r="A261" i="29"/>
  <c r="AF260" i="29"/>
  <c r="AE260" i="29"/>
  <c r="AD260" i="29"/>
  <c r="AC260" i="29"/>
  <c r="AB260" i="29"/>
  <c r="AA260" i="29"/>
  <c r="Z260" i="29"/>
  <c r="Y260" i="29"/>
  <c r="X260" i="29"/>
  <c r="W260" i="29"/>
  <c r="V260" i="29"/>
  <c r="U260" i="29"/>
  <c r="T260" i="29"/>
  <c r="S260" i="29"/>
  <c r="R260" i="29"/>
  <c r="Q260" i="29"/>
  <c r="P260" i="29"/>
  <c r="O260" i="29"/>
  <c r="N260" i="29"/>
  <c r="M260" i="29"/>
  <c r="L260" i="29"/>
  <c r="K260" i="29"/>
  <c r="J260" i="29"/>
  <c r="I260" i="29"/>
  <c r="H260" i="29"/>
  <c r="G260" i="29"/>
  <c r="F260" i="29"/>
  <c r="E260" i="29"/>
  <c r="D260" i="29"/>
  <c r="C260" i="29"/>
  <c r="B260" i="29"/>
  <c r="A260" i="29"/>
  <c r="AE259" i="29"/>
  <c r="AD259" i="29"/>
  <c r="AC259" i="29"/>
  <c r="AB259" i="29"/>
  <c r="AA259" i="29"/>
  <c r="Z259" i="29"/>
  <c r="Y259" i="29"/>
  <c r="X259" i="29"/>
  <c r="W259" i="29"/>
  <c r="V259" i="29"/>
  <c r="U259" i="29"/>
  <c r="T259" i="29"/>
  <c r="S259" i="29"/>
  <c r="R259" i="29"/>
  <c r="Q259" i="29"/>
  <c r="P259" i="29"/>
  <c r="B259" i="29"/>
  <c r="S234" i="29"/>
  <c r="AG224" i="29"/>
  <c r="AF224" i="29"/>
  <c r="AE224" i="29"/>
  <c r="AD224" i="29"/>
  <c r="AC224" i="29"/>
  <c r="AB224" i="29"/>
  <c r="AA224" i="29"/>
  <c r="Z224" i="29"/>
  <c r="Y224" i="29"/>
  <c r="X224" i="29"/>
  <c r="W224" i="29"/>
  <c r="V224" i="29"/>
  <c r="U224" i="29"/>
  <c r="T224" i="29"/>
  <c r="S224" i="29"/>
  <c r="R224" i="29"/>
  <c r="Q224" i="29"/>
  <c r="C224" i="29"/>
  <c r="D223" i="29"/>
  <c r="E223" i="29" s="1"/>
  <c r="B223" i="29"/>
  <c r="AF259" i="29" s="1"/>
  <c r="E222" i="29"/>
  <c r="F222" i="29" s="1"/>
  <c r="G222" i="29" s="1"/>
  <c r="H222" i="29" s="1"/>
  <c r="I222" i="29" s="1"/>
  <c r="J222" i="29" s="1"/>
  <c r="K222" i="29" s="1"/>
  <c r="L222" i="29" s="1"/>
  <c r="M222" i="29" s="1"/>
  <c r="N222" i="29" s="1"/>
  <c r="O222" i="29" s="1"/>
  <c r="P222" i="29" s="1"/>
  <c r="D222" i="29"/>
  <c r="B222" i="29"/>
  <c r="D221" i="29"/>
  <c r="E221" i="29" s="1"/>
  <c r="F221" i="29" s="1"/>
  <c r="G221" i="29" s="1"/>
  <c r="H221" i="29" s="1"/>
  <c r="I221" i="29" s="1"/>
  <c r="J221" i="29" s="1"/>
  <c r="K221" i="29" s="1"/>
  <c r="L221" i="29" s="1"/>
  <c r="M221" i="29" s="1"/>
  <c r="N221" i="29" s="1"/>
  <c r="O221" i="29" s="1"/>
  <c r="P221" i="29" s="1"/>
  <c r="B221" i="29"/>
  <c r="D220" i="29"/>
  <c r="E220" i="29" s="1"/>
  <c r="F220" i="29" s="1"/>
  <c r="G220" i="29" s="1"/>
  <c r="H220" i="29" s="1"/>
  <c r="I220" i="29" s="1"/>
  <c r="J220" i="29" s="1"/>
  <c r="K220" i="29" s="1"/>
  <c r="L220" i="29" s="1"/>
  <c r="M220" i="29" s="1"/>
  <c r="N220" i="29" s="1"/>
  <c r="O220" i="29" s="1"/>
  <c r="P220" i="29" s="1"/>
  <c r="B220" i="29"/>
  <c r="D219" i="29"/>
  <c r="E219" i="29" s="1"/>
  <c r="F219" i="29" s="1"/>
  <c r="G219" i="29" s="1"/>
  <c r="H219" i="29" s="1"/>
  <c r="I219" i="29" s="1"/>
  <c r="J219" i="29" s="1"/>
  <c r="K219" i="29" s="1"/>
  <c r="L219" i="29" s="1"/>
  <c r="M219" i="29" s="1"/>
  <c r="N219" i="29" s="1"/>
  <c r="O219" i="29" s="1"/>
  <c r="P219" i="29" s="1"/>
  <c r="B219" i="29"/>
  <c r="F218" i="29"/>
  <c r="G218" i="29" s="1"/>
  <c r="E218" i="29"/>
  <c r="D218" i="29"/>
  <c r="B218" i="29"/>
  <c r="AG216" i="29"/>
  <c r="AF216" i="29"/>
  <c r="AE216" i="29"/>
  <c r="AD216" i="29"/>
  <c r="AC216" i="29"/>
  <c r="AB216" i="29"/>
  <c r="AA216" i="29"/>
  <c r="Z216" i="29"/>
  <c r="Y216" i="29"/>
  <c r="X216" i="29"/>
  <c r="W216" i="29"/>
  <c r="V216" i="29"/>
  <c r="U216" i="29"/>
  <c r="T216" i="29"/>
  <c r="S216" i="29"/>
  <c r="R216" i="29"/>
  <c r="Q216" i="29"/>
  <c r="P216" i="29"/>
  <c r="O216" i="29"/>
  <c r="N216" i="29"/>
  <c r="M216" i="29"/>
  <c r="L216" i="29"/>
  <c r="K216" i="29"/>
  <c r="J216" i="29"/>
  <c r="I216" i="29"/>
  <c r="H216" i="29"/>
  <c r="G216" i="29"/>
  <c r="F216" i="29"/>
  <c r="E216" i="29"/>
  <c r="D216" i="29"/>
  <c r="C216" i="29"/>
  <c r="B216" i="29"/>
  <c r="AI109" i="29"/>
  <c r="AI108" i="29"/>
  <c r="AI107" i="29"/>
  <c r="AI106" i="29"/>
  <c r="AI105" i="29"/>
  <c r="AI104" i="29"/>
  <c r="AI102" i="29"/>
  <c r="AI101" i="29"/>
  <c r="AF100" i="29"/>
  <c r="AE100" i="29"/>
  <c r="AD100" i="29"/>
  <c r="AC100" i="29"/>
  <c r="AB100" i="29"/>
  <c r="AA100" i="29"/>
  <c r="Z100" i="29"/>
  <c r="Y100" i="29"/>
  <c r="X100" i="29"/>
  <c r="W100" i="29"/>
  <c r="V100" i="29"/>
  <c r="T100" i="29"/>
  <c r="S100" i="29"/>
  <c r="R100" i="29"/>
  <c r="Q100" i="29"/>
  <c r="D100" i="29"/>
  <c r="C100" i="29"/>
  <c r="AI99" i="29"/>
  <c r="AI98" i="29"/>
  <c r="AI97" i="29"/>
  <c r="AI96" i="29"/>
  <c r="AI95" i="29"/>
  <c r="AI94" i="29"/>
  <c r="AI93" i="29"/>
  <c r="AI92" i="29"/>
  <c r="AI91" i="29"/>
  <c r="AI88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AH87" i="29" s="1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AH86" i="29" s="1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AH85" i="29" s="1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AH84" i="29" s="1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AH83" i="29" s="1"/>
  <c r="AI80" i="29"/>
  <c r="AI78" i="29"/>
  <c r="AG78" i="29"/>
  <c r="AI77" i="29"/>
  <c r="AI76" i="29"/>
  <c r="AI75" i="29"/>
  <c r="AG74" i="29"/>
  <c r="AF74" i="29"/>
  <c r="AE5" i="29" s="1"/>
  <c r="AE74" i="29"/>
  <c r="AD74" i="29"/>
  <c r="AC5" i="29" s="1"/>
  <c r="AC74" i="29"/>
  <c r="AB5" i="29" s="1"/>
  <c r="AB74" i="29"/>
  <c r="AA5" i="29" s="1"/>
  <c r="AA74" i="29"/>
  <c r="Z5" i="29" s="1"/>
  <c r="Z74" i="29"/>
  <c r="Y5" i="29" s="1"/>
  <c r="Y74" i="29"/>
  <c r="X5" i="29" s="1"/>
  <c r="X74" i="29"/>
  <c r="W5" i="29" s="1"/>
  <c r="W74" i="29"/>
  <c r="V74" i="29"/>
  <c r="U5" i="29" s="1"/>
  <c r="U74" i="29"/>
  <c r="T74" i="29"/>
  <c r="S5" i="29" s="1"/>
  <c r="S74" i="29"/>
  <c r="R74" i="29"/>
  <c r="Q5" i="29" s="1"/>
  <c r="Q74" i="29"/>
  <c r="P5" i="29" s="1"/>
  <c r="P74" i="29"/>
  <c r="O74" i="29"/>
  <c r="N5" i="29" s="1"/>
  <c r="N74" i="29"/>
  <c r="M74" i="29"/>
  <c r="L5" i="29" s="1"/>
  <c r="L74" i="29"/>
  <c r="K5" i="29" s="1"/>
  <c r="K74" i="29"/>
  <c r="J5" i="29" s="1"/>
  <c r="J74" i="29"/>
  <c r="I5" i="29" s="1"/>
  <c r="I74" i="29"/>
  <c r="H5" i="29" s="1"/>
  <c r="H74" i="29"/>
  <c r="G5" i="29" s="1"/>
  <c r="G74" i="29"/>
  <c r="F74" i="29"/>
  <c r="E74" i="29"/>
  <c r="D74" i="29"/>
  <c r="C5" i="29" s="1"/>
  <c r="C74" i="29"/>
  <c r="B5" i="29" s="1"/>
  <c r="B74" i="29"/>
  <c r="AF5" i="29" s="1"/>
  <c r="AI73" i="29"/>
  <c r="AI72" i="29"/>
  <c r="AI71" i="29"/>
  <c r="AI70" i="29"/>
  <c r="AI69" i="29"/>
  <c r="AI68" i="29"/>
  <c r="AI67" i="29"/>
  <c r="AI66" i="29"/>
  <c r="AI65" i="29"/>
  <c r="AI64" i="29"/>
  <c r="AI63" i="29"/>
  <c r="AG62" i="29"/>
  <c r="AF62" i="29"/>
  <c r="AE62" i="29"/>
  <c r="AD62" i="29"/>
  <c r="AC62" i="29"/>
  <c r="AB62" i="29"/>
  <c r="AA62" i="29"/>
  <c r="Z62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AH62" i="29" s="1"/>
  <c r="AI61" i="29"/>
  <c r="AI60" i="29"/>
  <c r="AI59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B58" i="29"/>
  <c r="AH58" i="29" s="1"/>
  <c r="AI57" i="29"/>
  <c r="AG57" i="29"/>
  <c r="AG58" i="29" s="1"/>
  <c r="AG3" i="29" s="1"/>
  <c r="AI56" i="29"/>
  <c r="AI55" i="29"/>
  <c r="AI54" i="29"/>
  <c r="AI53" i="29"/>
  <c r="AI52" i="29"/>
  <c r="AI51" i="29"/>
  <c r="AI50" i="29"/>
  <c r="AI49" i="29"/>
  <c r="AI48" i="29"/>
  <c r="AI47" i="29"/>
  <c r="AI46" i="29"/>
  <c r="AI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I43" i="29"/>
  <c r="AI42" i="29"/>
  <c r="AI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AH40" i="29" s="1"/>
  <c r="C40" i="29"/>
  <c r="B40" i="29"/>
  <c r="AI38" i="29"/>
  <c r="AI37" i="29"/>
  <c r="AI36" i="29"/>
  <c r="AI35" i="29"/>
  <c r="AI34" i="29"/>
  <c r="AI33" i="29"/>
  <c r="AI32" i="29"/>
  <c r="AI31" i="29"/>
  <c r="AI30" i="29"/>
  <c r="AI29" i="29"/>
  <c r="AI28" i="29"/>
  <c r="AI27" i="29"/>
  <c r="AI26" i="29"/>
  <c r="AI25" i="29"/>
  <c r="AI24" i="29"/>
  <c r="AI23" i="29"/>
  <c r="AI22" i="29"/>
  <c r="AI21" i="29"/>
  <c r="AI20" i="29"/>
  <c r="AI19" i="29"/>
  <c r="AI18" i="29"/>
  <c r="AI17" i="29"/>
  <c r="AI16" i="29"/>
  <c r="AI15" i="29"/>
  <c r="AI14" i="29"/>
  <c r="AI13" i="29"/>
  <c r="AI12" i="29"/>
  <c r="AI11" i="29"/>
  <c r="O5" i="29"/>
  <c r="AG4" i="29"/>
  <c r="K4" i="29"/>
  <c r="B4" i="29"/>
  <c r="S235" i="29" s="1"/>
  <c r="AG2" i="29"/>
  <c r="AD103" i="28"/>
  <c r="AD39" i="28"/>
  <c r="AC103" i="28"/>
  <c r="AC39" i="28"/>
  <c r="AA103" i="28"/>
  <c r="AB103" i="28"/>
  <c r="AB39" i="28"/>
  <c r="E4" i="31"/>
  <c r="E4" i="30"/>
  <c r="E4" i="29"/>
  <c r="B224" i="29" l="1"/>
  <c r="S89" i="29"/>
  <c r="T89" i="29"/>
  <c r="D224" i="29"/>
  <c r="G89" i="31"/>
  <c r="D224" i="31"/>
  <c r="D89" i="29"/>
  <c r="D90" i="29" s="1"/>
  <c r="L89" i="29"/>
  <c r="L90" i="29" s="1"/>
  <c r="E100" i="29"/>
  <c r="V89" i="30"/>
  <c r="Q89" i="30"/>
  <c r="Q90" i="30" s="1"/>
  <c r="W79" i="31"/>
  <c r="W81" i="31" s="1"/>
  <c r="AE79" i="31"/>
  <c r="AE81" i="31" s="1"/>
  <c r="P89" i="31"/>
  <c r="P90" i="31" s="1"/>
  <c r="X89" i="31"/>
  <c r="X90" i="31" s="1"/>
  <c r="AF89" i="31"/>
  <c r="D224" i="30"/>
  <c r="O79" i="31"/>
  <c r="O81" i="31" s="1"/>
  <c r="B100" i="31"/>
  <c r="S90" i="29"/>
  <c r="AF89" i="30"/>
  <c r="AI103" i="30"/>
  <c r="AG6" i="31"/>
  <c r="K259" i="32"/>
  <c r="M223" i="32"/>
  <c r="L100" i="32"/>
  <c r="L224" i="32"/>
  <c r="AH44" i="29"/>
  <c r="B100" i="29"/>
  <c r="C259" i="29"/>
  <c r="AH39" i="30"/>
  <c r="AH39" i="31"/>
  <c r="D100" i="31"/>
  <c r="AH103" i="31"/>
  <c r="J89" i="29"/>
  <c r="R89" i="30"/>
  <c r="Z89" i="30"/>
  <c r="Z90" i="30" s="1"/>
  <c r="U89" i="30"/>
  <c r="U82" i="30" s="1"/>
  <c r="D100" i="30"/>
  <c r="AH74" i="29"/>
  <c r="E223" i="31"/>
  <c r="D259" i="31" s="1"/>
  <c r="N223" i="33"/>
  <c r="L259" i="33"/>
  <c r="M259" i="35"/>
  <c r="O223" i="35"/>
  <c r="N100" i="35"/>
  <c r="N224" i="35"/>
  <c r="M259" i="34"/>
  <c r="O223" i="34"/>
  <c r="N100" i="34"/>
  <c r="N224" i="34"/>
  <c r="L224" i="33"/>
  <c r="L100" i="33"/>
  <c r="M218" i="33"/>
  <c r="O218" i="32"/>
  <c r="AF90" i="31"/>
  <c r="AF79" i="31"/>
  <c r="AF81" i="31" s="1"/>
  <c r="AF7" i="31" s="1"/>
  <c r="AE89" i="31"/>
  <c r="AE90" i="31" s="1"/>
  <c r="AD89" i="31"/>
  <c r="AD90" i="31" s="1"/>
  <c r="AD79" i="31"/>
  <c r="AD81" i="31" s="1"/>
  <c r="AC89" i="31"/>
  <c r="AB89" i="31"/>
  <c r="AB79" i="31"/>
  <c r="AB81" i="31" s="1"/>
  <c r="AB7" i="31" s="1"/>
  <c r="AC79" i="31"/>
  <c r="AC81" i="31" s="1"/>
  <c r="AA89" i="31"/>
  <c r="AA90" i="31" s="1"/>
  <c r="AA79" i="31"/>
  <c r="AA81" i="31" s="1"/>
  <c r="AA7" i="31" s="1"/>
  <c r="Z89" i="31"/>
  <c r="Z90" i="31" s="1"/>
  <c r="Z79" i="31"/>
  <c r="Z81" i="31" s="1"/>
  <c r="Z7" i="31" s="1"/>
  <c r="Y79" i="31"/>
  <c r="Y81" i="31" s="1"/>
  <c r="Y89" i="31"/>
  <c r="Y90" i="31" s="1"/>
  <c r="X79" i="31"/>
  <c r="X81" i="31" s="1"/>
  <c r="X7" i="31" s="1"/>
  <c r="W89" i="31"/>
  <c r="W90" i="31" s="1"/>
  <c r="V89" i="31"/>
  <c r="V90" i="31" s="1"/>
  <c r="V79" i="31"/>
  <c r="V81" i="31" s="1"/>
  <c r="U89" i="31"/>
  <c r="U79" i="31"/>
  <c r="U81" i="31" s="1"/>
  <c r="U82" i="31" s="1"/>
  <c r="T89" i="31"/>
  <c r="T79" i="31"/>
  <c r="T81" i="31" s="1"/>
  <c r="S89" i="31"/>
  <c r="S90" i="31" s="1"/>
  <c r="S79" i="31"/>
  <c r="S81" i="31" s="1"/>
  <c r="S7" i="31" s="1"/>
  <c r="R79" i="31"/>
  <c r="R81" i="31" s="1"/>
  <c r="R89" i="31"/>
  <c r="R90" i="31" s="1"/>
  <c r="Q89" i="31"/>
  <c r="Q90" i="31" s="1"/>
  <c r="P5" i="31"/>
  <c r="Q79" i="31"/>
  <c r="Q81" i="31" s="1"/>
  <c r="Q7" i="31" s="1"/>
  <c r="O5" i="31"/>
  <c r="P79" i="31"/>
  <c r="P81" i="31" s="1"/>
  <c r="AH238" i="31" s="1"/>
  <c r="O89" i="31"/>
  <c r="O90" i="31" s="1"/>
  <c r="N89" i="31"/>
  <c r="N90" i="31" s="1"/>
  <c r="M5" i="31"/>
  <c r="N79" i="31"/>
  <c r="N81" i="31" s="1"/>
  <c r="AF238" i="31" s="1"/>
  <c r="M89" i="31"/>
  <c r="AI84" i="31"/>
  <c r="K89" i="31"/>
  <c r="K90" i="31" s="1"/>
  <c r="L89" i="31"/>
  <c r="L90" i="31" s="1"/>
  <c r="L79" i="31"/>
  <c r="L81" i="31" s="1"/>
  <c r="L7" i="31" s="1"/>
  <c r="K79" i="31"/>
  <c r="K81" i="31" s="1"/>
  <c r="K7" i="31" s="1"/>
  <c r="J89" i="31"/>
  <c r="J90" i="31" s="1"/>
  <c r="I5" i="31"/>
  <c r="AI86" i="31"/>
  <c r="I89" i="31"/>
  <c r="I90" i="31" s="1"/>
  <c r="H89" i="31"/>
  <c r="H90" i="31" s="1"/>
  <c r="H79" i="31"/>
  <c r="H81" i="31" s="1"/>
  <c r="H7" i="31" s="1"/>
  <c r="G90" i="31"/>
  <c r="G79" i="31"/>
  <c r="G81" i="31" s="1"/>
  <c r="F89" i="31"/>
  <c r="F90" i="31" s="1"/>
  <c r="E5" i="31"/>
  <c r="AI87" i="31"/>
  <c r="F79" i="31"/>
  <c r="F81" i="31" s="1"/>
  <c r="F7" i="31" s="1"/>
  <c r="E89" i="31"/>
  <c r="E90" i="31" s="1"/>
  <c r="E79" i="31"/>
  <c r="E81" i="31" s="1"/>
  <c r="E7" i="31" s="1"/>
  <c r="AI62" i="31"/>
  <c r="I79" i="31"/>
  <c r="I81" i="31" s="1"/>
  <c r="J79" i="31"/>
  <c r="J81" i="31" s="1"/>
  <c r="J7" i="31" s="1"/>
  <c r="AI83" i="31"/>
  <c r="D79" i="31"/>
  <c r="D81" i="31" s="1"/>
  <c r="V238" i="31" s="1"/>
  <c r="D89" i="31"/>
  <c r="D90" i="31" s="1"/>
  <c r="AI85" i="31"/>
  <c r="C89" i="31"/>
  <c r="C90" i="31" s="1"/>
  <c r="AI58" i="31"/>
  <c r="AI44" i="31"/>
  <c r="C79" i="31"/>
  <c r="C81" i="31" s="1"/>
  <c r="C7" i="31" s="1"/>
  <c r="AI40" i="31"/>
  <c r="H4" i="31"/>
  <c r="R7" i="31"/>
  <c r="AJ238" i="31"/>
  <c r="R82" i="31"/>
  <c r="M7" i="31"/>
  <c r="AE238" i="31"/>
  <c r="M82" i="31"/>
  <c r="U7" i="31"/>
  <c r="AM238" i="31"/>
  <c r="AC7" i="31"/>
  <c r="AU238" i="31"/>
  <c r="AC82" i="31"/>
  <c r="N7" i="31"/>
  <c r="N82" i="31"/>
  <c r="V7" i="31"/>
  <c r="AN238" i="31"/>
  <c r="V82" i="31"/>
  <c r="AD7" i="31"/>
  <c r="AV238" i="31"/>
  <c r="AD82" i="31"/>
  <c r="F218" i="31"/>
  <c r="E100" i="31"/>
  <c r="E224" i="31"/>
  <c r="AG238" i="31"/>
  <c r="O82" i="31"/>
  <c r="O7" i="31"/>
  <c r="AO238" i="31"/>
  <c r="W7" i="31"/>
  <c r="AW238" i="31"/>
  <c r="AE82" i="31"/>
  <c r="AE7" i="31"/>
  <c r="T7" i="31"/>
  <c r="AL238" i="31"/>
  <c r="T82" i="31"/>
  <c r="P7" i="31"/>
  <c r="AX238" i="31"/>
  <c r="AF82" i="31"/>
  <c r="T90" i="31"/>
  <c r="AB90" i="31"/>
  <c r="Y7" i="31"/>
  <c r="AQ238" i="31"/>
  <c r="Y82" i="31"/>
  <c r="AG79" i="31"/>
  <c r="M90" i="31"/>
  <c r="U90" i="31"/>
  <c r="AC90" i="31"/>
  <c r="D235" i="31"/>
  <c r="AH58" i="31"/>
  <c r="AH62" i="31"/>
  <c r="AH74" i="31"/>
  <c r="AI74" i="31"/>
  <c r="AH83" i="31"/>
  <c r="B89" i="31"/>
  <c r="B90" i="31" s="1"/>
  <c r="F223" i="31"/>
  <c r="AH84" i="31"/>
  <c r="AH40" i="31"/>
  <c r="AH44" i="31"/>
  <c r="B79" i="31"/>
  <c r="AH85" i="31"/>
  <c r="AH86" i="31"/>
  <c r="AH87" i="31"/>
  <c r="AF90" i="30"/>
  <c r="AE79" i="30"/>
  <c r="AE81" i="30" s="1"/>
  <c r="AD5" i="30"/>
  <c r="AE89" i="30"/>
  <c r="AE90" i="30" s="1"/>
  <c r="AD89" i="30"/>
  <c r="AD90" i="30" s="1"/>
  <c r="AC5" i="30"/>
  <c r="AD79" i="30"/>
  <c r="AD81" i="30" s="1"/>
  <c r="AD7" i="30" s="1"/>
  <c r="AC89" i="30"/>
  <c r="AC90" i="30" s="1"/>
  <c r="AB5" i="30"/>
  <c r="AB89" i="30"/>
  <c r="AB90" i="30" s="1"/>
  <c r="AC79" i="30"/>
  <c r="AC81" i="30" s="1"/>
  <c r="AU238" i="30" s="1"/>
  <c r="AF79" i="30"/>
  <c r="AF81" i="30" s="1"/>
  <c r="AB79" i="30"/>
  <c r="AB81" i="30" s="1"/>
  <c r="AA89" i="30"/>
  <c r="AA79" i="30"/>
  <c r="AA81" i="30" s="1"/>
  <c r="AA7" i="30" s="1"/>
  <c r="Z79" i="30"/>
  <c r="Z81" i="30" s="1"/>
  <c r="Z7" i="30" s="1"/>
  <c r="Y89" i="30"/>
  <c r="Y90" i="30" s="1"/>
  <c r="AH103" i="30"/>
  <c r="X5" i="30"/>
  <c r="Y79" i="30"/>
  <c r="Y81" i="30" s="1"/>
  <c r="W5" i="30"/>
  <c r="X89" i="30"/>
  <c r="X90" i="30" s="1"/>
  <c r="X79" i="30"/>
  <c r="X81" i="30" s="1"/>
  <c r="X7" i="30" s="1"/>
  <c r="W89" i="30"/>
  <c r="W90" i="30" s="1"/>
  <c r="W79" i="30"/>
  <c r="W81" i="30" s="1"/>
  <c r="V90" i="30"/>
  <c r="V79" i="30"/>
  <c r="V81" i="30" s="1"/>
  <c r="V7" i="30" s="1"/>
  <c r="U79" i="30"/>
  <c r="U81" i="30" s="1"/>
  <c r="T5" i="30"/>
  <c r="T89" i="30"/>
  <c r="T90" i="30" s="1"/>
  <c r="S5" i="30"/>
  <c r="T79" i="30"/>
  <c r="T81" i="30" s="1"/>
  <c r="T7" i="30" s="1"/>
  <c r="S89" i="30"/>
  <c r="S79" i="30"/>
  <c r="S81" i="30" s="1"/>
  <c r="AK238" i="30" s="1"/>
  <c r="R79" i="30"/>
  <c r="R81" i="30" s="1"/>
  <c r="R7" i="30" s="1"/>
  <c r="P5" i="30"/>
  <c r="Q79" i="30"/>
  <c r="Q81" i="30" s="1"/>
  <c r="Q82" i="30" s="1"/>
  <c r="P89" i="30"/>
  <c r="P90" i="30" s="1"/>
  <c r="O5" i="30"/>
  <c r="P79" i="30"/>
  <c r="P81" i="30" s="1"/>
  <c r="P82" i="30" s="1"/>
  <c r="O89" i="30"/>
  <c r="O90" i="30"/>
  <c r="O79" i="30"/>
  <c r="O81" i="30" s="1"/>
  <c r="AG238" i="30" s="1"/>
  <c r="N89" i="30"/>
  <c r="N90" i="30" s="1"/>
  <c r="N79" i="30"/>
  <c r="N81" i="30" s="1"/>
  <c r="N7" i="30" s="1"/>
  <c r="M89" i="30"/>
  <c r="M90" i="30" s="1"/>
  <c r="L5" i="30"/>
  <c r="M79" i="30"/>
  <c r="M81" i="30" s="1"/>
  <c r="M7" i="30" s="1"/>
  <c r="L89" i="30"/>
  <c r="K89" i="30"/>
  <c r="K90" i="30" s="1"/>
  <c r="J79" i="30"/>
  <c r="J81" i="30" s="1"/>
  <c r="J7" i="30" s="1"/>
  <c r="I79" i="30"/>
  <c r="I81" i="30" s="1"/>
  <c r="I7" i="30" s="1"/>
  <c r="H89" i="30"/>
  <c r="H90" i="30" s="1"/>
  <c r="AI87" i="30"/>
  <c r="F79" i="30"/>
  <c r="F81" i="30" s="1"/>
  <c r="X238" i="30" s="1"/>
  <c r="G89" i="30"/>
  <c r="G90" i="30" s="1"/>
  <c r="K79" i="30"/>
  <c r="K81" i="30" s="1"/>
  <c r="K7" i="30" s="1"/>
  <c r="L79" i="30"/>
  <c r="L81" i="30" s="1"/>
  <c r="L7" i="30" s="1"/>
  <c r="G79" i="30"/>
  <c r="G81" i="30" s="1"/>
  <c r="Y238" i="30" s="1"/>
  <c r="H79" i="30"/>
  <c r="H81" i="30" s="1"/>
  <c r="L90" i="30"/>
  <c r="AI83" i="30"/>
  <c r="J89" i="30"/>
  <c r="J90" i="30" s="1"/>
  <c r="E5" i="30"/>
  <c r="F89" i="30"/>
  <c r="F90" i="30" s="1"/>
  <c r="I89" i="30"/>
  <c r="I82" i="30" s="1"/>
  <c r="E89" i="30"/>
  <c r="E90" i="30" s="1"/>
  <c r="D5" i="30"/>
  <c r="E79" i="30"/>
  <c r="E81" i="30" s="1"/>
  <c r="W238" i="30" s="1"/>
  <c r="AH44" i="30"/>
  <c r="AI44" i="30"/>
  <c r="AH87" i="30"/>
  <c r="B79" i="30"/>
  <c r="B81" i="30" s="1"/>
  <c r="AI84" i="30"/>
  <c r="C89" i="30"/>
  <c r="AI62" i="30"/>
  <c r="C79" i="30"/>
  <c r="C81" i="30" s="1"/>
  <c r="C82" i="30" s="1"/>
  <c r="AI85" i="30"/>
  <c r="AI86" i="30"/>
  <c r="D89" i="30"/>
  <c r="D90" i="30" s="1"/>
  <c r="C5" i="30"/>
  <c r="AI58" i="30"/>
  <c r="D79" i="30"/>
  <c r="D81" i="30" s="1"/>
  <c r="D82" i="30" s="1"/>
  <c r="H4" i="30"/>
  <c r="Q7" i="30"/>
  <c r="AI238" i="30"/>
  <c r="Y7" i="30"/>
  <c r="AQ238" i="30"/>
  <c r="Y82" i="30"/>
  <c r="AG79" i="30"/>
  <c r="AF7" i="30"/>
  <c r="AX238" i="30"/>
  <c r="AF82" i="30"/>
  <c r="R82" i="30"/>
  <c r="C7" i="30"/>
  <c r="S7" i="30"/>
  <c r="S82" i="30"/>
  <c r="AB7" i="30"/>
  <c r="AT238" i="30"/>
  <c r="AB82" i="30"/>
  <c r="AG81" i="30"/>
  <c r="U7" i="30"/>
  <c r="AM238" i="30"/>
  <c r="AC7" i="30"/>
  <c r="F7" i="30"/>
  <c r="AN238" i="30"/>
  <c r="V82" i="30"/>
  <c r="R90" i="30"/>
  <c r="AO238" i="30"/>
  <c r="W7" i="30"/>
  <c r="AW238" i="30"/>
  <c r="AE82" i="30"/>
  <c r="AE7" i="30"/>
  <c r="C90" i="30"/>
  <c r="S90" i="30"/>
  <c r="AA90" i="30"/>
  <c r="D235" i="30"/>
  <c r="AH58" i="30"/>
  <c r="AH62" i="30"/>
  <c r="AH74" i="30"/>
  <c r="AI74" i="30"/>
  <c r="AH83" i="30"/>
  <c r="B89" i="30"/>
  <c r="B90" i="30" s="1"/>
  <c r="F223" i="30"/>
  <c r="AH84" i="30"/>
  <c r="E218" i="30"/>
  <c r="AH40" i="30"/>
  <c r="AH85" i="30"/>
  <c r="AI40" i="30"/>
  <c r="AH86" i="30"/>
  <c r="B224" i="30"/>
  <c r="AF89" i="29"/>
  <c r="AF90" i="29" s="1"/>
  <c r="AE89" i="29"/>
  <c r="AE90" i="29" s="1"/>
  <c r="AD5" i="29"/>
  <c r="AD89" i="29"/>
  <c r="AD90" i="29" s="1"/>
  <c r="AD79" i="29"/>
  <c r="AD81" i="29" s="1"/>
  <c r="AV238" i="29" s="1"/>
  <c r="AE79" i="29"/>
  <c r="AE81" i="29" s="1"/>
  <c r="AF79" i="29"/>
  <c r="AF81" i="29" s="1"/>
  <c r="AB79" i="29"/>
  <c r="AB81" i="29" s="1"/>
  <c r="AB7" i="29" s="1"/>
  <c r="AB89" i="29"/>
  <c r="AB90" i="29" s="1"/>
  <c r="AC89" i="29"/>
  <c r="AC90" i="29"/>
  <c r="AC79" i="29"/>
  <c r="AC81" i="29" s="1"/>
  <c r="AU238" i="29" s="1"/>
  <c r="AA89" i="29"/>
  <c r="AA90" i="29" s="1"/>
  <c r="AA79" i="29"/>
  <c r="AA81" i="29" s="1"/>
  <c r="Z89" i="29"/>
  <c r="Z79" i="29"/>
  <c r="Z81" i="29" s="1"/>
  <c r="Z82" i="29" s="1"/>
  <c r="Y89" i="29"/>
  <c r="Y79" i="29"/>
  <c r="Y81" i="29" s="1"/>
  <c r="X89" i="29"/>
  <c r="X79" i="29"/>
  <c r="X81" i="29" s="1"/>
  <c r="AP238" i="29" s="1"/>
  <c r="W89" i="29"/>
  <c r="W90" i="29" s="1"/>
  <c r="V5" i="29"/>
  <c r="AI62" i="29"/>
  <c r="W79" i="29"/>
  <c r="W81" i="29" s="1"/>
  <c r="W82" i="29" s="1"/>
  <c r="V79" i="29"/>
  <c r="V81" i="29" s="1"/>
  <c r="V89" i="29"/>
  <c r="V90" i="29" s="1"/>
  <c r="U89" i="29"/>
  <c r="U90" i="29" s="1"/>
  <c r="U79" i="29"/>
  <c r="U81" i="29" s="1"/>
  <c r="U7" i="29" s="1"/>
  <c r="T5" i="29"/>
  <c r="T90" i="29"/>
  <c r="T79" i="29"/>
  <c r="T81" i="29" s="1"/>
  <c r="AL238" i="29" s="1"/>
  <c r="R5" i="29"/>
  <c r="S79" i="29"/>
  <c r="S81" i="29" s="1"/>
  <c r="AK238" i="29" s="1"/>
  <c r="R79" i="29"/>
  <c r="R81" i="29" s="1"/>
  <c r="R89" i="29"/>
  <c r="R90" i="29" s="1"/>
  <c r="Q79" i="29"/>
  <c r="Q81" i="29" s="1"/>
  <c r="AI238" i="29" s="1"/>
  <c r="Q89" i="29"/>
  <c r="P89" i="29"/>
  <c r="P79" i="29"/>
  <c r="P81" i="29" s="1"/>
  <c r="P7" i="29" s="1"/>
  <c r="O79" i="29"/>
  <c r="O81" i="29" s="1"/>
  <c r="O89" i="29"/>
  <c r="O90" i="29" s="1"/>
  <c r="N89" i="29"/>
  <c r="N90" i="29" s="1"/>
  <c r="M5" i="29"/>
  <c r="N79" i="29"/>
  <c r="N81" i="29" s="1"/>
  <c r="AF238" i="29" s="1"/>
  <c r="M89" i="29"/>
  <c r="M90" i="29" s="1"/>
  <c r="M79" i="29"/>
  <c r="M81" i="29" s="1"/>
  <c r="M82" i="29" s="1"/>
  <c r="AI103" i="29"/>
  <c r="J79" i="29"/>
  <c r="J81" i="29" s="1"/>
  <c r="J7" i="29" s="1"/>
  <c r="K89" i="29"/>
  <c r="K90" i="29" s="1"/>
  <c r="K79" i="29"/>
  <c r="K81" i="29" s="1"/>
  <c r="K82" i="29" s="1"/>
  <c r="L79" i="29"/>
  <c r="L81" i="29" s="1"/>
  <c r="AD238" i="29" s="1"/>
  <c r="AI39" i="29"/>
  <c r="H89" i="29"/>
  <c r="H90" i="29" s="1"/>
  <c r="I89" i="29"/>
  <c r="I90" i="29" s="1"/>
  <c r="H79" i="29"/>
  <c r="H81" i="29" s="1"/>
  <c r="H7" i="29" s="1"/>
  <c r="I79" i="29"/>
  <c r="I81" i="29" s="1"/>
  <c r="I7" i="29" s="1"/>
  <c r="E89" i="29"/>
  <c r="E90" i="29" s="1"/>
  <c r="D5" i="29"/>
  <c r="F89" i="29"/>
  <c r="F90" i="29" s="1"/>
  <c r="G89" i="29"/>
  <c r="G90" i="29" s="1"/>
  <c r="E5" i="29"/>
  <c r="F5" i="29"/>
  <c r="G79" i="29"/>
  <c r="G81" i="29" s="1"/>
  <c r="Y238" i="29" s="1"/>
  <c r="F79" i="29"/>
  <c r="AI44" i="29"/>
  <c r="E79" i="29"/>
  <c r="E81" i="29" s="1"/>
  <c r="W238" i="29" s="1"/>
  <c r="D79" i="29"/>
  <c r="D81" i="29" s="1"/>
  <c r="V238" i="29" s="1"/>
  <c r="AI86" i="29"/>
  <c r="AI83" i="29"/>
  <c r="AI85" i="29"/>
  <c r="AI84" i="29"/>
  <c r="C89" i="29"/>
  <c r="AI87" i="29"/>
  <c r="C90" i="29"/>
  <c r="C79" i="29"/>
  <c r="C81" i="29" s="1"/>
  <c r="U238" i="29" s="1"/>
  <c r="AI58" i="29"/>
  <c r="AI40" i="29"/>
  <c r="H4" i="29"/>
  <c r="P82" i="29"/>
  <c r="X7" i="29"/>
  <c r="AA238" i="29"/>
  <c r="Y7" i="29"/>
  <c r="AQ238" i="29"/>
  <c r="Y82" i="29"/>
  <c r="AG79" i="29"/>
  <c r="D259" i="29"/>
  <c r="F223" i="29"/>
  <c r="F224" i="29" s="1"/>
  <c r="AG238" i="29"/>
  <c r="O82" i="29"/>
  <c r="O7" i="29"/>
  <c r="Q82" i="29"/>
  <c r="AB238" i="29"/>
  <c r="J82" i="29"/>
  <c r="R7" i="29"/>
  <c r="AJ238" i="29"/>
  <c r="Z7" i="29"/>
  <c r="AR238" i="29"/>
  <c r="AW238" i="29"/>
  <c r="AE82" i="29"/>
  <c r="AE7" i="29"/>
  <c r="AA7" i="29"/>
  <c r="AS238" i="29"/>
  <c r="AA82" i="29"/>
  <c r="L7" i="29"/>
  <c r="T7" i="29"/>
  <c r="P90" i="29"/>
  <c r="X90" i="29"/>
  <c r="H218" i="29"/>
  <c r="G7" i="29"/>
  <c r="D82" i="29"/>
  <c r="AG6" i="29"/>
  <c r="Q90" i="29"/>
  <c r="Y90" i="29"/>
  <c r="AG81" i="29"/>
  <c r="AO238" i="29"/>
  <c r="W7" i="29"/>
  <c r="V7" i="29"/>
  <c r="AN238" i="29"/>
  <c r="V82" i="29"/>
  <c r="AD82" i="29"/>
  <c r="J90" i="29"/>
  <c r="Z90" i="29"/>
  <c r="E224" i="29"/>
  <c r="D235" i="29"/>
  <c r="AI74" i="29"/>
  <c r="B89" i="29"/>
  <c r="B79" i="29"/>
  <c r="AA39" i="28"/>
  <c r="Z103" i="28"/>
  <c r="X103" i="28"/>
  <c r="X39" i="28"/>
  <c r="W39" i="28"/>
  <c r="V103" i="28"/>
  <c r="V39" i="28"/>
  <c r="U103" i="28"/>
  <c r="U100" i="28" s="1"/>
  <c r="U39" i="28"/>
  <c r="T103" i="28"/>
  <c r="T39" i="28"/>
  <c r="S103" i="28"/>
  <c r="S39" i="28"/>
  <c r="R103" i="28"/>
  <c r="R100" i="28" s="1"/>
  <c r="R39" i="28"/>
  <c r="Q103" i="28"/>
  <c r="Q39" i="28"/>
  <c r="O103" i="28"/>
  <c r="P39" i="28"/>
  <c r="O39" i="28"/>
  <c r="N103" i="28"/>
  <c r="N39" i="28"/>
  <c r="M103" i="28"/>
  <c r="M39" i="28"/>
  <c r="L103" i="28"/>
  <c r="L39" i="28"/>
  <c r="K103" i="28"/>
  <c r="K39" i="28"/>
  <c r="J103" i="28"/>
  <c r="J39" i="28"/>
  <c r="I103" i="28"/>
  <c r="I39" i="28"/>
  <c r="H103" i="28"/>
  <c r="H39" i="28"/>
  <c r="G103" i="28"/>
  <c r="G39" i="28"/>
  <c r="F103" i="28"/>
  <c r="AI103" i="28" s="1"/>
  <c r="F39" i="28"/>
  <c r="AH39" i="28" s="1"/>
  <c r="E103" i="28"/>
  <c r="E39" i="28"/>
  <c r="C40" i="28"/>
  <c r="D40" i="28"/>
  <c r="C62" i="28"/>
  <c r="AF58" i="27"/>
  <c r="AF62" i="27"/>
  <c r="AF74" i="27"/>
  <c r="AE5" i="27" s="1"/>
  <c r="AF263" i="28"/>
  <c r="AE263" i="28"/>
  <c r="AD263" i="28"/>
  <c r="AC263" i="28"/>
  <c r="AB263" i="28"/>
  <c r="AA263" i="28"/>
  <c r="Z263" i="28"/>
  <c r="Y263" i="28"/>
  <c r="X263" i="28"/>
  <c r="W263" i="28"/>
  <c r="V263" i="28"/>
  <c r="U263" i="28"/>
  <c r="T263" i="28"/>
  <c r="S263" i="28"/>
  <c r="R263" i="28"/>
  <c r="Q263" i="28"/>
  <c r="P263" i="28"/>
  <c r="O263" i="28"/>
  <c r="N263" i="28"/>
  <c r="M263" i="28"/>
  <c r="L263" i="28"/>
  <c r="K263" i="28"/>
  <c r="J263" i="28"/>
  <c r="I263" i="28"/>
  <c r="H263" i="28"/>
  <c r="G263" i="28"/>
  <c r="F263" i="28"/>
  <c r="E263" i="28"/>
  <c r="D263" i="28"/>
  <c r="C263" i="28"/>
  <c r="B263" i="28"/>
  <c r="A263" i="28"/>
  <c r="AF262" i="28"/>
  <c r="AE262" i="28"/>
  <c r="AD262" i="28"/>
  <c r="AC262" i="28"/>
  <c r="AB262" i="28"/>
  <c r="AA262" i="28"/>
  <c r="Z262" i="28"/>
  <c r="Y262" i="28"/>
  <c r="X262" i="28"/>
  <c r="W262" i="28"/>
  <c r="V262" i="28"/>
  <c r="U262" i="28"/>
  <c r="T262" i="28"/>
  <c r="S262" i="28"/>
  <c r="R262" i="28"/>
  <c r="Q262" i="28"/>
  <c r="P262" i="28"/>
  <c r="O262" i="28"/>
  <c r="N262" i="28"/>
  <c r="M262" i="28"/>
  <c r="L262" i="28"/>
  <c r="K262" i="28"/>
  <c r="J262" i="28"/>
  <c r="I262" i="28"/>
  <c r="H262" i="28"/>
  <c r="G262" i="28"/>
  <c r="F262" i="28"/>
  <c r="E262" i="28"/>
  <c r="D262" i="28"/>
  <c r="C262" i="28"/>
  <c r="B262" i="28"/>
  <c r="A262" i="28"/>
  <c r="AF261" i="28"/>
  <c r="AE261" i="28"/>
  <c r="AD261" i="28"/>
  <c r="AC261" i="28"/>
  <c r="AB261" i="28"/>
  <c r="AA261" i="28"/>
  <c r="Z261" i="28"/>
  <c r="Y261" i="28"/>
  <c r="X261" i="28"/>
  <c r="W261" i="28"/>
  <c r="V261" i="28"/>
  <c r="U261" i="28"/>
  <c r="T261" i="28"/>
  <c r="S261" i="28"/>
  <c r="R261" i="28"/>
  <c r="Q261" i="28"/>
  <c r="P261" i="28"/>
  <c r="O261" i="28"/>
  <c r="N261" i="28"/>
  <c r="M261" i="28"/>
  <c r="L261" i="28"/>
  <c r="K261" i="28"/>
  <c r="J261" i="28"/>
  <c r="I261" i="28"/>
  <c r="H261" i="28"/>
  <c r="G261" i="28"/>
  <c r="F261" i="28"/>
  <c r="E261" i="28"/>
  <c r="D261" i="28"/>
  <c r="C261" i="28"/>
  <c r="B261" i="28"/>
  <c r="A261" i="28"/>
  <c r="AF260" i="28"/>
  <c r="AE260" i="28"/>
  <c r="AD260" i="28"/>
  <c r="AC260" i="28"/>
  <c r="AB260" i="28"/>
  <c r="AA260" i="28"/>
  <c r="Z260" i="28"/>
  <c r="Y260" i="28"/>
  <c r="X260" i="28"/>
  <c r="W260" i="28"/>
  <c r="V260" i="28"/>
  <c r="U260" i="28"/>
  <c r="T260" i="28"/>
  <c r="S260" i="28"/>
  <c r="R260" i="28"/>
  <c r="Q260" i="28"/>
  <c r="P260" i="28"/>
  <c r="O260" i="28"/>
  <c r="N260" i="28"/>
  <c r="M260" i="28"/>
  <c r="L260" i="28"/>
  <c r="K260" i="28"/>
  <c r="J260" i="28"/>
  <c r="I260" i="28"/>
  <c r="H260" i="28"/>
  <c r="G260" i="28"/>
  <c r="F260" i="28"/>
  <c r="E260" i="28"/>
  <c r="D260" i="28"/>
  <c r="C260" i="28"/>
  <c r="B260" i="28"/>
  <c r="A260" i="28"/>
  <c r="AE259" i="28"/>
  <c r="AD259" i="28"/>
  <c r="AC259" i="28"/>
  <c r="AB259" i="28"/>
  <c r="AA259" i="28"/>
  <c r="Z259" i="28"/>
  <c r="Y259" i="28"/>
  <c r="X259" i="28"/>
  <c r="W259" i="28"/>
  <c r="V259" i="28"/>
  <c r="U259" i="28"/>
  <c r="T259" i="28"/>
  <c r="S259" i="28"/>
  <c r="R259" i="28"/>
  <c r="Q259" i="28"/>
  <c r="P259" i="28"/>
  <c r="B259" i="28"/>
  <c r="S234" i="28"/>
  <c r="AG224" i="28"/>
  <c r="AF224" i="28"/>
  <c r="AE224" i="28"/>
  <c r="AD224" i="28"/>
  <c r="AC224" i="28"/>
  <c r="AB224" i="28"/>
  <c r="AA224" i="28"/>
  <c r="Z224" i="28"/>
  <c r="Y224" i="28"/>
  <c r="X224" i="28"/>
  <c r="W224" i="28"/>
  <c r="V224" i="28"/>
  <c r="U224" i="28"/>
  <c r="T224" i="28"/>
  <c r="S224" i="28"/>
  <c r="R224" i="28"/>
  <c r="Q224" i="28"/>
  <c r="C224" i="28"/>
  <c r="D223" i="28"/>
  <c r="C259" i="28" s="1"/>
  <c r="B223" i="28"/>
  <c r="AF259" i="28" s="1"/>
  <c r="D222" i="28"/>
  <c r="E222" i="28" s="1"/>
  <c r="F222" i="28" s="1"/>
  <c r="G222" i="28" s="1"/>
  <c r="H222" i="28" s="1"/>
  <c r="I222" i="28" s="1"/>
  <c r="J222" i="28" s="1"/>
  <c r="K222" i="28" s="1"/>
  <c r="L222" i="28" s="1"/>
  <c r="M222" i="28" s="1"/>
  <c r="N222" i="28" s="1"/>
  <c r="O222" i="28" s="1"/>
  <c r="P222" i="28" s="1"/>
  <c r="B222" i="28"/>
  <c r="D221" i="28"/>
  <c r="E221" i="28" s="1"/>
  <c r="F221" i="28" s="1"/>
  <c r="G221" i="28" s="1"/>
  <c r="H221" i="28" s="1"/>
  <c r="I221" i="28" s="1"/>
  <c r="J221" i="28" s="1"/>
  <c r="K221" i="28" s="1"/>
  <c r="L221" i="28" s="1"/>
  <c r="M221" i="28" s="1"/>
  <c r="N221" i="28" s="1"/>
  <c r="O221" i="28" s="1"/>
  <c r="P221" i="28" s="1"/>
  <c r="B221" i="28"/>
  <c r="D220" i="28"/>
  <c r="E220" i="28" s="1"/>
  <c r="F220" i="28" s="1"/>
  <c r="G220" i="28" s="1"/>
  <c r="H220" i="28" s="1"/>
  <c r="I220" i="28" s="1"/>
  <c r="J220" i="28" s="1"/>
  <c r="K220" i="28" s="1"/>
  <c r="L220" i="28" s="1"/>
  <c r="M220" i="28" s="1"/>
  <c r="N220" i="28" s="1"/>
  <c r="O220" i="28" s="1"/>
  <c r="P220" i="28" s="1"/>
  <c r="B220" i="28"/>
  <c r="D219" i="28"/>
  <c r="E219" i="28" s="1"/>
  <c r="F219" i="28" s="1"/>
  <c r="G219" i="28" s="1"/>
  <c r="H219" i="28" s="1"/>
  <c r="I219" i="28" s="1"/>
  <c r="J219" i="28" s="1"/>
  <c r="K219" i="28" s="1"/>
  <c r="L219" i="28" s="1"/>
  <c r="M219" i="28" s="1"/>
  <c r="N219" i="28" s="1"/>
  <c r="O219" i="28" s="1"/>
  <c r="P219" i="28" s="1"/>
  <c r="B219" i="28"/>
  <c r="D218" i="28"/>
  <c r="E218" i="28" s="1"/>
  <c r="B218" i="28"/>
  <c r="B224" i="28" s="1"/>
  <c r="AG216" i="28"/>
  <c r="AF216" i="28"/>
  <c r="AE216" i="28"/>
  <c r="AD216" i="28"/>
  <c r="AC216" i="28"/>
  <c r="AB216" i="28"/>
  <c r="AA216" i="28"/>
  <c r="Z216" i="28"/>
  <c r="Y216" i="28"/>
  <c r="X216" i="28"/>
  <c r="W216" i="28"/>
  <c r="V216" i="28"/>
  <c r="U216" i="28"/>
  <c r="T216" i="28"/>
  <c r="S216" i="28"/>
  <c r="R216" i="28"/>
  <c r="Q216" i="28"/>
  <c r="P216" i="28"/>
  <c r="O216" i="28"/>
  <c r="N216" i="28"/>
  <c r="M216" i="28"/>
  <c r="L216" i="28"/>
  <c r="K216" i="28"/>
  <c r="J216" i="28"/>
  <c r="I216" i="28"/>
  <c r="H216" i="28"/>
  <c r="G216" i="28"/>
  <c r="F216" i="28"/>
  <c r="E216" i="28"/>
  <c r="D216" i="28"/>
  <c r="C216" i="28"/>
  <c r="B216" i="28"/>
  <c r="AI109" i="28"/>
  <c r="AH109" i="28"/>
  <c r="AI108" i="28"/>
  <c r="AH108" i="28"/>
  <c r="AI107" i="28"/>
  <c r="AH107" i="28"/>
  <c r="AI106" i="28"/>
  <c r="AH106" i="28"/>
  <c r="AI105" i="28"/>
  <c r="AH105" i="28"/>
  <c r="AI104" i="28"/>
  <c r="AH104" i="28"/>
  <c r="AI102" i="28"/>
  <c r="AH102" i="28"/>
  <c r="AI101" i="28"/>
  <c r="AH101" i="28"/>
  <c r="AF100" i="28"/>
  <c r="AE100" i="28"/>
  <c r="AD100" i="28"/>
  <c r="AC100" i="28"/>
  <c r="AB100" i="28"/>
  <c r="AA100" i="28"/>
  <c r="Z100" i="28"/>
  <c r="Y100" i="28"/>
  <c r="X100" i="28"/>
  <c r="W100" i="28"/>
  <c r="V100" i="28"/>
  <c r="T100" i="28"/>
  <c r="S100" i="28"/>
  <c r="Q100" i="28"/>
  <c r="C100" i="28"/>
  <c r="AI99" i="28"/>
  <c r="AH99" i="28"/>
  <c r="AI98" i="28"/>
  <c r="AH98" i="28"/>
  <c r="AI97" i="28"/>
  <c r="AH97" i="28"/>
  <c r="AI96" i="28"/>
  <c r="AH96" i="28"/>
  <c r="AI95" i="28"/>
  <c r="AH95" i="28"/>
  <c r="AI94" i="28"/>
  <c r="AH94" i="28"/>
  <c r="AI93" i="28"/>
  <c r="AH93" i="28"/>
  <c r="AI92" i="28"/>
  <c r="AH92" i="28"/>
  <c r="AI91" i="28"/>
  <c r="AH91" i="28"/>
  <c r="AI88" i="28"/>
  <c r="AH88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AI80" i="28"/>
  <c r="AH80" i="28"/>
  <c r="AI78" i="28"/>
  <c r="AH78" i="28"/>
  <c r="AG78" i="28"/>
  <c r="AI77" i="28"/>
  <c r="AH77" i="28"/>
  <c r="AI76" i="28"/>
  <c r="AH76" i="28"/>
  <c r="AI75" i="28"/>
  <c r="AH75" i="28"/>
  <c r="AG74" i="28"/>
  <c r="AF74" i="28"/>
  <c r="AE74" i="28"/>
  <c r="AD5" i="28" s="1"/>
  <c r="AD74" i="28"/>
  <c r="AC74" i="28"/>
  <c r="AB5" i="28" s="1"/>
  <c r="AB74" i="28"/>
  <c r="AA5" i="28" s="1"/>
  <c r="AA74" i="28"/>
  <c r="Z74" i="28"/>
  <c r="Y5" i="28" s="1"/>
  <c r="Y74" i="28"/>
  <c r="X74" i="28"/>
  <c r="W5" i="28" s="1"/>
  <c r="W74" i="28"/>
  <c r="V5" i="28" s="1"/>
  <c r="V74" i="28"/>
  <c r="U5" i="28" s="1"/>
  <c r="U74" i="28"/>
  <c r="T74" i="28"/>
  <c r="S74" i="28"/>
  <c r="R5" i="28" s="1"/>
  <c r="R74" i="28"/>
  <c r="Q5" i="28" s="1"/>
  <c r="Q74" i="28"/>
  <c r="P5" i="28" s="1"/>
  <c r="P74" i="28"/>
  <c r="O5" i="28" s="1"/>
  <c r="O74" i="28"/>
  <c r="N5" i="28" s="1"/>
  <c r="N74" i="28"/>
  <c r="M74" i="28"/>
  <c r="L5" i="28" s="1"/>
  <c r="L74" i="28"/>
  <c r="K5" i="28" s="1"/>
  <c r="K74" i="28"/>
  <c r="J5" i="28" s="1"/>
  <c r="J74" i="28"/>
  <c r="I5" i="28" s="1"/>
  <c r="I74" i="28"/>
  <c r="H74" i="28"/>
  <c r="G74" i="28"/>
  <c r="F5" i="28" s="1"/>
  <c r="F74" i="28"/>
  <c r="E74" i="28"/>
  <c r="D5" i="28" s="1"/>
  <c r="D74" i="28"/>
  <c r="C5" i="28" s="1"/>
  <c r="C74" i="28"/>
  <c r="B5" i="28" s="1"/>
  <c r="B74" i="28"/>
  <c r="AF5" i="28" s="1"/>
  <c r="AI73" i="28"/>
  <c r="AH73" i="28"/>
  <c r="AI72" i="28"/>
  <c r="AH72" i="28"/>
  <c r="AI71" i="28"/>
  <c r="AH71" i="28"/>
  <c r="AI70" i="28"/>
  <c r="AH70" i="28"/>
  <c r="AI69" i="28"/>
  <c r="AH69" i="28"/>
  <c r="AI68" i="28"/>
  <c r="AH68" i="28"/>
  <c r="AI67" i="28"/>
  <c r="AH67" i="28"/>
  <c r="AI66" i="28"/>
  <c r="AH66" i="28"/>
  <c r="AI65" i="28"/>
  <c r="AH65" i="28"/>
  <c r="AI64" i="28"/>
  <c r="AH64" i="28"/>
  <c r="AI63" i="28"/>
  <c r="AH63" i="28"/>
  <c r="AG62" i="28"/>
  <c r="AF62" i="28"/>
  <c r="AE62" i="28"/>
  <c r="AD62" i="28"/>
  <c r="AC62" i="28"/>
  <c r="AB62" i="28"/>
  <c r="AA62" i="28"/>
  <c r="Z62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B62" i="28"/>
  <c r="AI61" i="28"/>
  <c r="AH61" i="28"/>
  <c r="AI60" i="28"/>
  <c r="AH60" i="28"/>
  <c r="AI59" i="28"/>
  <c r="AH59" i="28"/>
  <c r="AF58" i="28"/>
  <c r="AE58" i="28"/>
  <c r="AD58" i="28"/>
  <c r="AC58" i="28"/>
  <c r="AB58" i="28"/>
  <c r="AA58" i="28"/>
  <c r="Z58" i="28"/>
  <c r="Y58" i="28"/>
  <c r="X58" i="28"/>
  <c r="W58" i="28"/>
  <c r="V58" i="28"/>
  <c r="U58" i="28"/>
  <c r="T58" i="28"/>
  <c r="S58" i="28"/>
  <c r="R58" i="28"/>
  <c r="Q58" i="28"/>
  <c r="P58" i="28"/>
  <c r="O58" i="28"/>
  <c r="N58" i="28"/>
  <c r="M58" i="28"/>
  <c r="L58" i="28"/>
  <c r="K58" i="28"/>
  <c r="J58" i="28"/>
  <c r="I58" i="28"/>
  <c r="H58" i="28"/>
  <c r="G58" i="28"/>
  <c r="F58" i="28"/>
  <c r="E58" i="28"/>
  <c r="D58" i="28"/>
  <c r="C58" i="28"/>
  <c r="B58" i="28"/>
  <c r="AI57" i="28"/>
  <c r="AH57" i="28"/>
  <c r="AG57" i="28"/>
  <c r="AG58" i="28" s="1"/>
  <c r="AI56" i="28"/>
  <c r="AH56" i="28"/>
  <c r="AI55" i="28"/>
  <c r="AH55" i="28"/>
  <c r="AI54" i="28"/>
  <c r="AH54" i="28"/>
  <c r="AI53" i="28"/>
  <c r="AH53" i="28"/>
  <c r="AI52" i="28"/>
  <c r="AH52" i="28"/>
  <c r="AI51" i="28"/>
  <c r="AH51" i="28"/>
  <c r="AI50" i="28"/>
  <c r="AH50" i="28"/>
  <c r="AI49" i="28"/>
  <c r="AH49" i="28"/>
  <c r="AI48" i="28"/>
  <c r="AH48" i="28"/>
  <c r="AI47" i="28"/>
  <c r="AH47" i="28"/>
  <c r="AI46" i="28"/>
  <c r="AH46" i="28"/>
  <c r="AI45" i="28"/>
  <c r="AH45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AI43" i="28"/>
  <c r="AH43" i="28"/>
  <c r="AI42" i="28"/>
  <c r="AH42" i="28"/>
  <c r="AI41" i="28"/>
  <c r="AH41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L79" i="28" s="1"/>
  <c r="L81" i="28" s="1"/>
  <c r="K40" i="28"/>
  <c r="J40" i="28"/>
  <c r="I40" i="28"/>
  <c r="H40" i="28"/>
  <c r="G40" i="28"/>
  <c r="F40" i="28"/>
  <c r="E40" i="28"/>
  <c r="AI39" i="28"/>
  <c r="AI38" i="28"/>
  <c r="AH38" i="28"/>
  <c r="AI37" i="28"/>
  <c r="AH37" i="28"/>
  <c r="AI36" i="28"/>
  <c r="AH36" i="28"/>
  <c r="AI35" i="28"/>
  <c r="AH35" i="28"/>
  <c r="AI34" i="28"/>
  <c r="AH34" i="28"/>
  <c r="AI33" i="28"/>
  <c r="AH33" i="28"/>
  <c r="AI32" i="28"/>
  <c r="AH32" i="28"/>
  <c r="AI31" i="28"/>
  <c r="AH31" i="28"/>
  <c r="AI30" i="28"/>
  <c r="AH30" i="28"/>
  <c r="AI29" i="28"/>
  <c r="AH29" i="28"/>
  <c r="AI28" i="28"/>
  <c r="AH28" i="28"/>
  <c r="AI27" i="28"/>
  <c r="AH27" i="28"/>
  <c r="AI26" i="28"/>
  <c r="AH26" i="28"/>
  <c r="AI25" i="28"/>
  <c r="AH25" i="28"/>
  <c r="AI24" i="28"/>
  <c r="AH24" i="28"/>
  <c r="AI23" i="28"/>
  <c r="AH23" i="28"/>
  <c r="AI22" i="28"/>
  <c r="AH22" i="28"/>
  <c r="AI21" i="28"/>
  <c r="AH21" i="28"/>
  <c r="AI20" i="28"/>
  <c r="AH20" i="28"/>
  <c r="AI19" i="28"/>
  <c r="AH19" i="28"/>
  <c r="AI18" i="28"/>
  <c r="AH18" i="28"/>
  <c r="AI17" i="28"/>
  <c r="AH17" i="28"/>
  <c r="AI16" i="28"/>
  <c r="AH16" i="28"/>
  <c r="AI15" i="28"/>
  <c r="AH15" i="28"/>
  <c r="AI14" i="28"/>
  <c r="AH14" i="28"/>
  <c r="AI13" i="28"/>
  <c r="AH13" i="28"/>
  <c r="AI12" i="28"/>
  <c r="AH12" i="28"/>
  <c r="AI11" i="28"/>
  <c r="AH11" i="28"/>
  <c r="Z5" i="28"/>
  <c r="S5" i="28"/>
  <c r="AG4" i="28"/>
  <c r="K4" i="28"/>
  <c r="B4" i="28"/>
  <c r="S235" i="28" s="1"/>
  <c r="AD103" i="27"/>
  <c r="AD39" i="27"/>
  <c r="AC103" i="27"/>
  <c r="AC39" i="27"/>
  <c r="AB103" i="27"/>
  <c r="AB39" i="27"/>
  <c r="AA103" i="27"/>
  <c r="AA39" i="27"/>
  <c r="Z103" i="27"/>
  <c r="Z100" i="27" s="1"/>
  <c r="Z39" i="27"/>
  <c r="Y103" i="27"/>
  <c r="X103" i="27"/>
  <c r="X100" i="27" s="1"/>
  <c r="W39" i="27"/>
  <c r="V39" i="27"/>
  <c r="U103" i="27"/>
  <c r="U39" i="27"/>
  <c r="T103" i="27"/>
  <c r="T100" i="27" s="1"/>
  <c r="T39" i="27"/>
  <c r="S103" i="27"/>
  <c r="S39" i="27"/>
  <c r="Q40" i="27"/>
  <c r="R40" i="27"/>
  <c r="P58" i="27"/>
  <c r="P103" i="27"/>
  <c r="P39" i="27"/>
  <c r="AI39" i="27" s="1"/>
  <c r="O103" i="27"/>
  <c r="O39" i="27"/>
  <c r="M103" i="27"/>
  <c r="N39" i="27"/>
  <c r="M39" i="27"/>
  <c r="L103" i="27"/>
  <c r="L39" i="27"/>
  <c r="K103" i="27"/>
  <c r="K39" i="27"/>
  <c r="J103" i="27"/>
  <c r="J39" i="27"/>
  <c r="I103" i="27"/>
  <c r="I39" i="27"/>
  <c r="H103" i="27"/>
  <c r="H39" i="27"/>
  <c r="G103" i="27"/>
  <c r="G39" i="27"/>
  <c r="F103" i="27"/>
  <c r="F39" i="27"/>
  <c r="E103" i="27"/>
  <c r="E39" i="27"/>
  <c r="D103" i="27"/>
  <c r="D39" i="27"/>
  <c r="C103" i="27"/>
  <c r="AH103" i="27" s="1"/>
  <c r="C39" i="27"/>
  <c r="B103" i="27"/>
  <c r="B100" i="27" s="1"/>
  <c r="B39" i="27"/>
  <c r="B87" i="27"/>
  <c r="B86" i="27"/>
  <c r="B85" i="27"/>
  <c r="B84" i="27"/>
  <c r="B89" i="27" s="1"/>
  <c r="B83" i="27"/>
  <c r="B74" i="27"/>
  <c r="B62" i="27"/>
  <c r="B58" i="27"/>
  <c r="B44" i="27"/>
  <c r="B40" i="27"/>
  <c r="AF263" i="27"/>
  <c r="AE263" i="27"/>
  <c r="AD263" i="27"/>
  <c r="AC263" i="27"/>
  <c r="AB263" i="27"/>
  <c r="AA263" i="27"/>
  <c r="Z263" i="27"/>
  <c r="Y263" i="27"/>
  <c r="X263" i="27"/>
  <c r="W263" i="27"/>
  <c r="V263" i="27"/>
  <c r="U263" i="27"/>
  <c r="T263" i="27"/>
  <c r="S263" i="27"/>
  <c r="R263" i="27"/>
  <c r="Q263" i="27"/>
  <c r="P263" i="27"/>
  <c r="O263" i="27"/>
  <c r="N263" i="27"/>
  <c r="M263" i="27"/>
  <c r="L263" i="27"/>
  <c r="K263" i="27"/>
  <c r="J263" i="27"/>
  <c r="I263" i="27"/>
  <c r="H263" i="27"/>
  <c r="G263" i="27"/>
  <c r="F263" i="27"/>
  <c r="E263" i="27"/>
  <c r="D263" i="27"/>
  <c r="C263" i="27"/>
  <c r="B263" i="27"/>
  <c r="A263" i="27"/>
  <c r="AF262" i="27"/>
  <c r="AE262" i="27"/>
  <c r="AD262" i="27"/>
  <c r="AC262" i="27"/>
  <c r="AB262" i="27"/>
  <c r="AA262" i="27"/>
  <c r="Z262" i="27"/>
  <c r="Y262" i="27"/>
  <c r="X262" i="27"/>
  <c r="W262" i="27"/>
  <c r="V262" i="27"/>
  <c r="U262" i="27"/>
  <c r="T262" i="27"/>
  <c r="S262" i="27"/>
  <c r="R262" i="27"/>
  <c r="Q262" i="27"/>
  <c r="P262" i="27"/>
  <c r="O262" i="27"/>
  <c r="N262" i="27"/>
  <c r="M262" i="27"/>
  <c r="L262" i="27"/>
  <c r="K262" i="27"/>
  <c r="J262" i="27"/>
  <c r="I262" i="27"/>
  <c r="H262" i="27"/>
  <c r="G262" i="27"/>
  <c r="F262" i="27"/>
  <c r="E262" i="27"/>
  <c r="D262" i="27"/>
  <c r="C262" i="27"/>
  <c r="B262" i="27"/>
  <c r="A262" i="27"/>
  <c r="AF261" i="27"/>
  <c r="AE261" i="27"/>
  <c r="AD261" i="27"/>
  <c r="AC261" i="27"/>
  <c r="AB261" i="27"/>
  <c r="AA261" i="27"/>
  <c r="Z261" i="27"/>
  <c r="Y261" i="27"/>
  <c r="X261" i="27"/>
  <c r="W261" i="27"/>
  <c r="V261" i="27"/>
  <c r="U261" i="27"/>
  <c r="T261" i="27"/>
  <c r="S261" i="27"/>
  <c r="R261" i="27"/>
  <c r="Q261" i="27"/>
  <c r="P261" i="27"/>
  <c r="O261" i="27"/>
  <c r="N261" i="27"/>
  <c r="M261" i="27"/>
  <c r="L261" i="27"/>
  <c r="K261" i="27"/>
  <c r="J261" i="27"/>
  <c r="I261" i="27"/>
  <c r="H261" i="27"/>
  <c r="G261" i="27"/>
  <c r="F261" i="27"/>
  <c r="E261" i="27"/>
  <c r="D261" i="27"/>
  <c r="C261" i="27"/>
  <c r="B261" i="27"/>
  <c r="A261" i="27"/>
  <c r="AF260" i="27"/>
  <c r="AE260" i="27"/>
  <c r="AD260" i="27"/>
  <c r="AC260" i="27"/>
  <c r="AB260" i="27"/>
  <c r="AA260" i="27"/>
  <c r="Z260" i="27"/>
  <c r="Y260" i="27"/>
  <c r="X260" i="27"/>
  <c r="W260" i="27"/>
  <c r="V260" i="27"/>
  <c r="U260" i="27"/>
  <c r="T260" i="27"/>
  <c r="S260" i="27"/>
  <c r="R260" i="27"/>
  <c r="Q260" i="27"/>
  <c r="P260" i="27"/>
  <c r="O260" i="27"/>
  <c r="N260" i="27"/>
  <c r="M260" i="27"/>
  <c r="L260" i="27"/>
  <c r="K260" i="27"/>
  <c r="J260" i="27"/>
  <c r="I260" i="27"/>
  <c r="H260" i="27"/>
  <c r="G260" i="27"/>
  <c r="F260" i="27"/>
  <c r="E260" i="27"/>
  <c r="D260" i="27"/>
  <c r="C260" i="27"/>
  <c r="B260" i="27"/>
  <c r="A260" i="27"/>
  <c r="AE259" i="27"/>
  <c r="AD259" i="27"/>
  <c r="AC259" i="27"/>
  <c r="AB259" i="27"/>
  <c r="AA259" i="27"/>
  <c r="Z259" i="27"/>
  <c r="Y259" i="27"/>
  <c r="X259" i="27"/>
  <c r="W259" i="27"/>
  <c r="V259" i="27"/>
  <c r="U259" i="27"/>
  <c r="T259" i="27"/>
  <c r="S259" i="27"/>
  <c r="R259" i="27"/>
  <c r="Q259" i="27"/>
  <c r="P259" i="27"/>
  <c r="B259" i="27"/>
  <c r="S234" i="27"/>
  <c r="AG224" i="27"/>
  <c r="AG57" i="27" s="1"/>
  <c r="AG58" i="27" s="1"/>
  <c r="AG3" i="27" s="1"/>
  <c r="AF224" i="27"/>
  <c r="AE224" i="27"/>
  <c r="AD224" i="27"/>
  <c r="AC224" i="27"/>
  <c r="AB224" i="27"/>
  <c r="AA224" i="27"/>
  <c r="Z224" i="27"/>
  <c r="Y224" i="27"/>
  <c r="X224" i="27"/>
  <c r="W224" i="27"/>
  <c r="V224" i="27"/>
  <c r="U224" i="27"/>
  <c r="T224" i="27"/>
  <c r="S224" i="27"/>
  <c r="R224" i="27"/>
  <c r="Q224" i="27"/>
  <c r="C224" i="27"/>
  <c r="D223" i="27"/>
  <c r="C259" i="27" s="1"/>
  <c r="B223" i="27"/>
  <c r="AF259" i="27" s="1"/>
  <c r="F222" i="27"/>
  <c r="G222" i="27" s="1"/>
  <c r="H222" i="27" s="1"/>
  <c r="I222" i="27" s="1"/>
  <c r="J222" i="27" s="1"/>
  <c r="K222" i="27" s="1"/>
  <c r="L222" i="27" s="1"/>
  <c r="M222" i="27" s="1"/>
  <c r="N222" i="27" s="1"/>
  <c r="O222" i="27" s="1"/>
  <c r="P222" i="27" s="1"/>
  <c r="E222" i="27"/>
  <c r="D222" i="27"/>
  <c r="B222" i="27"/>
  <c r="D221" i="27"/>
  <c r="E221" i="27" s="1"/>
  <c r="F221" i="27" s="1"/>
  <c r="G221" i="27" s="1"/>
  <c r="H221" i="27" s="1"/>
  <c r="I221" i="27" s="1"/>
  <c r="J221" i="27" s="1"/>
  <c r="K221" i="27" s="1"/>
  <c r="L221" i="27" s="1"/>
  <c r="M221" i="27" s="1"/>
  <c r="N221" i="27" s="1"/>
  <c r="O221" i="27" s="1"/>
  <c r="P221" i="27" s="1"/>
  <c r="B221" i="27"/>
  <c r="D220" i="27"/>
  <c r="E220" i="27" s="1"/>
  <c r="F220" i="27" s="1"/>
  <c r="G220" i="27" s="1"/>
  <c r="H220" i="27" s="1"/>
  <c r="I220" i="27" s="1"/>
  <c r="J220" i="27" s="1"/>
  <c r="K220" i="27" s="1"/>
  <c r="L220" i="27" s="1"/>
  <c r="M220" i="27" s="1"/>
  <c r="N220" i="27" s="1"/>
  <c r="O220" i="27" s="1"/>
  <c r="P220" i="27" s="1"/>
  <c r="B220" i="27"/>
  <c r="G219" i="27"/>
  <c r="H219" i="27" s="1"/>
  <c r="I219" i="27" s="1"/>
  <c r="J219" i="27" s="1"/>
  <c r="K219" i="27" s="1"/>
  <c r="L219" i="27" s="1"/>
  <c r="M219" i="27" s="1"/>
  <c r="N219" i="27" s="1"/>
  <c r="O219" i="27" s="1"/>
  <c r="P219" i="27" s="1"/>
  <c r="F219" i="27"/>
  <c r="E219" i="27"/>
  <c r="D219" i="27"/>
  <c r="B219" i="27"/>
  <c r="D218" i="27"/>
  <c r="B218" i="27"/>
  <c r="AG216" i="27"/>
  <c r="AF216" i="27"/>
  <c r="AE216" i="27"/>
  <c r="AD216" i="27"/>
  <c r="AC216" i="27"/>
  <c r="AB216" i="27"/>
  <c r="AA216" i="27"/>
  <c r="Z216" i="27"/>
  <c r="Y216" i="27"/>
  <c r="X216" i="27"/>
  <c r="W216" i="27"/>
  <c r="V216" i="27"/>
  <c r="U216" i="27"/>
  <c r="T216" i="27"/>
  <c r="S216" i="27"/>
  <c r="R216" i="27"/>
  <c r="Q216" i="27"/>
  <c r="P216" i="27"/>
  <c r="O216" i="27"/>
  <c r="N216" i="27"/>
  <c r="M216" i="27"/>
  <c r="L216" i="27"/>
  <c r="K216" i="27"/>
  <c r="J216" i="27"/>
  <c r="I216" i="27"/>
  <c r="H216" i="27"/>
  <c r="G216" i="27"/>
  <c r="F216" i="27"/>
  <c r="E216" i="27"/>
  <c r="D216" i="27"/>
  <c r="C216" i="27"/>
  <c r="B216" i="27"/>
  <c r="AI109" i="27"/>
  <c r="AH109" i="27"/>
  <c r="AI108" i="27"/>
  <c r="AH108" i="27"/>
  <c r="AI107" i="27"/>
  <c r="AH107" i="27"/>
  <c r="AI106" i="27"/>
  <c r="AH106" i="27"/>
  <c r="AI105" i="27"/>
  <c r="AH105" i="27"/>
  <c r="AI104" i="27"/>
  <c r="AH104" i="27"/>
  <c r="AI103" i="27"/>
  <c r="AI102" i="27"/>
  <c r="AH102" i="27"/>
  <c r="AI101" i="27"/>
  <c r="AH101" i="27"/>
  <c r="AF100" i="27"/>
  <c r="AE100" i="27"/>
  <c r="AD100" i="27"/>
  <c r="AC100" i="27"/>
  <c r="AB100" i="27"/>
  <c r="AA100" i="27"/>
  <c r="Y100" i="27"/>
  <c r="W100" i="27"/>
  <c r="V100" i="27"/>
  <c r="U100" i="27"/>
  <c r="S100" i="27"/>
  <c r="R100" i="27"/>
  <c r="Q100" i="27"/>
  <c r="AI99" i="27"/>
  <c r="AH99" i="27"/>
  <c r="AI98" i="27"/>
  <c r="AH98" i="27"/>
  <c r="AI97" i="27"/>
  <c r="AH97" i="27"/>
  <c r="AI96" i="27"/>
  <c r="AH96" i="27"/>
  <c r="AI95" i="27"/>
  <c r="AH95" i="27"/>
  <c r="AI94" i="27"/>
  <c r="AH94" i="27"/>
  <c r="AI93" i="27"/>
  <c r="AH93" i="27"/>
  <c r="AI92" i="27"/>
  <c r="AH92" i="27"/>
  <c r="AI91" i="27"/>
  <c r="AH91" i="27"/>
  <c r="AI88" i="27"/>
  <c r="AH88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U89" i="27" s="1"/>
  <c r="T83" i="27"/>
  <c r="S83" i="27"/>
  <c r="R83" i="27"/>
  <c r="Q83" i="27"/>
  <c r="P83" i="27"/>
  <c r="O83" i="27"/>
  <c r="N83" i="27"/>
  <c r="M83" i="27"/>
  <c r="L83" i="27"/>
  <c r="L89" i="27" s="1"/>
  <c r="K83" i="27"/>
  <c r="J83" i="27"/>
  <c r="I83" i="27"/>
  <c r="H83" i="27"/>
  <c r="G83" i="27"/>
  <c r="F83" i="27"/>
  <c r="E83" i="27"/>
  <c r="D83" i="27"/>
  <c r="C83" i="27"/>
  <c r="AI80" i="27"/>
  <c r="AH80" i="27"/>
  <c r="AI78" i="27"/>
  <c r="AH78" i="27"/>
  <c r="AG78" i="27"/>
  <c r="AI77" i="27"/>
  <c r="AH77" i="27"/>
  <c r="AI76" i="27"/>
  <c r="AH76" i="27"/>
  <c r="AI75" i="27"/>
  <c r="AH75" i="27"/>
  <c r="AG74" i="27"/>
  <c r="AE74" i="27"/>
  <c r="AD5" i="27" s="1"/>
  <c r="AD74" i="27"/>
  <c r="AC5" i="27" s="1"/>
  <c r="AC74" i="27"/>
  <c r="AB5" i="27" s="1"/>
  <c r="AB74" i="27"/>
  <c r="AA74" i="27"/>
  <c r="Z5" i="27" s="1"/>
  <c r="Z74" i="27"/>
  <c r="Y74" i="27"/>
  <c r="X5" i="27" s="1"/>
  <c r="X74" i="27"/>
  <c r="W5" i="27" s="1"/>
  <c r="W74" i="27"/>
  <c r="V5" i="27" s="1"/>
  <c r="V74" i="27"/>
  <c r="U5" i="27" s="1"/>
  <c r="U74" i="27"/>
  <c r="T74" i="27"/>
  <c r="S74" i="27"/>
  <c r="R5" i="27" s="1"/>
  <c r="R74" i="27"/>
  <c r="Q5" i="27" s="1"/>
  <c r="Q74" i="27"/>
  <c r="P5" i="27" s="1"/>
  <c r="P74" i="27"/>
  <c r="O5" i="27" s="1"/>
  <c r="O74" i="27"/>
  <c r="N5" i="27" s="1"/>
  <c r="N74" i="27"/>
  <c r="M5" i="27" s="1"/>
  <c r="M74" i="27"/>
  <c r="L5" i="27" s="1"/>
  <c r="L74" i="27"/>
  <c r="K74" i="27"/>
  <c r="J5" i="27" s="1"/>
  <c r="J74" i="27"/>
  <c r="I74" i="27"/>
  <c r="H5" i="27" s="1"/>
  <c r="H74" i="27"/>
  <c r="G5" i="27" s="1"/>
  <c r="G74" i="27"/>
  <c r="F5" i="27" s="1"/>
  <c r="F74" i="27"/>
  <c r="E5" i="27" s="1"/>
  <c r="E74" i="27"/>
  <c r="D5" i="27" s="1"/>
  <c r="D74" i="27"/>
  <c r="C74" i="27"/>
  <c r="AF5" i="27"/>
  <c r="AI73" i="27"/>
  <c r="AH73" i="27"/>
  <c r="AI72" i="27"/>
  <c r="AH72" i="27"/>
  <c r="AI71" i="27"/>
  <c r="AH71" i="27"/>
  <c r="AI70" i="27"/>
  <c r="AH70" i="27"/>
  <c r="AI69" i="27"/>
  <c r="AH69" i="27"/>
  <c r="AI68" i="27"/>
  <c r="AH68" i="27"/>
  <c r="AI67" i="27"/>
  <c r="AH67" i="27"/>
  <c r="AI66" i="27"/>
  <c r="AH66" i="27"/>
  <c r="AI65" i="27"/>
  <c r="AH65" i="27"/>
  <c r="AI64" i="27"/>
  <c r="AH64" i="27"/>
  <c r="AI63" i="27"/>
  <c r="AH63" i="27"/>
  <c r="AG62" i="27"/>
  <c r="AG4" i="27" s="1"/>
  <c r="AE62" i="27"/>
  <c r="AD62" i="27"/>
  <c r="AC62" i="27"/>
  <c r="AB62" i="27"/>
  <c r="AA62" i="27"/>
  <c r="Z62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AI61" i="27"/>
  <c r="AH61" i="27"/>
  <c r="AI60" i="27"/>
  <c r="AH60" i="27"/>
  <c r="AI59" i="27"/>
  <c r="AH59" i="27"/>
  <c r="AE58" i="27"/>
  <c r="AD58" i="27"/>
  <c r="AC58" i="27"/>
  <c r="AB58" i="27"/>
  <c r="AA58" i="27"/>
  <c r="Z58" i="27"/>
  <c r="Y58" i="27"/>
  <c r="X58" i="27"/>
  <c r="W58" i="27"/>
  <c r="V58" i="27"/>
  <c r="U58" i="27"/>
  <c r="T58" i="27"/>
  <c r="S58" i="27"/>
  <c r="R58" i="27"/>
  <c r="Q58" i="27"/>
  <c r="O58" i="27"/>
  <c r="N58" i="27"/>
  <c r="M58" i="27"/>
  <c r="L58" i="27"/>
  <c r="K58" i="27"/>
  <c r="J58" i="27"/>
  <c r="I58" i="27"/>
  <c r="H58" i="27"/>
  <c r="G58" i="27"/>
  <c r="F58" i="27"/>
  <c r="E58" i="27"/>
  <c r="D58" i="27"/>
  <c r="C58" i="27"/>
  <c r="AI57" i="27"/>
  <c r="AH57" i="27"/>
  <c r="AI56" i="27"/>
  <c r="AH56" i="27"/>
  <c r="AI55" i="27"/>
  <c r="AH55" i="27"/>
  <c r="AI54" i="27"/>
  <c r="AH54" i="27"/>
  <c r="AI53" i="27"/>
  <c r="AH53" i="27"/>
  <c r="AI52" i="27"/>
  <c r="AH52" i="27"/>
  <c r="AI51" i="27"/>
  <c r="AH51" i="27"/>
  <c r="AI50" i="27"/>
  <c r="AH50" i="27"/>
  <c r="AI49" i="27"/>
  <c r="AH49" i="27"/>
  <c r="AI48" i="27"/>
  <c r="AH48" i="27"/>
  <c r="AI47" i="27"/>
  <c r="AH47" i="27"/>
  <c r="AI46" i="27"/>
  <c r="AH46" i="27"/>
  <c r="AI45" i="27"/>
  <c r="AH45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AI43" i="27"/>
  <c r="AH43" i="27"/>
  <c r="AI42" i="27"/>
  <c r="AH42" i="27"/>
  <c r="AI41" i="27"/>
  <c r="AH41" i="27"/>
  <c r="AG40" i="27"/>
  <c r="AF40" i="27"/>
  <c r="AE40" i="27"/>
  <c r="AD40" i="27"/>
  <c r="AC40" i="27"/>
  <c r="AB40" i="27"/>
  <c r="AA40" i="27"/>
  <c r="Z40" i="27"/>
  <c r="Z79" i="27" s="1"/>
  <c r="Z81" i="27" s="1"/>
  <c r="Y40" i="27"/>
  <c r="X40" i="27"/>
  <c r="W40" i="27"/>
  <c r="V40" i="27"/>
  <c r="U40" i="27"/>
  <c r="T40" i="27"/>
  <c r="S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AH39" i="27"/>
  <c r="AI38" i="27"/>
  <c r="AH38" i="27"/>
  <c r="AI37" i="27"/>
  <c r="AH37" i="27"/>
  <c r="AI36" i="27"/>
  <c r="AH36" i="27"/>
  <c r="AI35" i="27"/>
  <c r="AH35" i="27"/>
  <c r="AI34" i="27"/>
  <c r="AH34" i="27"/>
  <c r="AI33" i="27"/>
  <c r="AH33" i="27"/>
  <c r="AI32" i="27"/>
  <c r="AH32" i="27"/>
  <c r="AI31" i="27"/>
  <c r="AH31" i="27"/>
  <c r="AI30" i="27"/>
  <c r="AH30" i="27"/>
  <c r="AI29" i="27"/>
  <c r="AH29" i="27"/>
  <c r="AI28" i="27"/>
  <c r="AH28" i="27"/>
  <c r="AI27" i="27"/>
  <c r="AH27" i="27"/>
  <c r="AI26" i="27"/>
  <c r="AH26" i="27"/>
  <c r="AI25" i="27"/>
  <c r="AH25" i="27"/>
  <c r="AI24" i="27"/>
  <c r="AH24" i="27"/>
  <c r="AI23" i="27"/>
  <c r="AH23" i="27"/>
  <c r="AI22" i="27"/>
  <c r="AH22" i="27"/>
  <c r="AI21" i="27"/>
  <c r="AH21" i="27"/>
  <c r="AI20" i="27"/>
  <c r="AH20" i="27"/>
  <c r="AI19" i="27"/>
  <c r="AH19" i="27"/>
  <c r="AI18" i="27"/>
  <c r="AH18" i="27"/>
  <c r="AI17" i="27"/>
  <c r="AH17" i="27"/>
  <c r="AI16" i="27"/>
  <c r="AH16" i="27"/>
  <c r="AI15" i="27"/>
  <c r="AH15" i="27"/>
  <c r="AI14" i="27"/>
  <c r="AH14" i="27"/>
  <c r="AI13" i="27"/>
  <c r="AH13" i="27"/>
  <c r="AI12" i="27"/>
  <c r="AH12" i="27"/>
  <c r="AI11" i="27"/>
  <c r="AH11" i="27"/>
  <c r="Y5" i="27"/>
  <c r="T5" i="27"/>
  <c r="I5" i="27"/>
  <c r="K4" i="27"/>
  <c r="B4" i="27"/>
  <c r="S235" i="27" s="1"/>
  <c r="AF103" i="26"/>
  <c r="AF39" i="26"/>
  <c r="AE103" i="26"/>
  <c r="AE100" i="26" s="1"/>
  <c r="AE39" i="26"/>
  <c r="AD103" i="26"/>
  <c r="AD39" i="26"/>
  <c r="AC103" i="26"/>
  <c r="AC100" i="26" s="1"/>
  <c r="AC39" i="26"/>
  <c r="AB103" i="26"/>
  <c r="AB39" i="26"/>
  <c r="AA103" i="26"/>
  <c r="Z103" i="26"/>
  <c r="AA39" i="26"/>
  <c r="Z39" i="26"/>
  <c r="Y103" i="26"/>
  <c r="Y100" i="26" s="1"/>
  <c r="Y39" i="26"/>
  <c r="X103" i="26"/>
  <c r="X39" i="26"/>
  <c r="R103" i="26"/>
  <c r="R39" i="26"/>
  <c r="Q103" i="26"/>
  <c r="Q39" i="26"/>
  <c r="P103" i="26"/>
  <c r="P39" i="26"/>
  <c r="N39" i="26"/>
  <c r="O39" i="26"/>
  <c r="M39" i="26"/>
  <c r="L39" i="26"/>
  <c r="K39" i="26"/>
  <c r="J39" i="26"/>
  <c r="I39" i="26"/>
  <c r="H39" i="26"/>
  <c r="G39" i="26"/>
  <c r="F39" i="26"/>
  <c r="E39" i="26"/>
  <c r="D103" i="26"/>
  <c r="C39" i="26"/>
  <c r="D39" i="26"/>
  <c r="AI39" i="26" s="1"/>
  <c r="C103" i="26"/>
  <c r="AH103" i="26" s="1"/>
  <c r="B103" i="26"/>
  <c r="AF263" i="26"/>
  <c r="AE263" i="26"/>
  <c r="AD263" i="26"/>
  <c r="AC263" i="26"/>
  <c r="AB263" i="26"/>
  <c r="AA263" i="26"/>
  <c r="Z263" i="26"/>
  <c r="Y263" i="26"/>
  <c r="X263" i="26"/>
  <c r="W263" i="26"/>
  <c r="V263" i="26"/>
  <c r="U263" i="26"/>
  <c r="T263" i="26"/>
  <c r="S263" i="26"/>
  <c r="R263" i="26"/>
  <c r="Q263" i="26"/>
  <c r="P263" i="26"/>
  <c r="O263" i="26"/>
  <c r="N263" i="26"/>
  <c r="M263" i="26"/>
  <c r="L263" i="26"/>
  <c r="K263" i="26"/>
  <c r="J263" i="26"/>
  <c r="I263" i="26"/>
  <c r="H263" i="26"/>
  <c r="G263" i="26"/>
  <c r="F263" i="26"/>
  <c r="E263" i="26"/>
  <c r="D263" i="26"/>
  <c r="C263" i="26"/>
  <c r="B263" i="26"/>
  <c r="A263" i="26"/>
  <c r="AF262" i="26"/>
  <c r="AE262" i="26"/>
  <c r="AD262" i="26"/>
  <c r="AC262" i="26"/>
  <c r="AB262" i="26"/>
  <c r="AA262" i="26"/>
  <c r="Z262" i="26"/>
  <c r="Y262" i="26"/>
  <c r="X262" i="26"/>
  <c r="W262" i="26"/>
  <c r="V262" i="26"/>
  <c r="U262" i="26"/>
  <c r="T262" i="26"/>
  <c r="S262" i="26"/>
  <c r="R262" i="26"/>
  <c r="Q262" i="26"/>
  <c r="P262" i="26"/>
  <c r="O262" i="26"/>
  <c r="N262" i="26"/>
  <c r="M262" i="26"/>
  <c r="L262" i="26"/>
  <c r="K262" i="26"/>
  <c r="J262" i="26"/>
  <c r="I262" i="26"/>
  <c r="H262" i="26"/>
  <c r="G262" i="26"/>
  <c r="F262" i="26"/>
  <c r="E262" i="26"/>
  <c r="D262" i="26"/>
  <c r="C262" i="26"/>
  <c r="B262" i="26"/>
  <c r="A262" i="26"/>
  <c r="AF261" i="26"/>
  <c r="AE261" i="26"/>
  <c r="AD261" i="26"/>
  <c r="AC261" i="26"/>
  <c r="AB261" i="26"/>
  <c r="AA261" i="26"/>
  <c r="Z261" i="26"/>
  <c r="Y261" i="26"/>
  <c r="X261" i="26"/>
  <c r="W261" i="26"/>
  <c r="V261" i="26"/>
  <c r="U261" i="26"/>
  <c r="T261" i="26"/>
  <c r="S261" i="26"/>
  <c r="R261" i="26"/>
  <c r="Q261" i="26"/>
  <c r="P261" i="26"/>
  <c r="O261" i="26"/>
  <c r="N261" i="26"/>
  <c r="M261" i="26"/>
  <c r="L261" i="26"/>
  <c r="K261" i="26"/>
  <c r="J261" i="26"/>
  <c r="I261" i="26"/>
  <c r="H261" i="26"/>
  <c r="G261" i="26"/>
  <c r="F261" i="26"/>
  <c r="E261" i="26"/>
  <c r="D261" i="26"/>
  <c r="C261" i="26"/>
  <c r="B261" i="26"/>
  <c r="A261" i="26"/>
  <c r="AF260" i="26"/>
  <c r="AE260" i="26"/>
  <c r="AD260" i="26"/>
  <c r="AC260" i="26"/>
  <c r="AB260" i="26"/>
  <c r="AA260" i="26"/>
  <c r="Z260" i="26"/>
  <c r="Y260" i="26"/>
  <c r="X260" i="26"/>
  <c r="W260" i="26"/>
  <c r="V260" i="26"/>
  <c r="U260" i="26"/>
  <c r="T260" i="26"/>
  <c r="S260" i="26"/>
  <c r="R260" i="26"/>
  <c r="Q260" i="26"/>
  <c r="P260" i="26"/>
  <c r="O260" i="26"/>
  <c r="N260" i="26"/>
  <c r="M260" i="26"/>
  <c r="L260" i="26"/>
  <c r="K260" i="26"/>
  <c r="J260" i="26"/>
  <c r="I260" i="26"/>
  <c r="H260" i="26"/>
  <c r="G260" i="26"/>
  <c r="F260" i="26"/>
  <c r="E260" i="26"/>
  <c r="D260" i="26"/>
  <c r="C260" i="26"/>
  <c r="B260" i="26"/>
  <c r="A260" i="26"/>
  <c r="AE259" i="26"/>
  <c r="AD259" i="26"/>
  <c r="AC259" i="26"/>
  <c r="AB259" i="26"/>
  <c r="AA259" i="26"/>
  <c r="Z259" i="26"/>
  <c r="Y259" i="26"/>
  <c r="X259" i="26"/>
  <c r="W259" i="26"/>
  <c r="V259" i="26"/>
  <c r="U259" i="26"/>
  <c r="T259" i="26"/>
  <c r="S259" i="26"/>
  <c r="R259" i="26"/>
  <c r="Q259" i="26"/>
  <c r="P259" i="26"/>
  <c r="B259" i="26"/>
  <c r="S234" i="26"/>
  <c r="AG224" i="26"/>
  <c r="AG57" i="26" s="1"/>
  <c r="AG58" i="26" s="1"/>
  <c r="AG3" i="26" s="1"/>
  <c r="AF224" i="26"/>
  <c r="AE224" i="26"/>
  <c r="AD224" i="26"/>
  <c r="AC224" i="26"/>
  <c r="AB224" i="26"/>
  <c r="AA224" i="26"/>
  <c r="Z224" i="26"/>
  <c r="Y224" i="26"/>
  <c r="X224" i="26"/>
  <c r="W224" i="26"/>
  <c r="V224" i="26"/>
  <c r="U224" i="26"/>
  <c r="T224" i="26"/>
  <c r="S224" i="26"/>
  <c r="R224" i="26"/>
  <c r="Q224" i="26"/>
  <c r="C224" i="26"/>
  <c r="E223" i="26"/>
  <c r="F223" i="26" s="1"/>
  <c r="D223" i="26"/>
  <c r="C259" i="26" s="1"/>
  <c r="B223" i="26"/>
  <c r="AF259" i="26" s="1"/>
  <c r="D222" i="26"/>
  <c r="E222" i="26" s="1"/>
  <c r="F222" i="26" s="1"/>
  <c r="G222" i="26" s="1"/>
  <c r="H222" i="26" s="1"/>
  <c r="I222" i="26" s="1"/>
  <c r="J222" i="26" s="1"/>
  <c r="K222" i="26" s="1"/>
  <c r="L222" i="26" s="1"/>
  <c r="M222" i="26" s="1"/>
  <c r="N222" i="26" s="1"/>
  <c r="O222" i="26" s="1"/>
  <c r="P222" i="26" s="1"/>
  <c r="B222" i="26"/>
  <c r="D221" i="26"/>
  <c r="E221" i="26" s="1"/>
  <c r="F221" i="26" s="1"/>
  <c r="G221" i="26" s="1"/>
  <c r="H221" i="26" s="1"/>
  <c r="I221" i="26" s="1"/>
  <c r="J221" i="26" s="1"/>
  <c r="K221" i="26" s="1"/>
  <c r="L221" i="26" s="1"/>
  <c r="M221" i="26" s="1"/>
  <c r="N221" i="26" s="1"/>
  <c r="O221" i="26" s="1"/>
  <c r="P221" i="26" s="1"/>
  <c r="B221" i="26"/>
  <c r="D220" i="26"/>
  <c r="E220" i="26" s="1"/>
  <c r="F220" i="26" s="1"/>
  <c r="G220" i="26" s="1"/>
  <c r="H220" i="26" s="1"/>
  <c r="I220" i="26" s="1"/>
  <c r="J220" i="26" s="1"/>
  <c r="K220" i="26" s="1"/>
  <c r="L220" i="26" s="1"/>
  <c r="M220" i="26" s="1"/>
  <c r="N220" i="26" s="1"/>
  <c r="O220" i="26" s="1"/>
  <c r="P220" i="26" s="1"/>
  <c r="B220" i="26"/>
  <c r="D219" i="26"/>
  <c r="E219" i="26" s="1"/>
  <c r="F219" i="26" s="1"/>
  <c r="G219" i="26" s="1"/>
  <c r="H219" i="26" s="1"/>
  <c r="I219" i="26" s="1"/>
  <c r="J219" i="26" s="1"/>
  <c r="K219" i="26" s="1"/>
  <c r="L219" i="26" s="1"/>
  <c r="M219" i="26" s="1"/>
  <c r="N219" i="26" s="1"/>
  <c r="O219" i="26" s="1"/>
  <c r="P219" i="26" s="1"/>
  <c r="B219" i="26"/>
  <c r="D218" i="26"/>
  <c r="B218" i="26"/>
  <c r="B100" i="26" s="1"/>
  <c r="AG216" i="26"/>
  <c r="AF216" i="26"/>
  <c r="AE216" i="26"/>
  <c r="AD216" i="26"/>
  <c r="AC216" i="26"/>
  <c r="AB216" i="26"/>
  <c r="AA216" i="26"/>
  <c r="Z216" i="26"/>
  <c r="Y216" i="26"/>
  <c r="X216" i="26"/>
  <c r="W216" i="26"/>
  <c r="V216" i="26"/>
  <c r="U216" i="26"/>
  <c r="T216" i="26"/>
  <c r="S216" i="26"/>
  <c r="R216" i="26"/>
  <c r="Q216" i="26"/>
  <c r="P216" i="26"/>
  <c r="O216" i="26"/>
  <c r="N216" i="26"/>
  <c r="M216" i="26"/>
  <c r="L216" i="26"/>
  <c r="K216" i="26"/>
  <c r="J216" i="26"/>
  <c r="I216" i="26"/>
  <c r="H216" i="26"/>
  <c r="G216" i="26"/>
  <c r="F216" i="26"/>
  <c r="E216" i="26"/>
  <c r="D216" i="26"/>
  <c r="C216" i="26"/>
  <c r="B216" i="26"/>
  <c r="AI109" i="26"/>
  <c r="AH109" i="26"/>
  <c r="AI108" i="26"/>
  <c r="AH108" i="26"/>
  <c r="AI107" i="26"/>
  <c r="AH107" i="26"/>
  <c r="AI106" i="26"/>
  <c r="AH106" i="26"/>
  <c r="AI105" i="26"/>
  <c r="AH105" i="26"/>
  <c r="AI104" i="26"/>
  <c r="AH104" i="26"/>
  <c r="AI102" i="26"/>
  <c r="AH102" i="26"/>
  <c r="AI101" i="26"/>
  <c r="AH101" i="26"/>
  <c r="AF100" i="26"/>
  <c r="AD100" i="26"/>
  <c r="AB100" i="26"/>
  <c r="AA100" i="26"/>
  <c r="Z100" i="26"/>
  <c r="X100" i="26"/>
  <c r="W100" i="26"/>
  <c r="V100" i="26"/>
  <c r="U100" i="26"/>
  <c r="T100" i="26"/>
  <c r="S100" i="26"/>
  <c r="R100" i="26"/>
  <c r="Q100" i="26"/>
  <c r="AI99" i="26"/>
  <c r="AH99" i="26"/>
  <c r="AI98" i="26"/>
  <c r="AH98" i="26"/>
  <c r="AI97" i="26"/>
  <c r="AH97" i="26"/>
  <c r="AI96" i="26"/>
  <c r="AH96" i="26"/>
  <c r="AI95" i="26"/>
  <c r="AH95" i="26"/>
  <c r="AI94" i="26"/>
  <c r="AH94" i="26"/>
  <c r="AI93" i="26"/>
  <c r="AH93" i="26"/>
  <c r="AI92" i="26"/>
  <c r="AH92" i="26"/>
  <c r="AI91" i="26"/>
  <c r="AH91" i="26"/>
  <c r="AI88" i="26"/>
  <c r="AH88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C89" i="26" s="1"/>
  <c r="B87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AF83" i="26"/>
  <c r="AE83" i="26"/>
  <c r="AD83" i="26"/>
  <c r="AD89" i="26" s="1"/>
  <c r="AD90" i="26" s="1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F89" i="26" s="1"/>
  <c r="F90" i="26" s="1"/>
  <c r="E83" i="26"/>
  <c r="D83" i="26"/>
  <c r="C83" i="26"/>
  <c r="B83" i="26"/>
  <c r="AI80" i="26"/>
  <c r="AH80" i="26"/>
  <c r="AI78" i="26"/>
  <c r="AH78" i="26"/>
  <c r="AG78" i="26"/>
  <c r="AI77" i="26"/>
  <c r="AH77" i="26"/>
  <c r="AI76" i="26"/>
  <c r="AH76" i="26"/>
  <c r="AI75" i="26"/>
  <c r="AH75" i="26"/>
  <c r="AG74" i="26"/>
  <c r="AF74" i="26"/>
  <c r="AE5" i="26" s="1"/>
  <c r="AE74" i="26"/>
  <c r="AD5" i="26" s="1"/>
  <c r="AD74" i="26"/>
  <c r="AC5" i="26" s="1"/>
  <c r="AC74" i="26"/>
  <c r="AB74" i="26"/>
  <c r="AA74" i="26"/>
  <c r="Z5" i="26" s="1"/>
  <c r="Z74" i="26"/>
  <c r="Y5" i="26" s="1"/>
  <c r="Y74" i="26"/>
  <c r="X5" i="26" s="1"/>
  <c r="X74" i="26"/>
  <c r="W5" i="26" s="1"/>
  <c r="W74" i="26"/>
  <c r="V5" i="26" s="1"/>
  <c r="V74" i="26"/>
  <c r="U5" i="26" s="1"/>
  <c r="U74" i="26"/>
  <c r="T5" i="26" s="1"/>
  <c r="T74" i="26"/>
  <c r="S74" i="26"/>
  <c r="R74" i="26"/>
  <c r="Q5" i="26" s="1"/>
  <c r="Q74" i="26"/>
  <c r="P5" i="26" s="1"/>
  <c r="P74" i="26"/>
  <c r="O5" i="26" s="1"/>
  <c r="O74" i="26"/>
  <c r="N5" i="26" s="1"/>
  <c r="N74" i="26"/>
  <c r="M5" i="26" s="1"/>
  <c r="M74" i="26"/>
  <c r="L5" i="26" s="1"/>
  <c r="L74" i="26"/>
  <c r="K74" i="26"/>
  <c r="J74" i="26"/>
  <c r="I5" i="26" s="1"/>
  <c r="I74" i="26"/>
  <c r="H5" i="26" s="1"/>
  <c r="H74" i="26"/>
  <c r="G5" i="26" s="1"/>
  <c r="G74" i="26"/>
  <c r="F5" i="26" s="1"/>
  <c r="F74" i="26"/>
  <c r="E5" i="26" s="1"/>
  <c r="E74" i="26"/>
  <c r="D5" i="26" s="1"/>
  <c r="D74" i="26"/>
  <c r="C74" i="26"/>
  <c r="B74" i="26"/>
  <c r="AF5" i="26" s="1"/>
  <c r="AI73" i="26"/>
  <c r="AH73" i="26"/>
  <c r="AI72" i="26"/>
  <c r="AH72" i="26"/>
  <c r="AI71" i="26"/>
  <c r="AH71" i="26"/>
  <c r="AI70" i="26"/>
  <c r="AH70" i="26"/>
  <c r="AI69" i="26"/>
  <c r="AH69" i="26"/>
  <c r="AI68" i="26"/>
  <c r="AH68" i="26"/>
  <c r="AI67" i="26"/>
  <c r="AH67" i="26"/>
  <c r="AI66" i="26"/>
  <c r="AH66" i="26"/>
  <c r="AI65" i="26"/>
  <c r="AH65" i="26"/>
  <c r="AI64" i="26"/>
  <c r="AH64" i="26"/>
  <c r="AI63" i="26"/>
  <c r="AH63" i="26"/>
  <c r="AG62" i="26"/>
  <c r="AF62" i="26"/>
  <c r="AE62" i="26"/>
  <c r="AD62" i="26"/>
  <c r="AC62" i="26"/>
  <c r="AB62" i="26"/>
  <c r="AA62" i="26"/>
  <c r="Z62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AI61" i="26"/>
  <c r="AH61" i="26"/>
  <c r="AI60" i="26"/>
  <c r="AH60" i="26"/>
  <c r="AI59" i="26"/>
  <c r="AH59" i="26"/>
  <c r="AF58" i="26"/>
  <c r="AE58" i="26"/>
  <c r="AD58" i="26"/>
  <c r="AC58" i="26"/>
  <c r="AB58" i="26"/>
  <c r="AA58" i="26"/>
  <c r="Z58" i="26"/>
  <c r="Y58" i="26"/>
  <c r="X58" i="26"/>
  <c r="W58" i="26"/>
  <c r="V58" i="26"/>
  <c r="U58" i="26"/>
  <c r="T58" i="26"/>
  <c r="S58" i="26"/>
  <c r="R58" i="26"/>
  <c r="Q58" i="26"/>
  <c r="P58" i="26"/>
  <c r="O58" i="26"/>
  <c r="N58" i="26"/>
  <c r="M58" i="26"/>
  <c r="L58" i="26"/>
  <c r="K58" i="26"/>
  <c r="J58" i="26"/>
  <c r="I58" i="26"/>
  <c r="H58" i="26"/>
  <c r="G58" i="26"/>
  <c r="F58" i="26"/>
  <c r="E58" i="26"/>
  <c r="D58" i="26"/>
  <c r="C58" i="26"/>
  <c r="B58" i="26"/>
  <c r="AI57" i="26"/>
  <c r="AH57" i="26"/>
  <c r="AI56" i="26"/>
  <c r="AH56" i="26"/>
  <c r="AI55" i="26"/>
  <c r="AH55" i="26"/>
  <c r="AI54" i="26"/>
  <c r="AH54" i="26"/>
  <c r="AI53" i="26"/>
  <c r="AH53" i="26"/>
  <c r="AI52" i="26"/>
  <c r="AH52" i="26"/>
  <c r="AI51" i="26"/>
  <c r="AH51" i="26"/>
  <c r="AI50" i="26"/>
  <c r="AH50" i="26"/>
  <c r="AI49" i="26"/>
  <c r="AH49" i="26"/>
  <c r="AI48" i="26"/>
  <c r="AH48" i="26"/>
  <c r="AI47" i="26"/>
  <c r="AH47" i="26"/>
  <c r="AI46" i="26"/>
  <c r="AH46" i="26"/>
  <c r="AI45" i="26"/>
  <c r="AH45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AI43" i="26"/>
  <c r="AH43" i="26"/>
  <c r="AI42" i="26"/>
  <c r="AH42" i="26"/>
  <c r="AI41" i="26"/>
  <c r="AH41" i="26"/>
  <c r="AG40" i="26"/>
  <c r="AF40" i="26"/>
  <c r="AE40" i="26"/>
  <c r="AD40" i="26"/>
  <c r="AC40" i="26"/>
  <c r="AC79" i="26" s="1"/>
  <c r="AC81" i="26" s="1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AI38" i="26"/>
  <c r="AH38" i="26"/>
  <c r="AI37" i="26"/>
  <c r="AH37" i="26"/>
  <c r="AI36" i="26"/>
  <c r="AH36" i="26"/>
  <c r="AI35" i="26"/>
  <c r="AH35" i="26"/>
  <c r="AI34" i="26"/>
  <c r="AH34" i="26"/>
  <c r="AI33" i="26"/>
  <c r="AH33" i="26"/>
  <c r="AI32" i="26"/>
  <c r="AH32" i="26"/>
  <c r="AI31" i="26"/>
  <c r="AH31" i="26"/>
  <c r="AI30" i="26"/>
  <c r="AH30" i="26"/>
  <c r="AI29" i="26"/>
  <c r="AH29" i="26"/>
  <c r="AI28" i="26"/>
  <c r="AH28" i="26"/>
  <c r="AI27" i="26"/>
  <c r="AH27" i="26"/>
  <c r="AI26" i="26"/>
  <c r="AH26" i="26"/>
  <c r="AI25" i="26"/>
  <c r="AH25" i="26"/>
  <c r="AI24" i="26"/>
  <c r="AH24" i="26"/>
  <c r="AI23" i="26"/>
  <c r="AH23" i="26"/>
  <c r="AI22" i="26"/>
  <c r="AH22" i="26"/>
  <c r="AI21" i="26"/>
  <c r="AH21" i="26"/>
  <c r="AI20" i="26"/>
  <c r="AH20" i="26"/>
  <c r="AI19" i="26"/>
  <c r="AH19" i="26"/>
  <c r="AI18" i="26"/>
  <c r="AH18" i="26"/>
  <c r="AI17" i="26"/>
  <c r="AH17" i="26"/>
  <c r="AI16" i="26"/>
  <c r="AH16" i="26"/>
  <c r="AI15" i="26"/>
  <c r="AH15" i="26"/>
  <c r="AI14" i="26"/>
  <c r="AH14" i="26"/>
  <c r="AI13" i="26"/>
  <c r="AH13" i="26"/>
  <c r="AI12" i="26"/>
  <c r="AH12" i="26"/>
  <c r="AI11" i="26"/>
  <c r="AH11" i="26"/>
  <c r="AB5" i="26"/>
  <c r="AG4" i="26"/>
  <c r="K4" i="26"/>
  <c r="B4" i="26"/>
  <c r="S235" i="26" s="1"/>
  <c r="AF103" i="25"/>
  <c r="AF39" i="25"/>
  <c r="AE39" i="25"/>
  <c r="AE103" i="25"/>
  <c r="AD103" i="25"/>
  <c r="AD39" i="25"/>
  <c r="AC103" i="25"/>
  <c r="AC100" i="25" s="1"/>
  <c r="AC39" i="25"/>
  <c r="AB103" i="25"/>
  <c r="AB39" i="25"/>
  <c r="AA103" i="25"/>
  <c r="AA39" i="25"/>
  <c r="Z39" i="25"/>
  <c r="Y100" i="25"/>
  <c r="Y89" i="25"/>
  <c r="Y79" i="25"/>
  <c r="X103" i="25"/>
  <c r="X39" i="25"/>
  <c r="W103" i="25"/>
  <c r="W39" i="25"/>
  <c r="V103" i="25"/>
  <c r="V39" i="25"/>
  <c r="R103" i="25"/>
  <c r="R100" i="25" s="1"/>
  <c r="R39" i="25"/>
  <c r="Q103" i="25"/>
  <c r="Q39" i="25"/>
  <c r="P103" i="25"/>
  <c r="P39" i="25"/>
  <c r="B74" i="24"/>
  <c r="C74" i="24"/>
  <c r="B83" i="24"/>
  <c r="B89" i="24" s="1"/>
  <c r="C83" i="24"/>
  <c r="B84" i="24"/>
  <c r="C84" i="24"/>
  <c r="B85" i="24"/>
  <c r="C85" i="24"/>
  <c r="B86" i="24"/>
  <c r="C86" i="24"/>
  <c r="B87" i="24"/>
  <c r="C87" i="24"/>
  <c r="C100" i="24"/>
  <c r="O39" i="25"/>
  <c r="M39" i="25"/>
  <c r="N39" i="25"/>
  <c r="L103" i="25"/>
  <c r="L39" i="25"/>
  <c r="K103" i="25"/>
  <c r="K39" i="25"/>
  <c r="J39" i="25"/>
  <c r="I103" i="25"/>
  <c r="I39" i="25"/>
  <c r="H103" i="25"/>
  <c r="H39" i="25"/>
  <c r="G103" i="25"/>
  <c r="G39" i="25"/>
  <c r="F39" i="25"/>
  <c r="E103" i="25"/>
  <c r="E39" i="25"/>
  <c r="D103" i="25"/>
  <c r="C103" i="25"/>
  <c r="D39" i="25"/>
  <c r="C39" i="25"/>
  <c r="B103" i="25"/>
  <c r="B39" i="25"/>
  <c r="B100" i="25"/>
  <c r="B87" i="25"/>
  <c r="B86" i="25"/>
  <c r="B85" i="25"/>
  <c r="B84" i="25"/>
  <c r="B83" i="25"/>
  <c r="B89" i="25" s="1"/>
  <c r="B74" i="25"/>
  <c r="B62" i="25"/>
  <c r="B58" i="25"/>
  <c r="B44" i="25"/>
  <c r="B40" i="25"/>
  <c r="AF263" i="25"/>
  <c r="AE263" i="25"/>
  <c r="AD263" i="25"/>
  <c r="AC263" i="25"/>
  <c r="AB263" i="25"/>
  <c r="AA263" i="25"/>
  <c r="Z263" i="25"/>
  <c r="Y263" i="25"/>
  <c r="X263" i="25"/>
  <c r="W263" i="25"/>
  <c r="V263" i="25"/>
  <c r="U263" i="25"/>
  <c r="T263" i="25"/>
  <c r="S263" i="25"/>
  <c r="R263" i="25"/>
  <c r="Q263" i="25"/>
  <c r="P263" i="25"/>
  <c r="O263" i="25"/>
  <c r="N263" i="25"/>
  <c r="M263" i="25"/>
  <c r="L263" i="25"/>
  <c r="K263" i="25"/>
  <c r="J263" i="25"/>
  <c r="I263" i="25"/>
  <c r="H263" i="25"/>
  <c r="G263" i="25"/>
  <c r="F263" i="25"/>
  <c r="E263" i="25"/>
  <c r="D263" i="25"/>
  <c r="C263" i="25"/>
  <c r="B263" i="25"/>
  <c r="A263" i="25"/>
  <c r="AF262" i="25"/>
  <c r="AE262" i="25"/>
  <c r="AD262" i="25"/>
  <c r="AC262" i="25"/>
  <c r="AB262" i="25"/>
  <c r="AA262" i="25"/>
  <c r="Z262" i="25"/>
  <c r="Y262" i="25"/>
  <c r="X262" i="25"/>
  <c r="W262" i="25"/>
  <c r="V262" i="25"/>
  <c r="U262" i="25"/>
  <c r="T262" i="25"/>
  <c r="S262" i="25"/>
  <c r="R262" i="25"/>
  <c r="Q262" i="25"/>
  <c r="P262" i="25"/>
  <c r="O262" i="25"/>
  <c r="N262" i="25"/>
  <c r="M262" i="25"/>
  <c r="L262" i="25"/>
  <c r="K262" i="25"/>
  <c r="J262" i="25"/>
  <c r="I262" i="25"/>
  <c r="H262" i="25"/>
  <c r="G262" i="25"/>
  <c r="F262" i="25"/>
  <c r="E262" i="25"/>
  <c r="D262" i="25"/>
  <c r="C262" i="25"/>
  <c r="B262" i="25"/>
  <c r="A262" i="25"/>
  <c r="AF261" i="25"/>
  <c r="AE261" i="25"/>
  <c r="AD261" i="25"/>
  <c r="AC261" i="25"/>
  <c r="AB261" i="25"/>
  <c r="AA261" i="25"/>
  <c r="Z261" i="25"/>
  <c r="Y261" i="25"/>
  <c r="X261" i="25"/>
  <c r="W261" i="25"/>
  <c r="V261" i="25"/>
  <c r="U261" i="25"/>
  <c r="T261" i="25"/>
  <c r="S261" i="25"/>
  <c r="R261" i="25"/>
  <c r="Q261" i="25"/>
  <c r="P261" i="25"/>
  <c r="O261" i="25"/>
  <c r="N261" i="25"/>
  <c r="M261" i="25"/>
  <c r="L261" i="25"/>
  <c r="K261" i="25"/>
  <c r="J261" i="25"/>
  <c r="I261" i="25"/>
  <c r="H261" i="25"/>
  <c r="G261" i="25"/>
  <c r="F261" i="25"/>
  <c r="E261" i="25"/>
  <c r="D261" i="25"/>
  <c r="C261" i="25"/>
  <c r="B261" i="25"/>
  <c r="A261" i="25"/>
  <c r="AF260" i="25"/>
  <c r="AE260" i="25"/>
  <c r="AD260" i="25"/>
  <c r="AC260" i="25"/>
  <c r="AB260" i="25"/>
  <c r="AA260" i="25"/>
  <c r="Z260" i="25"/>
  <c r="Y260" i="25"/>
  <c r="X260" i="25"/>
  <c r="W260" i="25"/>
  <c r="V260" i="25"/>
  <c r="U260" i="25"/>
  <c r="T260" i="25"/>
  <c r="S260" i="25"/>
  <c r="R260" i="25"/>
  <c r="Q260" i="25"/>
  <c r="P260" i="25"/>
  <c r="O260" i="25"/>
  <c r="N260" i="25"/>
  <c r="M260" i="25"/>
  <c r="L260" i="25"/>
  <c r="K260" i="25"/>
  <c r="J260" i="25"/>
  <c r="I260" i="25"/>
  <c r="H260" i="25"/>
  <c r="G260" i="25"/>
  <c r="F260" i="25"/>
  <c r="E260" i="25"/>
  <c r="D260" i="25"/>
  <c r="C260" i="25"/>
  <c r="B260" i="25"/>
  <c r="A260" i="25"/>
  <c r="AE259" i="25"/>
  <c r="AD259" i="25"/>
  <c r="AC259" i="25"/>
  <c r="AB259" i="25"/>
  <c r="AA259" i="25"/>
  <c r="Z259" i="25"/>
  <c r="Y259" i="25"/>
  <c r="X259" i="25"/>
  <c r="W259" i="25"/>
  <c r="V259" i="25"/>
  <c r="U259" i="25"/>
  <c r="T259" i="25"/>
  <c r="S259" i="25"/>
  <c r="R259" i="25"/>
  <c r="Q259" i="25"/>
  <c r="P259" i="25"/>
  <c r="B259" i="25"/>
  <c r="S234" i="25"/>
  <c r="AG224" i="25"/>
  <c r="AG57" i="25" s="1"/>
  <c r="AG58" i="25" s="1"/>
  <c r="AG3" i="25" s="1"/>
  <c r="AF224" i="25"/>
  <c r="AE224" i="25"/>
  <c r="AD224" i="25"/>
  <c r="AC224" i="25"/>
  <c r="AB224" i="25"/>
  <c r="AA224" i="25"/>
  <c r="Z224" i="25"/>
  <c r="Y224" i="25"/>
  <c r="X224" i="25"/>
  <c r="W224" i="25"/>
  <c r="V224" i="25"/>
  <c r="U224" i="25"/>
  <c r="T224" i="25"/>
  <c r="S224" i="25"/>
  <c r="R224" i="25"/>
  <c r="Q224" i="25"/>
  <c r="C224" i="25"/>
  <c r="D223" i="25"/>
  <c r="C259" i="25" s="1"/>
  <c r="B223" i="25"/>
  <c r="AF259" i="25" s="1"/>
  <c r="D222" i="25"/>
  <c r="E222" i="25" s="1"/>
  <c r="F222" i="25" s="1"/>
  <c r="G222" i="25" s="1"/>
  <c r="H222" i="25" s="1"/>
  <c r="I222" i="25" s="1"/>
  <c r="J222" i="25" s="1"/>
  <c r="K222" i="25" s="1"/>
  <c r="L222" i="25" s="1"/>
  <c r="M222" i="25" s="1"/>
  <c r="N222" i="25" s="1"/>
  <c r="O222" i="25" s="1"/>
  <c r="P222" i="25" s="1"/>
  <c r="B222" i="25"/>
  <c r="D221" i="25"/>
  <c r="E221" i="25" s="1"/>
  <c r="F221" i="25" s="1"/>
  <c r="G221" i="25" s="1"/>
  <c r="H221" i="25" s="1"/>
  <c r="I221" i="25" s="1"/>
  <c r="J221" i="25" s="1"/>
  <c r="K221" i="25" s="1"/>
  <c r="L221" i="25" s="1"/>
  <c r="M221" i="25" s="1"/>
  <c r="N221" i="25" s="1"/>
  <c r="O221" i="25" s="1"/>
  <c r="P221" i="25" s="1"/>
  <c r="B221" i="25"/>
  <c r="E220" i="25"/>
  <c r="F220" i="25" s="1"/>
  <c r="G220" i="25" s="1"/>
  <c r="H220" i="25" s="1"/>
  <c r="I220" i="25" s="1"/>
  <c r="J220" i="25" s="1"/>
  <c r="K220" i="25" s="1"/>
  <c r="L220" i="25" s="1"/>
  <c r="M220" i="25" s="1"/>
  <c r="N220" i="25" s="1"/>
  <c r="O220" i="25" s="1"/>
  <c r="P220" i="25" s="1"/>
  <c r="D220" i="25"/>
  <c r="B220" i="25"/>
  <c r="E219" i="25"/>
  <c r="F219" i="25" s="1"/>
  <c r="G219" i="25" s="1"/>
  <c r="H219" i="25" s="1"/>
  <c r="I219" i="25" s="1"/>
  <c r="J219" i="25" s="1"/>
  <c r="K219" i="25" s="1"/>
  <c r="L219" i="25" s="1"/>
  <c r="M219" i="25" s="1"/>
  <c r="N219" i="25" s="1"/>
  <c r="O219" i="25" s="1"/>
  <c r="P219" i="25" s="1"/>
  <c r="D219" i="25"/>
  <c r="B219" i="25"/>
  <c r="E218" i="25"/>
  <c r="F218" i="25" s="1"/>
  <c r="D218" i="25"/>
  <c r="B218" i="25"/>
  <c r="AG216" i="25"/>
  <c r="AF216" i="25"/>
  <c r="AE216" i="25"/>
  <c r="AD216" i="25"/>
  <c r="AC216" i="25"/>
  <c r="AB216" i="25"/>
  <c r="AA216" i="25"/>
  <c r="Z216" i="25"/>
  <c r="Y216" i="25"/>
  <c r="X216" i="25"/>
  <c r="W216" i="25"/>
  <c r="V216" i="25"/>
  <c r="U216" i="25"/>
  <c r="T216" i="25"/>
  <c r="S216" i="25"/>
  <c r="R216" i="25"/>
  <c r="Q216" i="25"/>
  <c r="P216" i="25"/>
  <c r="O216" i="25"/>
  <c r="N216" i="25"/>
  <c r="M216" i="25"/>
  <c r="L216" i="25"/>
  <c r="K216" i="25"/>
  <c r="J216" i="25"/>
  <c r="I216" i="25"/>
  <c r="H216" i="25"/>
  <c r="G216" i="25"/>
  <c r="F216" i="25"/>
  <c r="E216" i="25"/>
  <c r="D216" i="25"/>
  <c r="C216" i="25"/>
  <c r="B216" i="25"/>
  <c r="AI109" i="25"/>
  <c r="AH109" i="25"/>
  <c r="AI108" i="25"/>
  <c r="AH108" i="25"/>
  <c r="AI107" i="25"/>
  <c r="AH107" i="25"/>
  <c r="AI106" i="25"/>
  <c r="AH106" i="25"/>
  <c r="AI105" i="25"/>
  <c r="AH105" i="25"/>
  <c r="AI104" i="25"/>
  <c r="AH104" i="25"/>
  <c r="AI102" i="25"/>
  <c r="AH102" i="25"/>
  <c r="AI101" i="25"/>
  <c r="AH101" i="25"/>
  <c r="AF100" i="25"/>
  <c r="AE100" i="25"/>
  <c r="AD100" i="25"/>
  <c r="AB100" i="25"/>
  <c r="AA100" i="25"/>
  <c r="Z100" i="25"/>
  <c r="X100" i="25"/>
  <c r="W100" i="25"/>
  <c r="V100" i="25"/>
  <c r="U100" i="25"/>
  <c r="T100" i="25"/>
  <c r="S100" i="25"/>
  <c r="Q100" i="25"/>
  <c r="C100" i="25"/>
  <c r="AI99" i="25"/>
  <c r="AH99" i="25"/>
  <c r="AI98" i="25"/>
  <c r="AH98" i="25"/>
  <c r="AI97" i="25"/>
  <c r="AH97" i="25"/>
  <c r="AI96" i="25"/>
  <c r="AH96" i="25"/>
  <c r="AI95" i="25"/>
  <c r="AH95" i="25"/>
  <c r="AI94" i="25"/>
  <c r="AH94" i="25"/>
  <c r="AI93" i="25"/>
  <c r="AH93" i="25"/>
  <c r="AI92" i="25"/>
  <c r="AH92" i="25"/>
  <c r="AI91" i="25"/>
  <c r="AH91" i="25"/>
  <c r="AI88" i="25"/>
  <c r="AH88" i="25"/>
  <c r="AF87" i="25"/>
  <c r="AE87" i="25"/>
  <c r="AD87" i="25"/>
  <c r="AC87" i="25"/>
  <c r="AB87" i="25"/>
  <c r="AA87" i="25"/>
  <c r="Z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AF86" i="25"/>
  <c r="AE86" i="25"/>
  <c r="AD86" i="25"/>
  <c r="AC86" i="25"/>
  <c r="AB86" i="25"/>
  <c r="AA86" i="25"/>
  <c r="Z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AF85" i="25"/>
  <c r="AE85" i="25"/>
  <c r="AD85" i="25"/>
  <c r="AC85" i="25"/>
  <c r="AB85" i="25"/>
  <c r="AA85" i="25"/>
  <c r="Z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AF84" i="25"/>
  <c r="AE84" i="25"/>
  <c r="AD84" i="25"/>
  <c r="AC84" i="25"/>
  <c r="AB84" i="25"/>
  <c r="AA84" i="25"/>
  <c r="Z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AF83" i="25"/>
  <c r="AE83" i="25"/>
  <c r="AD83" i="25"/>
  <c r="AC83" i="25"/>
  <c r="AB83" i="25"/>
  <c r="AA83" i="25"/>
  <c r="Z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AI80" i="25"/>
  <c r="AH80" i="25"/>
  <c r="AI78" i="25"/>
  <c r="AH78" i="25"/>
  <c r="AG78" i="25"/>
  <c r="AI77" i="25"/>
  <c r="AH77" i="25"/>
  <c r="AI76" i="25"/>
  <c r="AH76" i="25"/>
  <c r="AI75" i="25"/>
  <c r="AH75" i="25"/>
  <c r="AG74" i="25"/>
  <c r="AF74" i="25"/>
  <c r="AE5" i="25" s="1"/>
  <c r="AE74" i="25"/>
  <c r="AD5" i="25" s="1"/>
  <c r="AD74" i="25"/>
  <c r="AC5" i="25" s="1"/>
  <c r="AC74" i="25"/>
  <c r="AB5" i="25" s="1"/>
  <c r="AB74" i="25"/>
  <c r="AA74" i="25"/>
  <c r="Z5" i="25" s="1"/>
  <c r="Z74" i="25"/>
  <c r="Y5" i="25" s="1"/>
  <c r="X5" i="25"/>
  <c r="X74" i="25"/>
  <c r="W5" i="25" s="1"/>
  <c r="W74" i="25"/>
  <c r="V5" i="25" s="1"/>
  <c r="V74" i="25"/>
  <c r="U5" i="25" s="1"/>
  <c r="U74" i="25"/>
  <c r="T5" i="25" s="1"/>
  <c r="T74" i="25"/>
  <c r="S74" i="25"/>
  <c r="R74" i="25"/>
  <c r="Q5" i="25" s="1"/>
  <c r="Q74" i="25"/>
  <c r="P5" i="25" s="1"/>
  <c r="P74" i="25"/>
  <c r="O5" i="25" s="1"/>
  <c r="O74" i="25"/>
  <c r="N5" i="25" s="1"/>
  <c r="N74" i="25"/>
  <c r="M5" i="25" s="1"/>
  <c r="M74" i="25"/>
  <c r="L5" i="25" s="1"/>
  <c r="L74" i="25"/>
  <c r="K74" i="25"/>
  <c r="J74" i="25"/>
  <c r="I5" i="25" s="1"/>
  <c r="I74" i="25"/>
  <c r="H5" i="25" s="1"/>
  <c r="H74" i="25"/>
  <c r="G5" i="25" s="1"/>
  <c r="G74" i="25"/>
  <c r="F5" i="25" s="1"/>
  <c r="F74" i="25"/>
  <c r="E5" i="25" s="1"/>
  <c r="E74" i="25"/>
  <c r="D5" i="25" s="1"/>
  <c r="D74" i="25"/>
  <c r="C74" i="25"/>
  <c r="AI73" i="25"/>
  <c r="AH73" i="25"/>
  <c r="AI72" i="25"/>
  <c r="AH72" i="25"/>
  <c r="AI71" i="25"/>
  <c r="AH71" i="25"/>
  <c r="AI70" i="25"/>
  <c r="AH70" i="25"/>
  <c r="AI69" i="25"/>
  <c r="AH69" i="25"/>
  <c r="AI68" i="25"/>
  <c r="AH68" i="25"/>
  <c r="AI67" i="25"/>
  <c r="AH67" i="25"/>
  <c r="AI66" i="25"/>
  <c r="AH66" i="25"/>
  <c r="AI65" i="25"/>
  <c r="AH65" i="25"/>
  <c r="AI64" i="25"/>
  <c r="AH64" i="25"/>
  <c r="AI63" i="25"/>
  <c r="AH63" i="25"/>
  <c r="AG62" i="25"/>
  <c r="AF62" i="25"/>
  <c r="AE62" i="25"/>
  <c r="AD62" i="25"/>
  <c r="AC62" i="25"/>
  <c r="AB62" i="25"/>
  <c r="AA62" i="25"/>
  <c r="Z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AI61" i="25"/>
  <c r="AH61" i="25"/>
  <c r="AI60" i="25"/>
  <c r="AH60" i="25"/>
  <c r="AI59" i="25"/>
  <c r="AH59" i="25"/>
  <c r="AF58" i="25"/>
  <c r="AE58" i="25"/>
  <c r="AD58" i="25"/>
  <c r="AC58" i="25"/>
  <c r="AB58" i="25"/>
  <c r="AA58" i="25"/>
  <c r="Z58" i="25"/>
  <c r="X58" i="25"/>
  <c r="W58" i="25"/>
  <c r="V58" i="25"/>
  <c r="U58" i="25"/>
  <c r="T58" i="25"/>
  <c r="S58" i="25"/>
  <c r="R58" i="25"/>
  <c r="Q58" i="25"/>
  <c r="P58" i="25"/>
  <c r="O58" i="25"/>
  <c r="N58" i="25"/>
  <c r="M58" i="25"/>
  <c r="L58" i="25"/>
  <c r="K58" i="25"/>
  <c r="J58" i="25"/>
  <c r="I58" i="25"/>
  <c r="H58" i="25"/>
  <c r="G58" i="25"/>
  <c r="F58" i="25"/>
  <c r="E58" i="25"/>
  <c r="D58" i="25"/>
  <c r="C58" i="25"/>
  <c r="AI57" i="25"/>
  <c r="AH57" i="25"/>
  <c r="AI56" i="25"/>
  <c r="AH56" i="25"/>
  <c r="AI55" i="25"/>
  <c r="AH55" i="25"/>
  <c r="AI54" i="25"/>
  <c r="AH54" i="25"/>
  <c r="AI53" i="25"/>
  <c r="AH53" i="25"/>
  <c r="AI52" i="25"/>
  <c r="AH52" i="25"/>
  <c r="AI51" i="25"/>
  <c r="AH51" i="25"/>
  <c r="AI50" i="25"/>
  <c r="AH50" i="25"/>
  <c r="AI49" i="25"/>
  <c r="AH49" i="25"/>
  <c r="AI48" i="25"/>
  <c r="AH48" i="25"/>
  <c r="AI47" i="25"/>
  <c r="AH47" i="25"/>
  <c r="AI46" i="25"/>
  <c r="AH46" i="25"/>
  <c r="AI45" i="25"/>
  <c r="AH45" i="25"/>
  <c r="AG44" i="25"/>
  <c r="AF44" i="25"/>
  <c r="AE44" i="25"/>
  <c r="AD44" i="25"/>
  <c r="AC44" i="25"/>
  <c r="AB44" i="25"/>
  <c r="AA44" i="25"/>
  <c r="Z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AI43" i="25"/>
  <c r="AH43" i="25"/>
  <c r="AI42" i="25"/>
  <c r="AH42" i="25"/>
  <c r="AI41" i="25"/>
  <c r="AH41" i="25"/>
  <c r="AG40" i="25"/>
  <c r="AF40" i="25"/>
  <c r="AE40" i="25"/>
  <c r="AD40" i="25"/>
  <c r="AC40" i="25"/>
  <c r="AB40" i="25"/>
  <c r="AA40" i="25"/>
  <c r="Z40" i="25"/>
  <c r="X40" i="25"/>
  <c r="W40" i="25"/>
  <c r="V40" i="25"/>
  <c r="U40" i="25"/>
  <c r="T40" i="25"/>
  <c r="S40" i="25"/>
  <c r="R40" i="25"/>
  <c r="R79" i="25" s="1"/>
  <c r="R81" i="25" s="1"/>
  <c r="R7" i="25" s="1"/>
  <c r="Q40" i="25"/>
  <c r="P40" i="25"/>
  <c r="O40" i="25"/>
  <c r="N40" i="25"/>
  <c r="M40" i="25"/>
  <c r="M79" i="25" s="1"/>
  <c r="M81" i="25" s="1"/>
  <c r="L40" i="25"/>
  <c r="K40" i="25"/>
  <c r="J40" i="25"/>
  <c r="I40" i="25"/>
  <c r="H40" i="25"/>
  <c r="G40" i="25"/>
  <c r="F40" i="25"/>
  <c r="E40" i="25"/>
  <c r="D40" i="25"/>
  <c r="C40" i="25"/>
  <c r="AI38" i="25"/>
  <c r="AH38" i="25"/>
  <c r="AI37" i="25"/>
  <c r="AH37" i="25"/>
  <c r="AI36" i="25"/>
  <c r="AH36" i="25"/>
  <c r="AI35" i="25"/>
  <c r="AH35" i="25"/>
  <c r="AI34" i="25"/>
  <c r="AH34" i="25"/>
  <c r="AI33" i="25"/>
  <c r="AH33" i="25"/>
  <c r="AI32" i="25"/>
  <c r="AH32" i="25"/>
  <c r="AI31" i="25"/>
  <c r="AH31" i="25"/>
  <c r="AI30" i="25"/>
  <c r="AH30" i="25"/>
  <c r="AI29" i="25"/>
  <c r="AH29" i="25"/>
  <c r="AI28" i="25"/>
  <c r="AH28" i="25"/>
  <c r="AI27" i="25"/>
  <c r="AH27" i="25"/>
  <c r="AI26" i="25"/>
  <c r="AH26" i="25"/>
  <c r="AI25" i="25"/>
  <c r="AH25" i="25"/>
  <c r="AI24" i="25"/>
  <c r="AH24" i="25"/>
  <c r="AI23" i="25"/>
  <c r="AH23" i="25"/>
  <c r="AI22" i="25"/>
  <c r="AH22" i="25"/>
  <c r="AI21" i="25"/>
  <c r="AH21" i="25"/>
  <c r="AI20" i="25"/>
  <c r="AH20" i="25"/>
  <c r="AI19" i="25"/>
  <c r="AH19" i="25"/>
  <c r="AI18" i="25"/>
  <c r="AH18" i="25"/>
  <c r="AI17" i="25"/>
  <c r="AH17" i="25"/>
  <c r="AI16" i="25"/>
  <c r="AH16" i="25"/>
  <c r="AI15" i="25"/>
  <c r="AH15" i="25"/>
  <c r="AI14" i="25"/>
  <c r="AH14" i="25"/>
  <c r="AI13" i="25"/>
  <c r="AH13" i="25"/>
  <c r="AI12" i="25"/>
  <c r="AH12" i="25"/>
  <c r="AI11" i="25"/>
  <c r="AH11" i="25"/>
  <c r="AG4" i="25"/>
  <c r="K4" i="25"/>
  <c r="B4" i="25"/>
  <c r="S235" i="25" s="1"/>
  <c r="AE103" i="24"/>
  <c r="AF103" i="24"/>
  <c r="AF39" i="24"/>
  <c r="AE39" i="24"/>
  <c r="AD103" i="24"/>
  <c r="AD39" i="24"/>
  <c r="AC103" i="24"/>
  <c r="AC39" i="24"/>
  <c r="AC40" i="24"/>
  <c r="AB103" i="24"/>
  <c r="AA103" i="24"/>
  <c r="AB39" i="24"/>
  <c r="AA39" i="24"/>
  <c r="Z103" i="24"/>
  <c r="Z39" i="24"/>
  <c r="Y103" i="24"/>
  <c r="Y39" i="24"/>
  <c r="X103" i="24"/>
  <c r="X39" i="24"/>
  <c r="W39" i="24"/>
  <c r="W103" i="24"/>
  <c r="V103" i="24"/>
  <c r="V39" i="24"/>
  <c r="U103" i="24"/>
  <c r="U39" i="24"/>
  <c r="T103" i="24"/>
  <c r="T39" i="24"/>
  <c r="S103" i="24"/>
  <c r="S39" i="24"/>
  <c r="R39" i="24"/>
  <c r="Q39" i="24"/>
  <c r="P39" i="24"/>
  <c r="N40" i="24"/>
  <c r="L39" i="24"/>
  <c r="AK50" i="24"/>
  <c r="K39" i="24"/>
  <c r="J103" i="24"/>
  <c r="J39" i="24"/>
  <c r="I39" i="24"/>
  <c r="I103" i="24"/>
  <c r="H39" i="24"/>
  <c r="G39" i="24"/>
  <c r="E4" i="28"/>
  <c r="E4" i="27"/>
  <c r="E4" i="26"/>
  <c r="E4" i="25"/>
  <c r="G223" i="26" l="1"/>
  <c r="H223" i="26" s="1"/>
  <c r="E259" i="26"/>
  <c r="D224" i="26"/>
  <c r="AC82" i="29"/>
  <c r="E223" i="25"/>
  <c r="E100" i="25" s="1"/>
  <c r="E223" i="28"/>
  <c r="D259" i="28" s="1"/>
  <c r="AC82" i="30"/>
  <c r="O89" i="25"/>
  <c r="O82" i="25" s="1"/>
  <c r="W89" i="25"/>
  <c r="W90" i="25" s="1"/>
  <c r="AA89" i="26"/>
  <c r="T89" i="26"/>
  <c r="AI103" i="26"/>
  <c r="C100" i="27"/>
  <c r="P89" i="28"/>
  <c r="AH103" i="28"/>
  <c r="AD7" i="29"/>
  <c r="AC7" i="29"/>
  <c r="D7" i="29"/>
  <c r="R82" i="29"/>
  <c r="Q7" i="29"/>
  <c r="AH238" i="29"/>
  <c r="Z82" i="30"/>
  <c r="N7" i="29"/>
  <c r="AE89" i="28"/>
  <c r="B90" i="29"/>
  <c r="AH90" i="29" s="1"/>
  <c r="AH89" i="29"/>
  <c r="P89" i="25"/>
  <c r="P90" i="25" s="1"/>
  <c r="X89" i="25"/>
  <c r="Q89" i="26"/>
  <c r="Q90" i="26" s="1"/>
  <c r="D89" i="26"/>
  <c r="D90" i="26" s="1"/>
  <c r="AH39" i="26"/>
  <c r="L79" i="27"/>
  <c r="L81" i="27" s="1"/>
  <c r="V79" i="27"/>
  <c r="V81" i="27" s="1"/>
  <c r="B100" i="28"/>
  <c r="D224" i="28"/>
  <c r="U82" i="29"/>
  <c r="AC238" i="29"/>
  <c r="T82" i="29"/>
  <c r="T82" i="30"/>
  <c r="AR238" i="30"/>
  <c r="X82" i="31"/>
  <c r="W82" i="31"/>
  <c r="U90" i="30"/>
  <c r="AH238" i="30"/>
  <c r="E218" i="26"/>
  <c r="F218" i="26" s="1"/>
  <c r="G89" i="28"/>
  <c r="G90" i="28" s="1"/>
  <c r="AE79" i="25"/>
  <c r="AE81" i="25" s="1"/>
  <c r="Q89" i="25"/>
  <c r="Q90" i="25" s="1"/>
  <c r="D224" i="25"/>
  <c r="R89" i="26"/>
  <c r="C100" i="26"/>
  <c r="AF89" i="27"/>
  <c r="AF90" i="27" s="1"/>
  <c r="AM238" i="29"/>
  <c r="K7" i="29"/>
  <c r="I82" i="29"/>
  <c r="AL238" i="30"/>
  <c r="H82" i="30"/>
  <c r="AP238" i="31"/>
  <c r="M259" i="33"/>
  <c r="O223" i="33"/>
  <c r="V89" i="25"/>
  <c r="C79" i="24"/>
  <c r="C81" i="24" s="1"/>
  <c r="C82" i="24" s="1"/>
  <c r="W89" i="28"/>
  <c r="J89" i="25"/>
  <c r="Y79" i="26"/>
  <c r="Y81" i="26" s="1"/>
  <c r="D259" i="26"/>
  <c r="F79" i="27"/>
  <c r="F81" i="27" s="1"/>
  <c r="F7" i="27" s="1"/>
  <c r="N79" i="27"/>
  <c r="N81" i="27" s="1"/>
  <c r="AG79" i="28"/>
  <c r="D100" i="28"/>
  <c r="W82" i="30"/>
  <c r="AA82" i="31"/>
  <c r="H79" i="25"/>
  <c r="H81" i="25" s="1"/>
  <c r="X79" i="25"/>
  <c r="X81" i="25" s="1"/>
  <c r="AG79" i="27"/>
  <c r="D224" i="27"/>
  <c r="N82" i="29"/>
  <c r="E7" i="29"/>
  <c r="L82" i="29"/>
  <c r="X82" i="29"/>
  <c r="AF82" i="29"/>
  <c r="AJ238" i="30"/>
  <c r="P82" i="31"/>
  <c r="AS238" i="31"/>
  <c r="L259" i="32"/>
  <c r="N223" i="32"/>
  <c r="M100" i="32"/>
  <c r="M224" i="32"/>
  <c r="P7" i="30"/>
  <c r="AC89" i="25"/>
  <c r="B90" i="25"/>
  <c r="C89" i="24"/>
  <c r="AC89" i="26"/>
  <c r="S89" i="27"/>
  <c r="S90" i="27" s="1"/>
  <c r="E218" i="27"/>
  <c r="E223" i="27"/>
  <c r="AA79" i="28"/>
  <c r="AA81" i="28" s="1"/>
  <c r="AC89" i="28"/>
  <c r="N259" i="35"/>
  <c r="P223" i="35"/>
  <c r="O100" i="35"/>
  <c r="O224" i="35"/>
  <c r="N259" i="34"/>
  <c r="P223" i="34"/>
  <c r="O100" i="34"/>
  <c r="O224" i="34"/>
  <c r="M224" i="33"/>
  <c r="N218" i="33"/>
  <c r="M100" i="33"/>
  <c r="P218" i="32"/>
  <c r="AB82" i="31"/>
  <c r="AT238" i="31"/>
  <c r="Z82" i="31"/>
  <c r="AR238" i="31"/>
  <c r="Q82" i="31"/>
  <c r="AI238" i="31"/>
  <c r="S82" i="31"/>
  <c r="AK238" i="31"/>
  <c r="L82" i="31"/>
  <c r="AD238" i="31"/>
  <c r="K82" i="31"/>
  <c r="AC238" i="31"/>
  <c r="N82" i="30"/>
  <c r="AF238" i="30"/>
  <c r="X82" i="30"/>
  <c r="AD82" i="30"/>
  <c r="AP238" i="30"/>
  <c r="AV238" i="30"/>
  <c r="AA82" i="30"/>
  <c r="AS238" i="30"/>
  <c r="AB238" i="31"/>
  <c r="I82" i="31"/>
  <c r="AA238" i="31"/>
  <c r="I7" i="31"/>
  <c r="H82" i="31"/>
  <c r="Z238" i="31"/>
  <c r="B233" i="31"/>
  <c r="G82" i="31"/>
  <c r="Y238" i="31"/>
  <c r="G7" i="31"/>
  <c r="X238" i="31"/>
  <c r="F82" i="31"/>
  <c r="J82" i="31"/>
  <c r="C233" i="31"/>
  <c r="E82" i="31"/>
  <c r="W238" i="31"/>
  <c r="D82" i="31"/>
  <c r="D7" i="31"/>
  <c r="C82" i="31"/>
  <c r="U238" i="31"/>
  <c r="AI90" i="31"/>
  <c r="AH90" i="31"/>
  <c r="E259" i="31"/>
  <c r="G223" i="31"/>
  <c r="AI89" i="31"/>
  <c r="AH89" i="31"/>
  <c r="AI79" i="31"/>
  <c r="AH79" i="31"/>
  <c r="B81" i="31"/>
  <c r="G218" i="31"/>
  <c r="F100" i="31"/>
  <c r="F224" i="31"/>
  <c r="F81" i="29"/>
  <c r="X238" i="29" s="1"/>
  <c r="AH79" i="29"/>
  <c r="O7" i="30"/>
  <c r="O82" i="30"/>
  <c r="F82" i="30"/>
  <c r="U238" i="30"/>
  <c r="M82" i="30"/>
  <c r="AE238" i="30"/>
  <c r="J82" i="30"/>
  <c r="L82" i="30"/>
  <c r="AB238" i="30"/>
  <c r="K82" i="30"/>
  <c r="AC238" i="30"/>
  <c r="AA238" i="30"/>
  <c r="C233" i="30"/>
  <c r="G7" i="30"/>
  <c r="AD238" i="30"/>
  <c r="H7" i="30"/>
  <c r="B233" i="30"/>
  <c r="G82" i="30"/>
  <c r="Z238" i="30"/>
  <c r="E82" i="30"/>
  <c r="I90" i="30"/>
  <c r="AH90" i="30" s="1"/>
  <c r="E7" i="30"/>
  <c r="D7" i="30"/>
  <c r="V238" i="30"/>
  <c r="AH79" i="30"/>
  <c r="AI79" i="30"/>
  <c r="F218" i="30"/>
  <c r="E100" i="30"/>
  <c r="E224" i="30"/>
  <c r="E259" i="30"/>
  <c r="G223" i="30"/>
  <c r="AI89" i="30"/>
  <c r="AH89" i="30"/>
  <c r="B7" i="30"/>
  <c r="T238" i="30"/>
  <c r="B82" i="30"/>
  <c r="AI81" i="30"/>
  <c r="AH81" i="30"/>
  <c r="AX238" i="29"/>
  <c r="AF7" i="29"/>
  <c r="AB82" i="29"/>
  <c r="AT238" i="29"/>
  <c r="S7" i="29"/>
  <c r="S82" i="29"/>
  <c r="Y89" i="28"/>
  <c r="Y90" i="28" s="1"/>
  <c r="X5" i="28"/>
  <c r="Y79" i="28"/>
  <c r="Y81" i="28" s="1"/>
  <c r="M7" i="29"/>
  <c r="AE238" i="29"/>
  <c r="H82" i="29"/>
  <c r="Z238" i="29"/>
  <c r="B233" i="29"/>
  <c r="C233" i="29"/>
  <c r="G82" i="29"/>
  <c r="E82" i="29"/>
  <c r="F82" i="29"/>
  <c r="C7" i="29"/>
  <c r="C82" i="29"/>
  <c r="AI79" i="29"/>
  <c r="B81" i="29"/>
  <c r="AI90" i="29"/>
  <c r="E259" i="29"/>
  <c r="G223" i="29"/>
  <c r="F100" i="29"/>
  <c r="AI89" i="29"/>
  <c r="I218" i="29"/>
  <c r="AF89" i="28"/>
  <c r="AF90" i="28" s="1"/>
  <c r="AE5" i="28"/>
  <c r="AE90" i="28"/>
  <c r="AF79" i="28"/>
  <c r="AF81" i="28" s="1"/>
  <c r="AE79" i="28"/>
  <c r="AE81" i="28" s="1"/>
  <c r="AE7" i="28" s="1"/>
  <c r="AD89" i="28"/>
  <c r="AD90" i="28" s="1"/>
  <c r="AC5" i="28"/>
  <c r="AD79" i="28"/>
  <c r="AD81" i="28" s="1"/>
  <c r="AC90" i="28"/>
  <c r="AC79" i="28"/>
  <c r="AC81" i="28" s="1"/>
  <c r="AC7" i="28" s="1"/>
  <c r="AG2" i="28"/>
  <c r="AB89" i="28"/>
  <c r="AB79" i="28"/>
  <c r="AB81" i="28" s="1"/>
  <c r="AB7" i="28" s="1"/>
  <c r="AA89" i="28"/>
  <c r="Z89" i="28"/>
  <c r="Z79" i="28"/>
  <c r="Z81" i="28" s="1"/>
  <c r="X89" i="28"/>
  <c r="X90" i="28" s="1"/>
  <c r="X79" i="28"/>
  <c r="X81" i="28" s="1"/>
  <c r="X82" i="28" s="1"/>
  <c r="W79" i="28"/>
  <c r="W81" i="28" s="1"/>
  <c r="W90" i="28"/>
  <c r="V89" i="28"/>
  <c r="V90" i="28" s="1"/>
  <c r="V79" i="28"/>
  <c r="V81" i="28" s="1"/>
  <c r="U89" i="28"/>
  <c r="U90" i="28" s="1"/>
  <c r="T5" i="28"/>
  <c r="U79" i="28"/>
  <c r="U81" i="28" s="1"/>
  <c r="U82" i="28" s="1"/>
  <c r="T89" i="28"/>
  <c r="T79" i="28"/>
  <c r="T81" i="28" s="1"/>
  <c r="T7" i="28" s="1"/>
  <c r="S89" i="28"/>
  <c r="S90" i="28" s="1"/>
  <c r="S79" i="28"/>
  <c r="S81" i="28" s="1"/>
  <c r="R89" i="28"/>
  <c r="R79" i="28"/>
  <c r="R81" i="28" s="1"/>
  <c r="Q89" i="28"/>
  <c r="Q90" i="28" s="1"/>
  <c r="Q79" i="28"/>
  <c r="Q81" i="28" s="1"/>
  <c r="Q7" i="28" s="1"/>
  <c r="P90" i="28"/>
  <c r="P79" i="28"/>
  <c r="P81" i="28" s="1"/>
  <c r="P82" i="28" s="1"/>
  <c r="O79" i="28"/>
  <c r="O81" i="28" s="1"/>
  <c r="AG238" i="28" s="1"/>
  <c r="O89" i="28"/>
  <c r="O90" i="28" s="1"/>
  <c r="N89" i="28"/>
  <c r="N90" i="28" s="1"/>
  <c r="M5" i="28"/>
  <c r="N79" i="28"/>
  <c r="N81" i="28" s="1"/>
  <c r="AF238" i="28" s="1"/>
  <c r="M89" i="28"/>
  <c r="M90" i="28" s="1"/>
  <c r="M79" i="28"/>
  <c r="M81" i="28" s="1"/>
  <c r="M7" i="28" s="1"/>
  <c r="L89" i="28"/>
  <c r="L82" i="28" s="1"/>
  <c r="AI86" i="28"/>
  <c r="K89" i="28"/>
  <c r="K79" i="28"/>
  <c r="K81" i="28" s="1"/>
  <c r="K7" i="28" s="1"/>
  <c r="J89" i="28"/>
  <c r="J90" i="28" s="1"/>
  <c r="J79" i="28"/>
  <c r="J81" i="28" s="1"/>
  <c r="J7" i="28" s="1"/>
  <c r="I89" i="28"/>
  <c r="I90" i="28" s="1"/>
  <c r="H5" i="28"/>
  <c r="I79" i="28"/>
  <c r="I81" i="28" s="1"/>
  <c r="I7" i="28" s="1"/>
  <c r="H89" i="28"/>
  <c r="H90" i="28" s="1"/>
  <c r="G5" i="28"/>
  <c r="H79" i="28"/>
  <c r="H81" i="28" s="1"/>
  <c r="H7" i="28" s="1"/>
  <c r="G79" i="28"/>
  <c r="G81" i="28" s="1"/>
  <c r="Y238" i="28" s="1"/>
  <c r="F89" i="28"/>
  <c r="F90" i="28" s="1"/>
  <c r="E5" i="28"/>
  <c r="AH62" i="28"/>
  <c r="F79" i="28"/>
  <c r="F81" i="28" s="1"/>
  <c r="F7" i="28" s="1"/>
  <c r="AH44" i="28"/>
  <c r="AI85" i="28"/>
  <c r="E89" i="28"/>
  <c r="E90" i="28" s="1"/>
  <c r="E79" i="28"/>
  <c r="E81" i="28" s="1"/>
  <c r="E7" i="28" s="1"/>
  <c r="AI84" i="28"/>
  <c r="AH84" i="28"/>
  <c r="D89" i="28"/>
  <c r="D90" i="28" s="1"/>
  <c r="AI83" i="28"/>
  <c r="AI87" i="28"/>
  <c r="C89" i="28"/>
  <c r="C90" i="28" s="1"/>
  <c r="D79" i="28"/>
  <c r="D81" i="28" s="1"/>
  <c r="D7" i="28" s="1"/>
  <c r="AI58" i="28"/>
  <c r="AH58" i="28"/>
  <c r="C79" i="28"/>
  <c r="C81" i="28" s="1"/>
  <c r="C7" i="28" s="1"/>
  <c r="AI62" i="28"/>
  <c r="AI44" i="28"/>
  <c r="B79" i="28"/>
  <c r="H4" i="28"/>
  <c r="AI238" i="28"/>
  <c r="Y7" i="28"/>
  <c r="AQ238" i="28"/>
  <c r="B81" i="28"/>
  <c r="R7" i="28"/>
  <c r="AJ238" i="28"/>
  <c r="R82" i="28"/>
  <c r="Z7" i="28"/>
  <c r="AR238" i="28"/>
  <c r="Z82" i="28"/>
  <c r="F218" i="28"/>
  <c r="E100" i="28"/>
  <c r="E224" i="28"/>
  <c r="S7" i="28"/>
  <c r="AK238" i="28"/>
  <c r="AA7" i="28"/>
  <c r="AS238" i="28"/>
  <c r="AA82" i="28"/>
  <c r="L7" i="28"/>
  <c r="AD238" i="28"/>
  <c r="AM238" i="28"/>
  <c r="N7" i="28"/>
  <c r="V7" i="28"/>
  <c r="AN238" i="28"/>
  <c r="AD7" i="28"/>
  <c r="AV238" i="28"/>
  <c r="AD82" i="28"/>
  <c r="R90" i="28"/>
  <c r="Z90" i="28"/>
  <c r="AA238" i="28"/>
  <c r="AO238" i="28"/>
  <c r="W82" i="28"/>
  <c r="W7" i="28"/>
  <c r="AE82" i="28"/>
  <c r="K90" i="28"/>
  <c r="AA90" i="28"/>
  <c r="AH238" i="28"/>
  <c r="AP238" i="28"/>
  <c r="AF7" i="28"/>
  <c r="AX238" i="28"/>
  <c r="AF82" i="28"/>
  <c r="AG81" i="28"/>
  <c r="AG3" i="28"/>
  <c r="AG6" i="28" s="1"/>
  <c r="T90" i="28"/>
  <c r="AB90" i="28"/>
  <c r="D235" i="28"/>
  <c r="AH74" i="28"/>
  <c r="AI74" i="28"/>
  <c r="AH83" i="28"/>
  <c r="B89" i="28"/>
  <c r="B90" i="28" s="1"/>
  <c r="F223" i="28"/>
  <c r="AH40" i="28"/>
  <c r="AH85" i="28"/>
  <c r="AI40" i="28"/>
  <c r="AH86" i="28"/>
  <c r="AH87" i="28"/>
  <c r="AE89" i="27"/>
  <c r="AE82" i="27" s="1"/>
  <c r="AE79" i="27"/>
  <c r="AE81" i="27" s="1"/>
  <c r="AF79" i="27"/>
  <c r="AF81" i="27" s="1"/>
  <c r="AF7" i="27" s="1"/>
  <c r="AD89" i="27"/>
  <c r="AD90" i="27" s="1"/>
  <c r="AD79" i="27"/>
  <c r="AD81" i="27" s="1"/>
  <c r="AC89" i="27"/>
  <c r="AC79" i="27"/>
  <c r="AC81" i="27" s="1"/>
  <c r="AC7" i="27" s="1"/>
  <c r="AB89" i="27"/>
  <c r="AB90" i="27" s="1"/>
  <c r="AB79" i="27"/>
  <c r="AB81" i="27" s="1"/>
  <c r="AA79" i="27"/>
  <c r="AA81" i="27" s="1"/>
  <c r="AA7" i="27" s="1"/>
  <c r="AA89" i="27"/>
  <c r="AA90" i="27" s="1"/>
  <c r="Z89" i="27"/>
  <c r="Z90" i="27" s="1"/>
  <c r="Y89" i="27"/>
  <c r="Y90" i="27" s="1"/>
  <c r="Y79" i="27"/>
  <c r="Y81" i="27" s="1"/>
  <c r="X89" i="27"/>
  <c r="X90" i="27" s="1"/>
  <c r="W89" i="27"/>
  <c r="W90" i="27" s="1"/>
  <c r="W79" i="27"/>
  <c r="W81" i="27" s="1"/>
  <c r="X79" i="27"/>
  <c r="X81" i="27" s="1"/>
  <c r="X7" i="27" s="1"/>
  <c r="V89" i="27"/>
  <c r="V90" i="27" s="1"/>
  <c r="U79" i="27"/>
  <c r="U81" i="27" s="1"/>
  <c r="T79" i="27"/>
  <c r="T81" i="27" s="1"/>
  <c r="AL238" i="27" s="1"/>
  <c r="T89" i="27"/>
  <c r="T90" i="27" s="1"/>
  <c r="S79" i="27"/>
  <c r="S81" i="27" s="1"/>
  <c r="S82" i="27" s="1"/>
  <c r="R89" i="27"/>
  <c r="R90" i="27" s="1"/>
  <c r="Q89" i="27"/>
  <c r="Q90" i="27" s="1"/>
  <c r="Q79" i="27"/>
  <c r="Q81" i="27" s="1"/>
  <c r="Q82" i="27" s="1"/>
  <c r="R79" i="27"/>
  <c r="R81" i="27" s="1"/>
  <c r="P89" i="27"/>
  <c r="P90" i="27"/>
  <c r="P79" i="27"/>
  <c r="P81" i="27" s="1"/>
  <c r="O89" i="27"/>
  <c r="O90" i="27" s="1"/>
  <c r="O79" i="27"/>
  <c r="O81" i="27" s="1"/>
  <c r="N89" i="27"/>
  <c r="N90" i="27" s="1"/>
  <c r="M89" i="27"/>
  <c r="M90" i="27" s="1"/>
  <c r="M79" i="27"/>
  <c r="M81" i="27" s="1"/>
  <c r="L90" i="27"/>
  <c r="K89" i="27"/>
  <c r="K90" i="27" s="1"/>
  <c r="K79" i="27"/>
  <c r="K81" i="27" s="1"/>
  <c r="AC238" i="27" s="1"/>
  <c r="J89" i="27"/>
  <c r="J90" i="27" s="1"/>
  <c r="J79" i="27"/>
  <c r="J81" i="27" s="1"/>
  <c r="I89" i="27"/>
  <c r="I90" i="27" s="1"/>
  <c r="I79" i="27"/>
  <c r="I81" i="27" s="1"/>
  <c r="I7" i="27" s="1"/>
  <c r="H89" i="27"/>
  <c r="H90" i="27" s="1"/>
  <c r="H79" i="27"/>
  <c r="H81" i="27" s="1"/>
  <c r="H7" i="27" s="1"/>
  <c r="G89" i="27"/>
  <c r="G90" i="27" s="1"/>
  <c r="AI85" i="27"/>
  <c r="G79" i="27"/>
  <c r="G81" i="27" s="1"/>
  <c r="G7" i="27" s="1"/>
  <c r="F89" i="27"/>
  <c r="F90" i="27" s="1"/>
  <c r="AH62" i="27"/>
  <c r="AI83" i="27"/>
  <c r="E89" i="27"/>
  <c r="AI86" i="27"/>
  <c r="AI62" i="27"/>
  <c r="E79" i="27"/>
  <c r="E81" i="27" s="1"/>
  <c r="E82" i="27" s="1"/>
  <c r="D89" i="27"/>
  <c r="D90" i="27" s="1"/>
  <c r="AH84" i="27"/>
  <c r="AI87" i="27"/>
  <c r="AI74" i="27"/>
  <c r="AI58" i="27"/>
  <c r="AH44" i="27"/>
  <c r="D79" i="27"/>
  <c r="D81" i="27" s="1"/>
  <c r="V238" i="27" s="1"/>
  <c r="C89" i="27"/>
  <c r="C90" i="27" s="1"/>
  <c r="AH58" i="27"/>
  <c r="C79" i="27"/>
  <c r="C81" i="27" s="1"/>
  <c r="C7" i="27" s="1"/>
  <c r="B79" i="27"/>
  <c r="B81" i="27" s="1"/>
  <c r="B82" i="27" s="1"/>
  <c r="B90" i="27"/>
  <c r="AI84" i="27"/>
  <c r="AH85" i="27"/>
  <c r="H4" i="27"/>
  <c r="L82" i="27"/>
  <c r="L7" i="27"/>
  <c r="AD238" i="27"/>
  <c r="T82" i="27"/>
  <c r="AT238" i="27"/>
  <c r="AB7" i="27"/>
  <c r="U7" i="27"/>
  <c r="AM238" i="27"/>
  <c r="U82" i="27"/>
  <c r="F82" i="27"/>
  <c r="N7" i="27"/>
  <c r="AF238" i="27"/>
  <c r="N82" i="27"/>
  <c r="V7" i="27"/>
  <c r="AN238" i="27"/>
  <c r="V82" i="27"/>
  <c r="AD7" i="27"/>
  <c r="AV238" i="27"/>
  <c r="AD82" i="27"/>
  <c r="J7" i="27"/>
  <c r="AB238" i="27"/>
  <c r="AG238" i="27"/>
  <c r="O7" i="27"/>
  <c r="AO238" i="27"/>
  <c r="W82" i="27"/>
  <c r="W7" i="27"/>
  <c r="AW238" i="27"/>
  <c r="AE7" i="27"/>
  <c r="Z238" i="27"/>
  <c r="P7" i="27"/>
  <c r="AH238" i="27"/>
  <c r="P82" i="27"/>
  <c r="E90" i="27"/>
  <c r="U90" i="27"/>
  <c r="AC90" i="27"/>
  <c r="AI238" i="27"/>
  <c r="Y7" i="27"/>
  <c r="AQ238" i="27"/>
  <c r="Y82" i="27"/>
  <c r="R7" i="27"/>
  <c r="AJ238" i="27"/>
  <c r="R82" i="27"/>
  <c r="Z7" i="27"/>
  <c r="AR238" i="27"/>
  <c r="Z82" i="27"/>
  <c r="K7" i="27"/>
  <c r="AK238" i="27"/>
  <c r="AG81" i="27"/>
  <c r="D100" i="27"/>
  <c r="E224" i="27"/>
  <c r="D235" i="27"/>
  <c r="AH40" i="27"/>
  <c r="B5" i="27"/>
  <c r="AH74" i="27"/>
  <c r="AG2" i="27"/>
  <c r="AG6" i="27" s="1"/>
  <c r="C5" i="27"/>
  <c r="K5" i="27"/>
  <c r="S5" i="27"/>
  <c r="AA5" i="27"/>
  <c r="AH83" i="27"/>
  <c r="AI40" i="27"/>
  <c r="AI44" i="27"/>
  <c r="AH86" i="27"/>
  <c r="B224" i="27"/>
  <c r="AH87" i="27"/>
  <c r="AF89" i="26"/>
  <c r="AF90" i="26" s="1"/>
  <c r="AF79" i="26"/>
  <c r="AF81" i="26" s="1"/>
  <c r="AF7" i="26" s="1"/>
  <c r="AE89" i="26"/>
  <c r="AE90" i="26" s="1"/>
  <c r="AE79" i="26"/>
  <c r="AE81" i="26" s="1"/>
  <c r="AW238" i="26" s="1"/>
  <c r="AD79" i="26"/>
  <c r="AD81" i="26" s="1"/>
  <c r="AB89" i="26"/>
  <c r="AB90" i="26" s="1"/>
  <c r="AB79" i="26"/>
  <c r="AB81" i="26" s="1"/>
  <c r="AB82" i="26" s="1"/>
  <c r="AA90" i="26"/>
  <c r="AA79" i="26"/>
  <c r="AA81" i="26" s="1"/>
  <c r="Z89" i="26"/>
  <c r="Z90" i="26" s="1"/>
  <c r="Z79" i="26"/>
  <c r="Z81" i="26" s="1"/>
  <c r="Y89" i="26"/>
  <c r="Y90" i="26" s="1"/>
  <c r="X89" i="26"/>
  <c r="X90" i="26" s="1"/>
  <c r="X79" i="26"/>
  <c r="X81" i="26" s="1"/>
  <c r="W89" i="26"/>
  <c r="W90" i="26" s="1"/>
  <c r="W79" i="26"/>
  <c r="W81" i="26" s="1"/>
  <c r="V89" i="26"/>
  <c r="V90" i="26" s="1"/>
  <c r="V79" i="26"/>
  <c r="V81" i="26" s="1"/>
  <c r="V7" i="26" s="1"/>
  <c r="U89" i="26"/>
  <c r="U79" i="26"/>
  <c r="U81" i="26" s="1"/>
  <c r="U7" i="26" s="1"/>
  <c r="T90" i="26"/>
  <c r="T79" i="26"/>
  <c r="T81" i="26" s="1"/>
  <c r="S89" i="26"/>
  <c r="S90" i="26" s="1"/>
  <c r="S79" i="26"/>
  <c r="S81" i="26" s="1"/>
  <c r="R90" i="26"/>
  <c r="R79" i="26"/>
  <c r="R81" i="26" s="1"/>
  <c r="R7" i="26" s="1"/>
  <c r="Q79" i="26"/>
  <c r="Q81" i="26" s="1"/>
  <c r="P89" i="26"/>
  <c r="P90" i="26" s="1"/>
  <c r="P79" i="26"/>
  <c r="P81" i="26" s="1"/>
  <c r="N89" i="26"/>
  <c r="N90" i="26" s="1"/>
  <c r="O89" i="26"/>
  <c r="O90" i="26" s="1"/>
  <c r="N79" i="26"/>
  <c r="N81" i="26" s="1"/>
  <c r="AF238" i="26" s="1"/>
  <c r="O79" i="26"/>
  <c r="O81" i="26" s="1"/>
  <c r="O7" i="26" s="1"/>
  <c r="M89" i="26"/>
  <c r="M90" i="26" s="1"/>
  <c r="M79" i="26"/>
  <c r="M81" i="26" s="1"/>
  <c r="L89" i="26"/>
  <c r="L90" i="26" s="1"/>
  <c r="L79" i="26"/>
  <c r="L81" i="26" s="1"/>
  <c r="K89" i="26"/>
  <c r="K90" i="26" s="1"/>
  <c r="K79" i="26"/>
  <c r="K81" i="26" s="1"/>
  <c r="K82" i="26" s="1"/>
  <c r="J89" i="26"/>
  <c r="J90" i="26" s="1"/>
  <c r="J79" i="26"/>
  <c r="J81" i="26" s="1"/>
  <c r="I89" i="26"/>
  <c r="I90" i="26" s="1"/>
  <c r="I79" i="26"/>
  <c r="I81" i="26" s="1"/>
  <c r="I7" i="26" s="1"/>
  <c r="H89" i="26"/>
  <c r="H90" i="26" s="1"/>
  <c r="H79" i="26"/>
  <c r="H81" i="26" s="1"/>
  <c r="H7" i="26" s="1"/>
  <c r="G89" i="26"/>
  <c r="G90" i="26" s="1"/>
  <c r="G79" i="26"/>
  <c r="G81" i="26" s="1"/>
  <c r="G7" i="26" s="1"/>
  <c r="AI85" i="26"/>
  <c r="AI83" i="26"/>
  <c r="AH84" i="26"/>
  <c r="F79" i="26"/>
  <c r="F81" i="26" s="1"/>
  <c r="F7" i="26" s="1"/>
  <c r="AI86" i="26"/>
  <c r="E89" i="26"/>
  <c r="E90" i="26" s="1"/>
  <c r="AH62" i="26"/>
  <c r="AH44" i="26"/>
  <c r="E79" i="26"/>
  <c r="E81" i="26" s="1"/>
  <c r="E7" i="26" s="1"/>
  <c r="D79" i="26"/>
  <c r="D81" i="26" s="1"/>
  <c r="V238" i="26" s="1"/>
  <c r="AI87" i="26"/>
  <c r="AH58" i="26"/>
  <c r="C90" i="26"/>
  <c r="AI84" i="26"/>
  <c r="AH85" i="26"/>
  <c r="AI40" i="26"/>
  <c r="C79" i="26"/>
  <c r="C81" i="26" s="1"/>
  <c r="U238" i="26" s="1"/>
  <c r="AI62" i="26"/>
  <c r="AI58" i="26"/>
  <c r="H4" i="26"/>
  <c r="T82" i="26"/>
  <c r="T7" i="26"/>
  <c r="AL238" i="26"/>
  <c r="R82" i="26"/>
  <c r="Z7" i="26"/>
  <c r="AR238" i="26"/>
  <c r="G259" i="26"/>
  <c r="I223" i="26"/>
  <c r="S7" i="26"/>
  <c r="AK238" i="26"/>
  <c r="AS238" i="26"/>
  <c r="AA7" i="26"/>
  <c r="AA82" i="26"/>
  <c r="AG81" i="26"/>
  <c r="G218" i="26"/>
  <c r="F100" i="26"/>
  <c r="F224" i="26"/>
  <c r="U82" i="26"/>
  <c r="AC7" i="26"/>
  <c r="AU238" i="26"/>
  <c r="AC82" i="26"/>
  <c r="N7" i="26"/>
  <c r="AN238" i="26"/>
  <c r="AD7" i="26"/>
  <c r="AV238" i="26"/>
  <c r="AD82" i="26"/>
  <c r="AO238" i="26"/>
  <c r="W7" i="26"/>
  <c r="AE7" i="26"/>
  <c r="P7" i="26"/>
  <c r="AH238" i="26"/>
  <c r="P82" i="26"/>
  <c r="X7" i="26"/>
  <c r="AP238" i="26"/>
  <c r="X82" i="26"/>
  <c r="AX238" i="26"/>
  <c r="U90" i="26"/>
  <c r="AC90" i="26"/>
  <c r="Q7" i="26"/>
  <c r="AI238" i="26"/>
  <c r="Q82" i="26"/>
  <c r="Y7" i="26"/>
  <c r="AQ238" i="26"/>
  <c r="AG79" i="26"/>
  <c r="D100" i="26"/>
  <c r="E224" i="26"/>
  <c r="D235" i="26"/>
  <c r="B5" i="26"/>
  <c r="J5" i="26"/>
  <c r="R5" i="26"/>
  <c r="AH74" i="26"/>
  <c r="E100" i="26"/>
  <c r="AG2" i="26"/>
  <c r="AG6" i="26" s="1"/>
  <c r="C5" i="26"/>
  <c r="K5" i="26"/>
  <c r="S5" i="26"/>
  <c r="AA5" i="26"/>
  <c r="AI74" i="26"/>
  <c r="AH83" i="26"/>
  <c r="B89" i="26"/>
  <c r="AH40" i="26"/>
  <c r="B79" i="26"/>
  <c r="AI44" i="26"/>
  <c r="AH86" i="26"/>
  <c r="B224" i="26"/>
  <c r="F259" i="26"/>
  <c r="AH87" i="26"/>
  <c r="AF89" i="25"/>
  <c r="AF90" i="25" s="1"/>
  <c r="AF79" i="25"/>
  <c r="AF81" i="25" s="1"/>
  <c r="AF7" i="25" s="1"/>
  <c r="AE89" i="25"/>
  <c r="AE90" i="25" s="1"/>
  <c r="AD89" i="25"/>
  <c r="AD90" i="25" s="1"/>
  <c r="AD79" i="25"/>
  <c r="AD81" i="25" s="1"/>
  <c r="AC79" i="25"/>
  <c r="AC81" i="25" s="1"/>
  <c r="AB89" i="25"/>
  <c r="AB90" i="25" s="1"/>
  <c r="AB79" i="25"/>
  <c r="AB81" i="25" s="1"/>
  <c r="AA89" i="25"/>
  <c r="AA90" i="25" s="1"/>
  <c r="AA79" i="25"/>
  <c r="AA81" i="25" s="1"/>
  <c r="AA82" i="25" s="1"/>
  <c r="Z89" i="25"/>
  <c r="Z90" i="25" s="1"/>
  <c r="Z79" i="25"/>
  <c r="Z81" i="25" s="1"/>
  <c r="Z7" i="25" s="1"/>
  <c r="X90" i="25"/>
  <c r="W79" i="25"/>
  <c r="W81" i="25" s="1"/>
  <c r="AO238" i="25" s="1"/>
  <c r="V90" i="25"/>
  <c r="V79" i="25"/>
  <c r="V81" i="25" s="1"/>
  <c r="V82" i="25" s="1"/>
  <c r="U89" i="25"/>
  <c r="U79" i="25"/>
  <c r="U81" i="25" s="1"/>
  <c r="U7" i="25" s="1"/>
  <c r="T89" i="25"/>
  <c r="S89" i="25"/>
  <c r="S90" i="25" s="1"/>
  <c r="R5" i="25"/>
  <c r="S79" i="25"/>
  <c r="S81" i="25" s="1"/>
  <c r="S82" i="25" s="1"/>
  <c r="R89" i="25"/>
  <c r="R90" i="25" s="1"/>
  <c r="P79" i="25"/>
  <c r="P81" i="25" s="1"/>
  <c r="AH238" i="25" s="1"/>
  <c r="C90" i="24"/>
  <c r="B90" i="24"/>
  <c r="O90" i="25"/>
  <c r="O79" i="25"/>
  <c r="O81" i="25" s="1"/>
  <c r="AI39" i="25"/>
  <c r="M89" i="25"/>
  <c r="M90" i="25" s="1"/>
  <c r="N89" i="25"/>
  <c r="N90" i="25" s="1"/>
  <c r="N79" i="25"/>
  <c r="N81" i="25" s="1"/>
  <c r="N82" i="25" s="1"/>
  <c r="AH39" i="25"/>
  <c r="L89" i="25"/>
  <c r="AH84" i="25"/>
  <c r="K89" i="25"/>
  <c r="K90" i="25"/>
  <c r="J90" i="25"/>
  <c r="J5" i="25"/>
  <c r="J79" i="25"/>
  <c r="J81" i="25" s="1"/>
  <c r="J7" i="25" s="1"/>
  <c r="K79" i="25"/>
  <c r="K81" i="25" s="1"/>
  <c r="AC238" i="25" s="1"/>
  <c r="I89" i="25"/>
  <c r="I90" i="25" s="1"/>
  <c r="AI84" i="25"/>
  <c r="H89" i="25"/>
  <c r="H90" i="25" s="1"/>
  <c r="AI85" i="25"/>
  <c r="G89" i="25"/>
  <c r="G90" i="25" s="1"/>
  <c r="AH62" i="25"/>
  <c r="G79" i="25"/>
  <c r="G81" i="25" s="1"/>
  <c r="Y238" i="25" s="1"/>
  <c r="F89" i="25"/>
  <c r="F90" i="25" s="1"/>
  <c r="F79" i="25"/>
  <c r="F81" i="25" s="1"/>
  <c r="F7" i="25" s="1"/>
  <c r="AI86" i="25"/>
  <c r="E89" i="25"/>
  <c r="E79" i="25"/>
  <c r="E81" i="25" s="1"/>
  <c r="E7" i="25" s="1"/>
  <c r="AH85" i="25"/>
  <c r="D89" i="25"/>
  <c r="C89" i="25"/>
  <c r="C90" i="25" s="1"/>
  <c r="AI87" i="25"/>
  <c r="B5" i="25"/>
  <c r="C79" i="25"/>
  <c r="C81" i="25" s="1"/>
  <c r="U238" i="25" s="1"/>
  <c r="AI58" i="25"/>
  <c r="B79" i="25"/>
  <c r="B81" i="25" s="1"/>
  <c r="B82" i="25" s="1"/>
  <c r="AH103" i="25"/>
  <c r="AI103" i="25"/>
  <c r="AF5" i="25"/>
  <c r="H4" i="25"/>
  <c r="G218" i="25"/>
  <c r="K7" i="25"/>
  <c r="AS238" i="25"/>
  <c r="AG81" i="25"/>
  <c r="D79" i="25"/>
  <c r="D81" i="25" s="1"/>
  <c r="L79" i="25"/>
  <c r="L81" i="25" s="1"/>
  <c r="T79" i="25"/>
  <c r="T81" i="25" s="1"/>
  <c r="AT238" i="25"/>
  <c r="AB7" i="25"/>
  <c r="AC7" i="25"/>
  <c r="AU238" i="25"/>
  <c r="AC82" i="25"/>
  <c r="AD7" i="25"/>
  <c r="AV238" i="25"/>
  <c r="AD82" i="25"/>
  <c r="AW238" i="25"/>
  <c r="AE82" i="25"/>
  <c r="AE7" i="25"/>
  <c r="D90" i="25"/>
  <c r="C5" i="25"/>
  <c r="L90" i="25"/>
  <c r="K5" i="25"/>
  <c r="T90" i="25"/>
  <c r="S5" i="25"/>
  <c r="AG238" i="25"/>
  <c r="O7" i="25"/>
  <c r="H7" i="25"/>
  <c r="Z238" i="25"/>
  <c r="H82" i="25"/>
  <c r="P7" i="25"/>
  <c r="X7" i="25"/>
  <c r="AP238" i="25"/>
  <c r="X82" i="25"/>
  <c r="AF82" i="25"/>
  <c r="AI44" i="25"/>
  <c r="AI62" i="25"/>
  <c r="E90" i="25"/>
  <c r="U90" i="25"/>
  <c r="AC90" i="25"/>
  <c r="AF238" i="25"/>
  <c r="I79" i="25"/>
  <c r="I81" i="25" s="1"/>
  <c r="Q79" i="25"/>
  <c r="Q81" i="25" s="1"/>
  <c r="AG2" i="25"/>
  <c r="AG6" i="25" s="1"/>
  <c r="AG79" i="25"/>
  <c r="M7" i="25"/>
  <c r="AE238" i="25"/>
  <c r="M82" i="25"/>
  <c r="AN238" i="25"/>
  <c r="AJ238" i="25"/>
  <c r="R82" i="25"/>
  <c r="Z82" i="25"/>
  <c r="AH58" i="25"/>
  <c r="AI83" i="25"/>
  <c r="D100" i="25"/>
  <c r="D235" i="25"/>
  <c r="AH74" i="25"/>
  <c r="AA5" i="25"/>
  <c r="AI74" i="25"/>
  <c r="AH83" i="25"/>
  <c r="AH44" i="25"/>
  <c r="AI40" i="25"/>
  <c r="AH86" i="25"/>
  <c r="B224" i="25"/>
  <c r="AH40" i="25"/>
  <c r="AH87" i="25"/>
  <c r="F39" i="24"/>
  <c r="E103" i="24"/>
  <c r="E39" i="24"/>
  <c r="AF263" i="24"/>
  <c r="AE263" i="24"/>
  <c r="AD263" i="24"/>
  <c r="AC263" i="24"/>
  <c r="AB263" i="24"/>
  <c r="AA263" i="24"/>
  <c r="Z263" i="24"/>
  <c r="Y263" i="24"/>
  <c r="X263" i="24"/>
  <c r="W263" i="24"/>
  <c r="V263" i="24"/>
  <c r="U263" i="24"/>
  <c r="T263" i="24"/>
  <c r="S263" i="24"/>
  <c r="R263" i="24"/>
  <c r="Q263" i="24"/>
  <c r="P263" i="24"/>
  <c r="O263" i="24"/>
  <c r="N263" i="24"/>
  <c r="M263" i="24"/>
  <c r="L263" i="24"/>
  <c r="K263" i="24"/>
  <c r="J263" i="24"/>
  <c r="I263" i="24"/>
  <c r="H263" i="24"/>
  <c r="G263" i="24"/>
  <c r="F263" i="24"/>
  <c r="E263" i="24"/>
  <c r="D263" i="24"/>
  <c r="C263" i="24"/>
  <c r="B263" i="24"/>
  <c r="A263" i="24"/>
  <c r="AF262" i="24"/>
  <c r="AE262" i="24"/>
  <c r="AD262" i="24"/>
  <c r="AC262" i="24"/>
  <c r="AB262" i="24"/>
  <c r="AA262" i="24"/>
  <c r="Z262" i="24"/>
  <c r="Y262" i="24"/>
  <c r="X262" i="24"/>
  <c r="W262" i="24"/>
  <c r="V262" i="24"/>
  <c r="U262" i="24"/>
  <c r="T262" i="24"/>
  <c r="S262" i="24"/>
  <c r="R262" i="24"/>
  <c r="Q262" i="24"/>
  <c r="P262" i="24"/>
  <c r="O262" i="24"/>
  <c r="N262" i="24"/>
  <c r="M262" i="24"/>
  <c r="L262" i="24"/>
  <c r="K262" i="24"/>
  <c r="J262" i="24"/>
  <c r="I262" i="24"/>
  <c r="H262" i="24"/>
  <c r="G262" i="24"/>
  <c r="F262" i="24"/>
  <c r="E262" i="24"/>
  <c r="D262" i="24"/>
  <c r="C262" i="24"/>
  <c r="B262" i="24"/>
  <c r="A262" i="24"/>
  <c r="AF261" i="24"/>
  <c r="AE261" i="24"/>
  <c r="AD261" i="24"/>
  <c r="AC261" i="24"/>
  <c r="AB261" i="24"/>
  <c r="AA261" i="24"/>
  <c r="Z261" i="24"/>
  <c r="Y261" i="24"/>
  <c r="X261" i="24"/>
  <c r="W261" i="24"/>
  <c r="V261" i="24"/>
  <c r="U261" i="24"/>
  <c r="T261" i="24"/>
  <c r="S261" i="24"/>
  <c r="R261" i="24"/>
  <c r="Q261" i="24"/>
  <c r="P261" i="24"/>
  <c r="O261" i="24"/>
  <c r="N261" i="24"/>
  <c r="M261" i="24"/>
  <c r="L261" i="24"/>
  <c r="K261" i="24"/>
  <c r="J261" i="24"/>
  <c r="I261" i="24"/>
  <c r="H261" i="24"/>
  <c r="G261" i="24"/>
  <c r="F261" i="24"/>
  <c r="E261" i="24"/>
  <c r="D261" i="24"/>
  <c r="C261" i="24"/>
  <c r="B261" i="24"/>
  <c r="A261" i="24"/>
  <c r="AF260" i="24"/>
  <c r="AE260" i="24"/>
  <c r="AD260" i="24"/>
  <c r="AC260" i="24"/>
  <c r="AB260" i="24"/>
  <c r="AA260" i="24"/>
  <c r="Z260" i="24"/>
  <c r="Y260" i="24"/>
  <c r="X260" i="24"/>
  <c r="W260" i="24"/>
  <c r="V260" i="24"/>
  <c r="U260" i="24"/>
  <c r="T260" i="24"/>
  <c r="S260" i="24"/>
  <c r="R260" i="24"/>
  <c r="Q260" i="24"/>
  <c r="P260" i="24"/>
  <c r="O260" i="24"/>
  <c r="N260" i="24"/>
  <c r="M260" i="24"/>
  <c r="L260" i="24"/>
  <c r="K260" i="24"/>
  <c r="J260" i="24"/>
  <c r="I260" i="24"/>
  <c r="H260" i="24"/>
  <c r="G260" i="24"/>
  <c r="F260" i="24"/>
  <c r="E260" i="24"/>
  <c r="D260" i="24"/>
  <c r="C260" i="24"/>
  <c r="B260" i="24"/>
  <c r="A260" i="24"/>
  <c r="AE259" i="24"/>
  <c r="AD259" i="24"/>
  <c r="AC259" i="24"/>
  <c r="AB259" i="24"/>
  <c r="AA259" i="24"/>
  <c r="Z259" i="24"/>
  <c r="Y259" i="24"/>
  <c r="X259" i="24"/>
  <c r="W259" i="24"/>
  <c r="V259" i="24"/>
  <c r="U259" i="24"/>
  <c r="T259" i="24"/>
  <c r="S259" i="24"/>
  <c r="R259" i="24"/>
  <c r="Q259" i="24"/>
  <c r="P259" i="24"/>
  <c r="B259" i="24"/>
  <c r="S234" i="24"/>
  <c r="AG224" i="24"/>
  <c r="AG57" i="24" s="1"/>
  <c r="AG58" i="24" s="1"/>
  <c r="AG3" i="24" s="1"/>
  <c r="AF224" i="24"/>
  <c r="AE224" i="24"/>
  <c r="AD224" i="24"/>
  <c r="AC224" i="24"/>
  <c r="AB224" i="24"/>
  <c r="AA224" i="24"/>
  <c r="Z224" i="24"/>
  <c r="Y224" i="24"/>
  <c r="X224" i="24"/>
  <c r="W224" i="24"/>
  <c r="V224" i="24"/>
  <c r="U224" i="24"/>
  <c r="T224" i="24"/>
  <c r="S224" i="24"/>
  <c r="R224" i="24"/>
  <c r="Q224" i="24"/>
  <c r="C224" i="24"/>
  <c r="D223" i="24"/>
  <c r="E223" i="24" s="1"/>
  <c r="B223" i="24"/>
  <c r="AF259" i="24" s="1"/>
  <c r="D222" i="24"/>
  <c r="E222" i="24" s="1"/>
  <c r="F222" i="24" s="1"/>
  <c r="G222" i="24" s="1"/>
  <c r="H222" i="24" s="1"/>
  <c r="I222" i="24" s="1"/>
  <c r="J222" i="24" s="1"/>
  <c r="K222" i="24" s="1"/>
  <c r="L222" i="24" s="1"/>
  <c r="M222" i="24" s="1"/>
  <c r="N222" i="24" s="1"/>
  <c r="O222" i="24" s="1"/>
  <c r="P222" i="24" s="1"/>
  <c r="B222" i="24"/>
  <c r="E221" i="24"/>
  <c r="F221" i="24" s="1"/>
  <c r="G221" i="24" s="1"/>
  <c r="H221" i="24" s="1"/>
  <c r="I221" i="24" s="1"/>
  <c r="J221" i="24" s="1"/>
  <c r="K221" i="24" s="1"/>
  <c r="L221" i="24" s="1"/>
  <c r="M221" i="24" s="1"/>
  <c r="N221" i="24" s="1"/>
  <c r="O221" i="24" s="1"/>
  <c r="P221" i="24" s="1"/>
  <c r="D221" i="24"/>
  <c r="B221" i="24"/>
  <c r="D220" i="24"/>
  <c r="E220" i="24" s="1"/>
  <c r="F220" i="24" s="1"/>
  <c r="G220" i="24" s="1"/>
  <c r="H220" i="24" s="1"/>
  <c r="I220" i="24" s="1"/>
  <c r="J220" i="24" s="1"/>
  <c r="K220" i="24" s="1"/>
  <c r="L220" i="24" s="1"/>
  <c r="M220" i="24" s="1"/>
  <c r="N220" i="24" s="1"/>
  <c r="O220" i="24" s="1"/>
  <c r="P220" i="24" s="1"/>
  <c r="B220" i="24"/>
  <c r="D219" i="24"/>
  <c r="E219" i="24" s="1"/>
  <c r="F219" i="24" s="1"/>
  <c r="G219" i="24" s="1"/>
  <c r="H219" i="24" s="1"/>
  <c r="I219" i="24" s="1"/>
  <c r="J219" i="24" s="1"/>
  <c r="K219" i="24" s="1"/>
  <c r="L219" i="24" s="1"/>
  <c r="M219" i="24" s="1"/>
  <c r="N219" i="24" s="1"/>
  <c r="O219" i="24" s="1"/>
  <c r="P219" i="24" s="1"/>
  <c r="B219" i="24"/>
  <c r="D218" i="24"/>
  <c r="E218" i="24" s="1"/>
  <c r="B218" i="24"/>
  <c r="AG216" i="24"/>
  <c r="AF216" i="24"/>
  <c r="AE216" i="24"/>
  <c r="AD216" i="24"/>
  <c r="AC216" i="24"/>
  <c r="AB216" i="24"/>
  <c r="AA216" i="24"/>
  <c r="Z216" i="24"/>
  <c r="Y216" i="24"/>
  <c r="X216" i="24"/>
  <c r="W216" i="24"/>
  <c r="V216" i="24"/>
  <c r="U216" i="24"/>
  <c r="T216" i="24"/>
  <c r="S216" i="24"/>
  <c r="R216" i="24"/>
  <c r="Q216" i="24"/>
  <c r="P216" i="24"/>
  <c r="O216" i="24"/>
  <c r="N216" i="24"/>
  <c r="M216" i="24"/>
  <c r="L216" i="24"/>
  <c r="K216" i="24"/>
  <c r="J216" i="24"/>
  <c r="I216" i="24"/>
  <c r="H216" i="24"/>
  <c r="G216" i="24"/>
  <c r="F216" i="24"/>
  <c r="E216" i="24"/>
  <c r="D216" i="24"/>
  <c r="C216" i="24"/>
  <c r="B216" i="24"/>
  <c r="AI109" i="24"/>
  <c r="AH109" i="24"/>
  <c r="AI108" i="24"/>
  <c r="AH108" i="24"/>
  <c r="AI107" i="24"/>
  <c r="AH107" i="24"/>
  <c r="AI106" i="24"/>
  <c r="AH106" i="24"/>
  <c r="AI105" i="24"/>
  <c r="AH105" i="24"/>
  <c r="AI104" i="24"/>
  <c r="AH104" i="24"/>
  <c r="AI103" i="24"/>
  <c r="AH103" i="24"/>
  <c r="AI102" i="24"/>
  <c r="AH102" i="24"/>
  <c r="AI101" i="24"/>
  <c r="AH101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AI99" i="24"/>
  <c r="AH99" i="24"/>
  <c r="AI98" i="24"/>
  <c r="AH98" i="24"/>
  <c r="AI97" i="24"/>
  <c r="AH97" i="24"/>
  <c r="AI96" i="24"/>
  <c r="AH96" i="24"/>
  <c r="AI95" i="24"/>
  <c r="AH95" i="24"/>
  <c r="AI94" i="24"/>
  <c r="AH94" i="24"/>
  <c r="AI93" i="24"/>
  <c r="AH93" i="24"/>
  <c r="AI92" i="24"/>
  <c r="AH92" i="24"/>
  <c r="AI91" i="24"/>
  <c r="AH91" i="24"/>
  <c r="AI88" i="24"/>
  <c r="AH88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AF83" i="24"/>
  <c r="AE83" i="24"/>
  <c r="AD83" i="24"/>
  <c r="AC83" i="24"/>
  <c r="AB83" i="24"/>
  <c r="AA83" i="24"/>
  <c r="Z83" i="24"/>
  <c r="Y83" i="24"/>
  <c r="X83" i="24"/>
  <c r="W83" i="24"/>
  <c r="W89" i="24" s="1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D89" i="24" s="1"/>
  <c r="AI80" i="24"/>
  <c r="AH80" i="24"/>
  <c r="AI78" i="24"/>
  <c r="AH78" i="24"/>
  <c r="AG78" i="24"/>
  <c r="AI77" i="24"/>
  <c r="AH77" i="24"/>
  <c r="AI76" i="24"/>
  <c r="AH76" i="24"/>
  <c r="AI75" i="24"/>
  <c r="AH75" i="24"/>
  <c r="AG74" i="24"/>
  <c r="AF74" i="24"/>
  <c r="AE5" i="24" s="1"/>
  <c r="AE74" i="24"/>
  <c r="AD5" i="24" s="1"/>
  <c r="AD74" i="24"/>
  <c r="AC5" i="24" s="1"/>
  <c r="AC74" i="24"/>
  <c r="AB74" i="24"/>
  <c r="AA5" i="24" s="1"/>
  <c r="AA74" i="24"/>
  <c r="Z74" i="24"/>
  <c r="Y5" i="24" s="1"/>
  <c r="Y74" i="24"/>
  <c r="X5" i="24" s="1"/>
  <c r="X74" i="24"/>
  <c r="W5" i="24" s="1"/>
  <c r="W74" i="24"/>
  <c r="V5" i="24" s="1"/>
  <c r="V74" i="24"/>
  <c r="U5" i="24" s="1"/>
  <c r="U74" i="24"/>
  <c r="T74" i="24"/>
  <c r="S5" i="24" s="1"/>
  <c r="S74" i="24"/>
  <c r="R74" i="24"/>
  <c r="Q5" i="24" s="1"/>
  <c r="Q74" i="24"/>
  <c r="P5" i="24" s="1"/>
  <c r="P74" i="24"/>
  <c r="O5" i="24" s="1"/>
  <c r="O74" i="24"/>
  <c r="N74" i="24"/>
  <c r="M74" i="24"/>
  <c r="L74" i="24"/>
  <c r="K5" i="24" s="1"/>
  <c r="K74" i="24"/>
  <c r="J74" i="24"/>
  <c r="I5" i="24" s="1"/>
  <c r="I74" i="24"/>
  <c r="H5" i="24" s="1"/>
  <c r="H74" i="24"/>
  <c r="G5" i="24" s="1"/>
  <c r="G74" i="24"/>
  <c r="F74" i="24"/>
  <c r="E74" i="24"/>
  <c r="D74" i="24"/>
  <c r="AF5" i="24"/>
  <c r="AI73" i="24"/>
  <c r="AH73" i="24"/>
  <c r="AI72" i="24"/>
  <c r="AH72" i="24"/>
  <c r="AI71" i="24"/>
  <c r="AH71" i="24"/>
  <c r="AI70" i="24"/>
  <c r="AH70" i="24"/>
  <c r="AI69" i="24"/>
  <c r="AH69" i="24"/>
  <c r="AI68" i="24"/>
  <c r="AH68" i="24"/>
  <c r="AI67" i="24"/>
  <c r="AH67" i="24"/>
  <c r="AI66" i="24"/>
  <c r="AH66" i="24"/>
  <c r="AI65" i="24"/>
  <c r="AH65" i="24"/>
  <c r="AI64" i="24"/>
  <c r="AH64" i="24"/>
  <c r="AI63" i="24"/>
  <c r="AH63" i="24"/>
  <c r="AG62" i="24"/>
  <c r="AF62" i="24"/>
  <c r="AE62" i="24"/>
  <c r="AD62" i="24"/>
  <c r="AC62" i="24"/>
  <c r="AB62" i="24"/>
  <c r="AA62" i="24"/>
  <c r="Z62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AI61" i="24"/>
  <c r="AH61" i="24"/>
  <c r="AI60" i="24"/>
  <c r="AH60" i="24"/>
  <c r="AI59" i="24"/>
  <c r="AH59" i="24"/>
  <c r="AF58" i="24"/>
  <c r="AE58" i="24"/>
  <c r="AD58" i="24"/>
  <c r="AC58" i="24"/>
  <c r="AB58" i="24"/>
  <c r="AA58" i="24"/>
  <c r="Z58" i="24"/>
  <c r="Y58" i="24"/>
  <c r="X58" i="24"/>
  <c r="W58" i="24"/>
  <c r="V58" i="24"/>
  <c r="U58" i="24"/>
  <c r="T58" i="24"/>
  <c r="S58" i="24"/>
  <c r="R58" i="24"/>
  <c r="Q58" i="24"/>
  <c r="P58" i="24"/>
  <c r="O58" i="24"/>
  <c r="N58" i="24"/>
  <c r="M58" i="24"/>
  <c r="L58" i="24"/>
  <c r="K58" i="24"/>
  <c r="J58" i="24"/>
  <c r="I58" i="24"/>
  <c r="H58" i="24"/>
  <c r="G58" i="24"/>
  <c r="F58" i="24"/>
  <c r="E58" i="24"/>
  <c r="D58" i="24"/>
  <c r="C58" i="24"/>
  <c r="B58" i="24"/>
  <c r="AI57" i="24"/>
  <c r="AH57" i="24"/>
  <c r="AI56" i="24"/>
  <c r="AH56" i="24"/>
  <c r="AI55" i="24"/>
  <c r="AH55" i="24"/>
  <c r="AI54" i="24"/>
  <c r="AH54" i="24"/>
  <c r="AI53" i="24"/>
  <c r="AH53" i="24"/>
  <c r="AI52" i="24"/>
  <c r="AH52" i="24"/>
  <c r="AI51" i="24"/>
  <c r="AH51" i="24"/>
  <c r="AI50" i="24"/>
  <c r="AH50" i="24"/>
  <c r="AI49" i="24"/>
  <c r="AH49" i="24"/>
  <c r="AI48" i="24"/>
  <c r="AH48" i="24"/>
  <c r="AI47" i="24"/>
  <c r="AH47" i="24"/>
  <c r="AI46" i="24"/>
  <c r="AH46" i="24"/>
  <c r="AI45" i="24"/>
  <c r="AH45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AI43" i="24"/>
  <c r="AH43" i="24"/>
  <c r="AI42" i="24"/>
  <c r="AH42" i="24"/>
  <c r="AI41" i="24"/>
  <c r="AH41" i="24"/>
  <c r="AG40" i="24"/>
  <c r="AF40" i="24"/>
  <c r="AE40" i="24"/>
  <c r="AD40" i="24"/>
  <c r="AD79" i="24" s="1"/>
  <c r="AD81" i="24" s="1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79" i="24" s="1"/>
  <c r="B81" i="24" s="1"/>
  <c r="B82" i="24" s="1"/>
  <c r="AI39" i="24"/>
  <c r="AH39" i="24"/>
  <c r="AI38" i="24"/>
  <c r="AH38" i="24"/>
  <c r="AI37" i="24"/>
  <c r="AH37" i="24"/>
  <c r="AI36" i="24"/>
  <c r="AH36" i="24"/>
  <c r="AI35" i="24"/>
  <c r="AH35" i="24"/>
  <c r="AI34" i="24"/>
  <c r="AH34" i="24"/>
  <c r="AI33" i="24"/>
  <c r="AH33" i="24"/>
  <c r="AI32" i="24"/>
  <c r="AH32" i="24"/>
  <c r="AI31" i="24"/>
  <c r="AH31" i="24"/>
  <c r="AI30" i="24"/>
  <c r="AH30" i="24"/>
  <c r="AI29" i="24"/>
  <c r="AH29" i="24"/>
  <c r="AI28" i="24"/>
  <c r="AH28" i="24"/>
  <c r="AI27" i="24"/>
  <c r="AH27" i="24"/>
  <c r="AI26" i="24"/>
  <c r="AH26" i="24"/>
  <c r="AI25" i="24"/>
  <c r="AH25" i="24"/>
  <c r="AI24" i="24"/>
  <c r="AH24" i="24"/>
  <c r="AI23" i="24"/>
  <c r="AH23" i="24"/>
  <c r="AI22" i="24"/>
  <c r="AH22" i="24"/>
  <c r="AI21" i="24"/>
  <c r="AH21" i="24"/>
  <c r="AI20" i="24"/>
  <c r="AH20" i="24"/>
  <c r="AI19" i="24"/>
  <c r="AH19" i="24"/>
  <c r="AI18" i="24"/>
  <c r="AH18" i="24"/>
  <c r="AI17" i="24"/>
  <c r="AH17" i="24"/>
  <c r="AI16" i="24"/>
  <c r="AH16" i="24"/>
  <c r="AI15" i="24"/>
  <c r="AH15" i="24"/>
  <c r="AI14" i="24"/>
  <c r="AH14" i="24"/>
  <c r="AI13" i="24"/>
  <c r="AH13" i="24"/>
  <c r="AI12" i="24"/>
  <c r="AH12" i="24"/>
  <c r="AI11" i="24"/>
  <c r="AH11" i="24"/>
  <c r="AB5" i="24"/>
  <c r="L5" i="24"/>
  <c r="C5" i="24"/>
  <c r="AG4" i="24"/>
  <c r="K4" i="24"/>
  <c r="B4" i="24"/>
  <c r="S235" i="24" s="1"/>
  <c r="AF39" i="23"/>
  <c r="AE39" i="23"/>
  <c r="AJ38" i="23"/>
  <c r="AJ37" i="23"/>
  <c r="AJ26" i="23"/>
  <c r="AJ24" i="23"/>
  <c r="AJ25" i="23"/>
  <c r="AD39" i="23"/>
  <c r="AC39" i="23"/>
  <c r="AB103" i="23"/>
  <c r="AB100" i="23" s="1"/>
  <c r="AB39" i="23"/>
  <c r="AA103" i="23"/>
  <c r="Z103" i="23"/>
  <c r="Z100" i="23" s="1"/>
  <c r="Y103" i="23"/>
  <c r="X103" i="23"/>
  <c r="X39" i="23"/>
  <c r="W103" i="23"/>
  <c r="V103" i="23"/>
  <c r="V39" i="23"/>
  <c r="U103" i="23"/>
  <c r="U100" i="23" s="1"/>
  <c r="U39" i="23"/>
  <c r="T103" i="23"/>
  <c r="T39" i="23"/>
  <c r="S103" i="23"/>
  <c r="S39" i="23"/>
  <c r="R39" i="23"/>
  <c r="AK65" i="22"/>
  <c r="Q39" i="23"/>
  <c r="P103" i="23"/>
  <c r="P39" i="23"/>
  <c r="O103" i="23"/>
  <c r="O39" i="23"/>
  <c r="N103" i="23"/>
  <c r="N39" i="23"/>
  <c r="M103" i="23"/>
  <c r="M39" i="23"/>
  <c r="L103" i="23"/>
  <c r="L39" i="23"/>
  <c r="K103" i="23"/>
  <c r="K39" i="23"/>
  <c r="H103" i="23"/>
  <c r="I103" i="23"/>
  <c r="AI103" i="23" s="1"/>
  <c r="J103" i="23"/>
  <c r="J39" i="23"/>
  <c r="I39" i="23"/>
  <c r="G39" i="23"/>
  <c r="H39" i="23"/>
  <c r="F103" i="23"/>
  <c r="E103" i="23"/>
  <c r="F39" i="23"/>
  <c r="E39" i="23"/>
  <c r="D103" i="23"/>
  <c r="D39" i="23"/>
  <c r="C103" i="23"/>
  <c r="C39" i="23"/>
  <c r="B103" i="23"/>
  <c r="AH103" i="23" s="1"/>
  <c r="B39" i="23"/>
  <c r="B100" i="23"/>
  <c r="B87" i="23"/>
  <c r="B86" i="23"/>
  <c r="B85" i="23"/>
  <c r="B84" i="23"/>
  <c r="B83" i="23"/>
  <c r="B74" i="23"/>
  <c r="B62" i="23"/>
  <c r="B58" i="23"/>
  <c r="B44" i="23"/>
  <c r="B40" i="23"/>
  <c r="AF263" i="23"/>
  <c r="AE263" i="23"/>
  <c r="AD263" i="23"/>
  <c r="AC263" i="23"/>
  <c r="AB263" i="23"/>
  <c r="AA263" i="23"/>
  <c r="Z263" i="23"/>
  <c r="Y263" i="23"/>
  <c r="X263" i="23"/>
  <c r="W263" i="23"/>
  <c r="V263" i="23"/>
  <c r="U263" i="23"/>
  <c r="T263" i="23"/>
  <c r="S263" i="23"/>
  <c r="R263" i="23"/>
  <c r="Q263" i="23"/>
  <c r="P263" i="23"/>
  <c r="O263" i="23"/>
  <c r="N263" i="23"/>
  <c r="M263" i="23"/>
  <c r="L263" i="23"/>
  <c r="K263" i="23"/>
  <c r="J263" i="23"/>
  <c r="I263" i="23"/>
  <c r="H263" i="23"/>
  <c r="G263" i="23"/>
  <c r="F263" i="23"/>
  <c r="E263" i="23"/>
  <c r="D263" i="23"/>
  <c r="C263" i="23"/>
  <c r="B263" i="23"/>
  <c r="A263" i="23"/>
  <c r="AF262" i="23"/>
  <c r="AE262" i="23"/>
  <c r="AD262" i="23"/>
  <c r="AC262" i="23"/>
  <c r="AB262" i="23"/>
  <c r="AA262" i="23"/>
  <c r="Z262" i="23"/>
  <c r="Y262" i="23"/>
  <c r="X262" i="23"/>
  <c r="W262" i="23"/>
  <c r="V262" i="23"/>
  <c r="U262" i="23"/>
  <c r="T262" i="23"/>
  <c r="S262" i="23"/>
  <c r="R262" i="23"/>
  <c r="Q262" i="23"/>
  <c r="P262" i="23"/>
  <c r="O262" i="23"/>
  <c r="N262" i="23"/>
  <c r="M262" i="23"/>
  <c r="L262" i="23"/>
  <c r="K262" i="23"/>
  <c r="J262" i="23"/>
  <c r="I262" i="23"/>
  <c r="H262" i="23"/>
  <c r="G262" i="23"/>
  <c r="F262" i="23"/>
  <c r="E262" i="23"/>
  <c r="D262" i="23"/>
  <c r="C262" i="23"/>
  <c r="B262" i="23"/>
  <c r="A262" i="23"/>
  <c r="AF261" i="23"/>
  <c r="AE261" i="23"/>
  <c r="AD261" i="23"/>
  <c r="AC261" i="23"/>
  <c r="AB261" i="23"/>
  <c r="AA261" i="23"/>
  <c r="Z261" i="23"/>
  <c r="Y261" i="23"/>
  <c r="X261" i="23"/>
  <c r="W261" i="23"/>
  <c r="V261" i="23"/>
  <c r="U261" i="23"/>
  <c r="T261" i="23"/>
  <c r="S261" i="23"/>
  <c r="R261" i="23"/>
  <c r="Q261" i="23"/>
  <c r="P261" i="23"/>
  <c r="O261" i="23"/>
  <c r="N261" i="23"/>
  <c r="M261" i="23"/>
  <c r="L261" i="23"/>
  <c r="K261" i="23"/>
  <c r="J261" i="23"/>
  <c r="I261" i="23"/>
  <c r="H261" i="23"/>
  <c r="G261" i="23"/>
  <c r="F261" i="23"/>
  <c r="E261" i="23"/>
  <c r="D261" i="23"/>
  <c r="C261" i="23"/>
  <c r="B261" i="23"/>
  <c r="A261" i="23"/>
  <c r="AF260" i="23"/>
  <c r="AE260" i="23"/>
  <c r="AD260" i="23"/>
  <c r="AC260" i="23"/>
  <c r="AB260" i="23"/>
  <c r="AA260" i="23"/>
  <c r="Z260" i="23"/>
  <c r="Y260" i="23"/>
  <c r="X260" i="23"/>
  <c r="W260" i="23"/>
  <c r="V260" i="23"/>
  <c r="U260" i="23"/>
  <c r="T260" i="23"/>
  <c r="S260" i="23"/>
  <c r="R260" i="23"/>
  <c r="Q260" i="23"/>
  <c r="P260" i="23"/>
  <c r="O260" i="23"/>
  <c r="N260" i="23"/>
  <c r="M260" i="23"/>
  <c r="L260" i="23"/>
  <c r="K260" i="23"/>
  <c r="J260" i="23"/>
  <c r="I260" i="23"/>
  <c r="H260" i="23"/>
  <c r="G260" i="23"/>
  <c r="F260" i="23"/>
  <c r="E260" i="23"/>
  <c r="D260" i="23"/>
  <c r="C260" i="23"/>
  <c r="B260" i="23"/>
  <c r="A260" i="23"/>
  <c r="AE259" i="23"/>
  <c r="AD259" i="23"/>
  <c r="AC259" i="23"/>
  <c r="AB259" i="23"/>
  <c r="AA259" i="23"/>
  <c r="Z259" i="23"/>
  <c r="Y259" i="23"/>
  <c r="X259" i="23"/>
  <c r="W259" i="23"/>
  <c r="V259" i="23"/>
  <c r="U259" i="23"/>
  <c r="T259" i="23"/>
  <c r="S259" i="23"/>
  <c r="R259" i="23"/>
  <c r="Q259" i="23"/>
  <c r="P259" i="23"/>
  <c r="B259" i="23"/>
  <c r="S234" i="23"/>
  <c r="AG224" i="23"/>
  <c r="AF224" i="23"/>
  <c r="AE224" i="23"/>
  <c r="AD224" i="23"/>
  <c r="AC224" i="23"/>
  <c r="AB224" i="23"/>
  <c r="AA224" i="23"/>
  <c r="Z224" i="23"/>
  <c r="Y224" i="23"/>
  <c r="X224" i="23"/>
  <c r="W224" i="23"/>
  <c r="V224" i="23"/>
  <c r="U224" i="23"/>
  <c r="T224" i="23"/>
  <c r="S224" i="23"/>
  <c r="R224" i="23"/>
  <c r="Q224" i="23"/>
  <c r="C224" i="23"/>
  <c r="D223" i="23"/>
  <c r="C259" i="23" s="1"/>
  <c r="B223" i="23"/>
  <c r="AF259" i="23" s="1"/>
  <c r="D222" i="23"/>
  <c r="E222" i="23" s="1"/>
  <c r="F222" i="23" s="1"/>
  <c r="G222" i="23" s="1"/>
  <c r="H222" i="23" s="1"/>
  <c r="I222" i="23" s="1"/>
  <c r="J222" i="23" s="1"/>
  <c r="K222" i="23" s="1"/>
  <c r="L222" i="23" s="1"/>
  <c r="M222" i="23" s="1"/>
  <c r="N222" i="23" s="1"/>
  <c r="O222" i="23" s="1"/>
  <c r="P222" i="23" s="1"/>
  <c r="B222" i="23"/>
  <c r="D221" i="23"/>
  <c r="E221" i="23" s="1"/>
  <c r="F221" i="23" s="1"/>
  <c r="G221" i="23" s="1"/>
  <c r="H221" i="23" s="1"/>
  <c r="I221" i="23" s="1"/>
  <c r="J221" i="23" s="1"/>
  <c r="K221" i="23" s="1"/>
  <c r="L221" i="23" s="1"/>
  <c r="M221" i="23" s="1"/>
  <c r="N221" i="23" s="1"/>
  <c r="O221" i="23" s="1"/>
  <c r="P221" i="23" s="1"/>
  <c r="B221" i="23"/>
  <c r="D220" i="23"/>
  <c r="E220" i="23" s="1"/>
  <c r="F220" i="23" s="1"/>
  <c r="G220" i="23" s="1"/>
  <c r="H220" i="23" s="1"/>
  <c r="I220" i="23" s="1"/>
  <c r="J220" i="23" s="1"/>
  <c r="K220" i="23" s="1"/>
  <c r="L220" i="23" s="1"/>
  <c r="M220" i="23" s="1"/>
  <c r="N220" i="23" s="1"/>
  <c r="O220" i="23" s="1"/>
  <c r="P220" i="23" s="1"/>
  <c r="B220" i="23"/>
  <c r="D219" i="23"/>
  <c r="E219" i="23" s="1"/>
  <c r="F219" i="23" s="1"/>
  <c r="G219" i="23" s="1"/>
  <c r="H219" i="23" s="1"/>
  <c r="I219" i="23" s="1"/>
  <c r="J219" i="23" s="1"/>
  <c r="K219" i="23" s="1"/>
  <c r="L219" i="23" s="1"/>
  <c r="M219" i="23" s="1"/>
  <c r="N219" i="23" s="1"/>
  <c r="O219" i="23" s="1"/>
  <c r="P219" i="23" s="1"/>
  <c r="B219" i="23"/>
  <c r="D218" i="23"/>
  <c r="B218" i="23"/>
  <c r="AG216" i="23"/>
  <c r="AF216" i="23"/>
  <c r="AE216" i="23"/>
  <c r="AD216" i="23"/>
  <c r="AC216" i="23"/>
  <c r="AB216" i="23"/>
  <c r="AA216" i="23"/>
  <c r="Z216" i="23"/>
  <c r="Y216" i="23"/>
  <c r="X216" i="23"/>
  <c r="W216" i="23"/>
  <c r="V216" i="23"/>
  <c r="U216" i="23"/>
  <c r="T216" i="23"/>
  <c r="S216" i="23"/>
  <c r="R216" i="23"/>
  <c r="Q216" i="23"/>
  <c r="P216" i="23"/>
  <c r="O216" i="23"/>
  <c r="N216" i="23"/>
  <c r="M216" i="23"/>
  <c r="L216" i="23"/>
  <c r="K216" i="23"/>
  <c r="J216" i="23"/>
  <c r="I216" i="23"/>
  <c r="H216" i="23"/>
  <c r="G216" i="23"/>
  <c r="F216" i="23"/>
  <c r="E216" i="23"/>
  <c r="D216" i="23"/>
  <c r="C216" i="23"/>
  <c r="B216" i="23"/>
  <c r="AI109" i="23"/>
  <c r="AH109" i="23"/>
  <c r="AI108" i="23"/>
  <c r="AH108" i="23"/>
  <c r="AI107" i="23"/>
  <c r="AH107" i="23"/>
  <c r="AI106" i="23"/>
  <c r="AH106" i="23"/>
  <c r="AI105" i="23"/>
  <c r="AH105" i="23"/>
  <c r="AI104" i="23"/>
  <c r="AH104" i="23"/>
  <c r="AI102" i="23"/>
  <c r="AH102" i="23"/>
  <c r="AI101" i="23"/>
  <c r="AH101" i="23"/>
  <c r="AF100" i="23"/>
  <c r="AE100" i="23"/>
  <c r="AD100" i="23"/>
  <c r="AC100" i="23"/>
  <c r="AA100" i="23"/>
  <c r="Y100" i="23"/>
  <c r="X100" i="23"/>
  <c r="W100" i="23"/>
  <c r="V100" i="23"/>
  <c r="T100" i="23"/>
  <c r="S100" i="23"/>
  <c r="R100" i="23"/>
  <c r="Q100" i="23"/>
  <c r="C100" i="23"/>
  <c r="AI99" i="23"/>
  <c r="AH99" i="23"/>
  <c r="AI98" i="23"/>
  <c r="AH98" i="23"/>
  <c r="AI97" i="23"/>
  <c r="AH97" i="23"/>
  <c r="AI96" i="23"/>
  <c r="AH96" i="23"/>
  <c r="AI95" i="23"/>
  <c r="AH95" i="23"/>
  <c r="AI94" i="23"/>
  <c r="AH94" i="23"/>
  <c r="AI93" i="23"/>
  <c r="AH93" i="23"/>
  <c r="AI92" i="23"/>
  <c r="AH92" i="23"/>
  <c r="AI91" i="23"/>
  <c r="AH91" i="23"/>
  <c r="AI88" i="23"/>
  <c r="AH88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AF83" i="23"/>
  <c r="AF89" i="23" s="1"/>
  <c r="AE83" i="23"/>
  <c r="AD83" i="23"/>
  <c r="AC83" i="23"/>
  <c r="AC89" i="23" s="1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AI80" i="23"/>
  <c r="AH80" i="23"/>
  <c r="AI78" i="23"/>
  <c r="AH78" i="23"/>
  <c r="AG78" i="23"/>
  <c r="AI77" i="23"/>
  <c r="AH77" i="23"/>
  <c r="AI76" i="23"/>
  <c r="AH76" i="23"/>
  <c r="AI75" i="23"/>
  <c r="AH75" i="23"/>
  <c r="AG74" i="23"/>
  <c r="AF74" i="23"/>
  <c r="AE5" i="23" s="1"/>
  <c r="AE74" i="23"/>
  <c r="AD5" i="23" s="1"/>
  <c r="AD74" i="23"/>
  <c r="AC5" i="23" s="1"/>
  <c r="AC74" i="23"/>
  <c r="AB5" i="23" s="1"/>
  <c r="AB74" i="23"/>
  <c r="AA5" i="23" s="1"/>
  <c r="AA74" i="23"/>
  <c r="Z5" i="23" s="1"/>
  <c r="Z74" i="23"/>
  <c r="Y74" i="23"/>
  <c r="X74" i="23"/>
  <c r="W5" i="23" s="1"/>
  <c r="W74" i="23"/>
  <c r="V5" i="23" s="1"/>
  <c r="V74" i="23"/>
  <c r="U74" i="23"/>
  <c r="T5" i="23" s="1"/>
  <c r="T74" i="23"/>
  <c r="S74" i="23"/>
  <c r="R5" i="23" s="1"/>
  <c r="R74" i="23"/>
  <c r="Q74" i="23"/>
  <c r="P5" i="23" s="1"/>
  <c r="P74" i="23"/>
  <c r="O74" i="23"/>
  <c r="N5" i="23" s="1"/>
  <c r="N74" i="23"/>
  <c r="M5" i="23" s="1"/>
  <c r="M74" i="23"/>
  <c r="L74" i="23"/>
  <c r="K5" i="23" s="1"/>
  <c r="K74" i="23"/>
  <c r="J5" i="23" s="1"/>
  <c r="J74" i="23"/>
  <c r="I5" i="23" s="1"/>
  <c r="I74" i="23"/>
  <c r="H74" i="23"/>
  <c r="G74" i="23"/>
  <c r="F5" i="23" s="1"/>
  <c r="F74" i="23"/>
  <c r="E74" i="23"/>
  <c r="D5" i="23" s="1"/>
  <c r="D74" i="23"/>
  <c r="C5" i="23" s="1"/>
  <c r="C74" i="23"/>
  <c r="B5" i="23" s="1"/>
  <c r="AI73" i="23"/>
  <c r="AH73" i="23"/>
  <c r="AI72" i="23"/>
  <c r="AH72" i="23"/>
  <c r="AI71" i="23"/>
  <c r="AH71" i="23"/>
  <c r="AI70" i="23"/>
  <c r="AH70" i="23"/>
  <c r="AI69" i="23"/>
  <c r="AH69" i="23"/>
  <c r="AI68" i="23"/>
  <c r="AH68" i="23"/>
  <c r="AI67" i="23"/>
  <c r="AH67" i="23"/>
  <c r="AI66" i="23"/>
  <c r="AH66" i="23"/>
  <c r="AI65" i="23"/>
  <c r="AH65" i="23"/>
  <c r="AI64" i="23"/>
  <c r="AH64" i="23"/>
  <c r="AI63" i="23"/>
  <c r="AH63" i="23"/>
  <c r="AG62" i="23"/>
  <c r="AF62" i="23"/>
  <c r="AE62" i="23"/>
  <c r="AD62" i="23"/>
  <c r="AC62" i="23"/>
  <c r="AB62" i="23"/>
  <c r="AA62" i="23"/>
  <c r="Z62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AI61" i="23"/>
  <c r="AH61" i="23"/>
  <c r="AI60" i="23"/>
  <c r="AH60" i="23"/>
  <c r="AI59" i="23"/>
  <c r="AH59" i="23"/>
  <c r="AF58" i="23"/>
  <c r="AE58" i="23"/>
  <c r="AD58" i="23"/>
  <c r="AC58" i="23"/>
  <c r="AB58" i="23"/>
  <c r="AA58" i="23"/>
  <c r="Z58" i="23"/>
  <c r="Y58" i="23"/>
  <c r="X58" i="23"/>
  <c r="W58" i="23"/>
  <c r="V58" i="23"/>
  <c r="U58" i="23"/>
  <c r="T58" i="23"/>
  <c r="S58" i="23"/>
  <c r="R58" i="23"/>
  <c r="Q58" i="23"/>
  <c r="P58" i="23"/>
  <c r="O58" i="23"/>
  <c r="N58" i="23"/>
  <c r="M58" i="23"/>
  <c r="L58" i="23"/>
  <c r="K58" i="23"/>
  <c r="J58" i="23"/>
  <c r="I58" i="23"/>
  <c r="H58" i="23"/>
  <c r="G58" i="23"/>
  <c r="F58" i="23"/>
  <c r="E58" i="23"/>
  <c r="D58" i="23"/>
  <c r="C58" i="23"/>
  <c r="AI57" i="23"/>
  <c r="AH57" i="23"/>
  <c r="AG57" i="23"/>
  <c r="AG58" i="23" s="1"/>
  <c r="AG3" i="23" s="1"/>
  <c r="AI56" i="23"/>
  <c r="AH56" i="23"/>
  <c r="AI55" i="23"/>
  <c r="AH55" i="23"/>
  <c r="AI54" i="23"/>
  <c r="AH54" i="23"/>
  <c r="AI53" i="23"/>
  <c r="AH53" i="23"/>
  <c r="AI52" i="23"/>
  <c r="AH52" i="23"/>
  <c r="AI51" i="23"/>
  <c r="AH51" i="23"/>
  <c r="AI50" i="23"/>
  <c r="AH50" i="23"/>
  <c r="AI49" i="23"/>
  <c r="AH49" i="23"/>
  <c r="AI48" i="23"/>
  <c r="AH48" i="23"/>
  <c r="AI47" i="23"/>
  <c r="AH47" i="23"/>
  <c r="AI46" i="23"/>
  <c r="AH46" i="23"/>
  <c r="AI45" i="23"/>
  <c r="AH45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AI43" i="23"/>
  <c r="AH43" i="23"/>
  <c r="AI42" i="23"/>
  <c r="AH42" i="23"/>
  <c r="AI41" i="23"/>
  <c r="AH41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AI38" i="23"/>
  <c r="AH38" i="23"/>
  <c r="AI37" i="23"/>
  <c r="AH37" i="23"/>
  <c r="AI36" i="23"/>
  <c r="AH36" i="23"/>
  <c r="AI35" i="23"/>
  <c r="AH35" i="23"/>
  <c r="AI34" i="23"/>
  <c r="AH34" i="23"/>
  <c r="AI33" i="23"/>
  <c r="AH33" i="23"/>
  <c r="AI32" i="23"/>
  <c r="AH32" i="23"/>
  <c r="AI31" i="23"/>
  <c r="AH31" i="23"/>
  <c r="AI30" i="23"/>
  <c r="AH30" i="23"/>
  <c r="AI29" i="23"/>
  <c r="AH29" i="23"/>
  <c r="AI28" i="23"/>
  <c r="AH28" i="23"/>
  <c r="AI27" i="23"/>
  <c r="AH27" i="23"/>
  <c r="AI26" i="23"/>
  <c r="AH26" i="23"/>
  <c r="AI25" i="23"/>
  <c r="AH25" i="23"/>
  <c r="AI24" i="23"/>
  <c r="AH24" i="23"/>
  <c r="AI23" i="23"/>
  <c r="AH23" i="23"/>
  <c r="AI22" i="23"/>
  <c r="AH22" i="23"/>
  <c r="AI21" i="23"/>
  <c r="AH21" i="23"/>
  <c r="AI20" i="23"/>
  <c r="AH20" i="23"/>
  <c r="AI19" i="23"/>
  <c r="AH19" i="23"/>
  <c r="AI18" i="23"/>
  <c r="AH18" i="23"/>
  <c r="AI17" i="23"/>
  <c r="AH17" i="23"/>
  <c r="AI16" i="23"/>
  <c r="AH16" i="23"/>
  <c r="AI15" i="23"/>
  <c r="AH15" i="23"/>
  <c r="AI14" i="23"/>
  <c r="AH14" i="23"/>
  <c r="AI13" i="23"/>
  <c r="AH13" i="23"/>
  <c r="AI12" i="23"/>
  <c r="AH12" i="23"/>
  <c r="AI11" i="23"/>
  <c r="AH11" i="23"/>
  <c r="AF5" i="23"/>
  <c r="S5" i="23"/>
  <c r="L5" i="23"/>
  <c r="AG4" i="23"/>
  <c r="K4" i="23"/>
  <c r="B4" i="23"/>
  <c r="S235" i="23" s="1"/>
  <c r="AG2" i="23"/>
  <c r="AF103" i="22"/>
  <c r="AF39" i="22"/>
  <c r="AE103" i="22"/>
  <c r="AE39" i="22"/>
  <c r="AD103" i="22"/>
  <c r="AD39" i="22"/>
  <c r="AC103" i="22"/>
  <c r="AC39" i="22"/>
  <c r="AB103" i="22"/>
  <c r="AB39" i="22"/>
  <c r="AA103" i="22"/>
  <c r="Z103" i="22"/>
  <c r="X103" i="22"/>
  <c r="X39" i="22"/>
  <c r="W103" i="22"/>
  <c r="W39" i="22"/>
  <c r="V103" i="22"/>
  <c r="V39" i="22"/>
  <c r="U39" i="22"/>
  <c r="T39" i="22"/>
  <c r="S39" i="22"/>
  <c r="E4" i="23"/>
  <c r="E4" i="24"/>
  <c r="D259" i="24" l="1"/>
  <c r="F223" i="24"/>
  <c r="E259" i="24" s="1"/>
  <c r="AG81" i="23"/>
  <c r="F89" i="23"/>
  <c r="D100" i="23"/>
  <c r="E223" i="23"/>
  <c r="D259" i="23" s="1"/>
  <c r="AG81" i="24"/>
  <c r="K89" i="24"/>
  <c r="K90" i="24" s="1"/>
  <c r="AR238" i="25"/>
  <c r="N7" i="25"/>
  <c r="AX238" i="25"/>
  <c r="AA7" i="25"/>
  <c r="S7" i="27"/>
  <c r="Q7" i="27"/>
  <c r="AF82" i="27"/>
  <c r="W238" i="27"/>
  <c r="AE90" i="27"/>
  <c r="L90" i="28"/>
  <c r="X7" i="28"/>
  <c r="AW238" i="28"/>
  <c r="N82" i="28"/>
  <c r="U7" i="28"/>
  <c r="AG6" i="23"/>
  <c r="AH82" i="29"/>
  <c r="O223" i="32"/>
  <c r="M259" i="32"/>
  <c r="N100" i="32"/>
  <c r="N224" i="32"/>
  <c r="AG79" i="23"/>
  <c r="B224" i="24"/>
  <c r="B100" i="24"/>
  <c r="AK238" i="25"/>
  <c r="AF82" i="26"/>
  <c r="Z82" i="26"/>
  <c r="I82" i="27"/>
  <c r="AX238" i="27"/>
  <c r="H82" i="27"/>
  <c r="AB82" i="27"/>
  <c r="AB82" i="28"/>
  <c r="S82" i="28"/>
  <c r="Q82" i="28"/>
  <c r="N259" i="33"/>
  <c r="P223" i="33"/>
  <c r="O259" i="33" s="1"/>
  <c r="AG79" i="24"/>
  <c r="E89" i="24"/>
  <c r="M89" i="24"/>
  <c r="AC89" i="24"/>
  <c r="C259" i="24"/>
  <c r="S7" i="25"/>
  <c r="AA238" i="27"/>
  <c r="AT238" i="28"/>
  <c r="D259" i="25"/>
  <c r="F223" i="25"/>
  <c r="D224" i="23"/>
  <c r="B89" i="23"/>
  <c r="E224" i="25"/>
  <c r="W7" i="25"/>
  <c r="AE82" i="26"/>
  <c r="V82" i="26"/>
  <c r="AM238" i="26"/>
  <c r="AA82" i="27"/>
  <c r="X82" i="27"/>
  <c r="O82" i="27"/>
  <c r="X238" i="27"/>
  <c r="AC82" i="28"/>
  <c r="R90" i="23"/>
  <c r="R89" i="23"/>
  <c r="AG2" i="24"/>
  <c r="AG6" i="24" s="1"/>
  <c r="W82" i="25"/>
  <c r="AB7" i="26"/>
  <c r="AS238" i="27"/>
  <c r="AP238" i="27"/>
  <c r="O7" i="28"/>
  <c r="AU238" i="28"/>
  <c r="K89" i="23"/>
  <c r="P82" i="25"/>
  <c r="AB82" i="25"/>
  <c r="AT238" i="26"/>
  <c r="S82" i="26"/>
  <c r="AJ238" i="26"/>
  <c r="G82" i="27"/>
  <c r="T7" i="27"/>
  <c r="O82" i="28"/>
  <c r="V82" i="28"/>
  <c r="D259" i="27"/>
  <c r="F223" i="27"/>
  <c r="L89" i="23"/>
  <c r="D100" i="24"/>
  <c r="D224" i="24"/>
  <c r="Y82" i="26"/>
  <c r="W82" i="26"/>
  <c r="J82" i="27"/>
  <c r="M82" i="27"/>
  <c r="Y82" i="28"/>
  <c r="E100" i="27"/>
  <c r="F218" i="27"/>
  <c r="O259" i="35"/>
  <c r="P100" i="35"/>
  <c r="P224" i="35"/>
  <c r="O259" i="34"/>
  <c r="P100" i="34"/>
  <c r="P224" i="34"/>
  <c r="O218" i="33"/>
  <c r="N224" i="33"/>
  <c r="N100" i="33"/>
  <c r="K6" i="31"/>
  <c r="F259" i="31"/>
  <c r="H223" i="31"/>
  <c r="H218" i="31"/>
  <c r="G100" i="31"/>
  <c r="G224" i="31"/>
  <c r="B7" i="31"/>
  <c r="A7" i="31" s="1"/>
  <c r="T238" i="31"/>
  <c r="B82" i="31"/>
  <c r="AI81" i="31"/>
  <c r="AH81" i="31"/>
  <c r="F7" i="29"/>
  <c r="AH81" i="29"/>
  <c r="AI90" i="30"/>
  <c r="K6" i="30"/>
  <c r="A7" i="30"/>
  <c r="F259" i="30"/>
  <c r="H223" i="30"/>
  <c r="AI82" i="30"/>
  <c r="AH82" i="30"/>
  <c r="G218" i="30"/>
  <c r="F100" i="30"/>
  <c r="F224" i="30"/>
  <c r="K6" i="29"/>
  <c r="F259" i="29"/>
  <c r="H223" i="29"/>
  <c r="G100" i="29"/>
  <c r="G224" i="29"/>
  <c r="J218" i="29"/>
  <c r="B7" i="29"/>
  <c r="T238" i="29"/>
  <c r="B82" i="29"/>
  <c r="AI81" i="29"/>
  <c r="P7" i="28"/>
  <c r="T82" i="28"/>
  <c r="AL238" i="28"/>
  <c r="M82" i="28"/>
  <c r="AE238" i="28"/>
  <c r="K82" i="28"/>
  <c r="AC238" i="28"/>
  <c r="J82" i="28"/>
  <c r="AB238" i="28"/>
  <c r="I82" i="28"/>
  <c r="H82" i="28"/>
  <c r="C233" i="28"/>
  <c r="Z238" i="28"/>
  <c r="G7" i="28"/>
  <c r="G82" i="28"/>
  <c r="B233" i="28"/>
  <c r="F82" i="28"/>
  <c r="X238" i="28"/>
  <c r="E82" i="28"/>
  <c r="W238" i="28"/>
  <c r="V238" i="28"/>
  <c r="D82" i="28"/>
  <c r="C82" i="28"/>
  <c r="AH79" i="28"/>
  <c r="U238" i="28"/>
  <c r="AI79" i="28"/>
  <c r="AI89" i="28"/>
  <c r="AH89" i="28"/>
  <c r="G218" i="28"/>
  <c r="F100" i="28"/>
  <c r="F224" i="28"/>
  <c r="B7" i="28"/>
  <c r="T238" i="28"/>
  <c r="B82" i="28"/>
  <c r="AI81" i="28"/>
  <c r="AH81" i="28"/>
  <c r="E259" i="28"/>
  <c r="G223" i="28"/>
  <c r="AI90" i="28"/>
  <c r="AH90" i="28"/>
  <c r="AC82" i="27"/>
  <c r="AU238" i="27"/>
  <c r="AE238" i="27"/>
  <c r="B233" i="27"/>
  <c r="M7" i="27"/>
  <c r="C233" i="27"/>
  <c r="K82" i="27"/>
  <c r="Y238" i="27"/>
  <c r="E7" i="27"/>
  <c r="D7" i="27"/>
  <c r="D82" i="27"/>
  <c r="C82" i="27"/>
  <c r="U238" i="27"/>
  <c r="AI79" i="27"/>
  <c r="AH79" i="27"/>
  <c r="AI89" i="27"/>
  <c r="AH89" i="27"/>
  <c r="B7" i="27"/>
  <c r="AJ7" i="27" s="1"/>
  <c r="T238" i="27"/>
  <c r="AI81" i="27"/>
  <c r="AH81" i="27"/>
  <c r="AG238" i="26"/>
  <c r="O82" i="26"/>
  <c r="N82" i="26"/>
  <c r="M82" i="26"/>
  <c r="AE238" i="26"/>
  <c r="M7" i="26"/>
  <c r="L82" i="26"/>
  <c r="L7" i="26"/>
  <c r="AD238" i="26"/>
  <c r="K7" i="26"/>
  <c r="AC238" i="26"/>
  <c r="J82" i="26"/>
  <c r="AB238" i="26"/>
  <c r="J7" i="26"/>
  <c r="I82" i="26"/>
  <c r="AA238" i="26"/>
  <c r="H82" i="26"/>
  <c r="Z238" i="26"/>
  <c r="B233" i="26"/>
  <c r="C233" i="26"/>
  <c r="G82" i="26"/>
  <c r="Y238" i="26"/>
  <c r="F82" i="26"/>
  <c r="X238" i="26"/>
  <c r="D7" i="26"/>
  <c r="W238" i="26"/>
  <c r="E82" i="26"/>
  <c r="D82" i="26"/>
  <c r="C7" i="26"/>
  <c r="C82" i="26"/>
  <c r="AI79" i="26"/>
  <c r="AH79" i="26"/>
  <c r="B81" i="26"/>
  <c r="B90" i="26"/>
  <c r="AI89" i="26"/>
  <c r="AH89" i="26"/>
  <c r="G100" i="26"/>
  <c r="H218" i="26"/>
  <c r="G224" i="26"/>
  <c r="H259" i="26"/>
  <c r="J223" i="26"/>
  <c r="V7" i="25"/>
  <c r="U82" i="25"/>
  <c r="AM238" i="25"/>
  <c r="J82" i="25"/>
  <c r="AB238" i="25"/>
  <c r="K82" i="25"/>
  <c r="B233" i="25"/>
  <c r="G7" i="25"/>
  <c r="G82" i="25"/>
  <c r="AH89" i="25"/>
  <c r="AI89" i="25"/>
  <c r="F82" i="25"/>
  <c r="X238" i="25"/>
  <c r="E82" i="25"/>
  <c r="W238" i="25"/>
  <c r="C82" i="25"/>
  <c r="C7" i="25"/>
  <c r="D7" i="25"/>
  <c r="V238" i="25"/>
  <c r="D82" i="25"/>
  <c r="AI90" i="25"/>
  <c r="AH90" i="25"/>
  <c r="H218" i="25"/>
  <c r="T238" i="25"/>
  <c r="AI81" i="25"/>
  <c r="AH81" i="25"/>
  <c r="B7" i="25"/>
  <c r="AI79" i="25"/>
  <c r="Y7" i="25"/>
  <c r="AQ238" i="25"/>
  <c r="AH79" i="25"/>
  <c r="Q7" i="25"/>
  <c r="AI238" i="25"/>
  <c r="Q82" i="25"/>
  <c r="AL238" i="25"/>
  <c r="T7" i="25"/>
  <c r="T82" i="25"/>
  <c r="I7" i="25"/>
  <c r="AA238" i="25"/>
  <c r="I82" i="25"/>
  <c r="C233" i="25"/>
  <c r="AD238" i="25"/>
  <c r="L82" i="25"/>
  <c r="L7" i="25"/>
  <c r="AF89" i="24"/>
  <c r="AF90" i="24" s="1"/>
  <c r="AF79" i="24"/>
  <c r="AF81" i="24" s="1"/>
  <c r="AF7" i="24" s="1"/>
  <c r="AE89" i="24"/>
  <c r="AE90" i="24" s="1"/>
  <c r="AE79" i="24"/>
  <c r="AE81" i="24" s="1"/>
  <c r="AE7" i="24" s="1"/>
  <c r="AD89" i="24"/>
  <c r="AD90" i="24" s="1"/>
  <c r="AI62" i="24"/>
  <c r="AC90" i="24"/>
  <c r="AC79" i="24"/>
  <c r="AC81" i="24" s="1"/>
  <c r="AU238" i="24" s="1"/>
  <c r="AB79" i="24"/>
  <c r="AB81" i="24" s="1"/>
  <c r="AB7" i="24" s="1"/>
  <c r="AB89" i="24"/>
  <c r="AB90" i="24" s="1"/>
  <c r="AA89" i="24"/>
  <c r="AA90" i="24" s="1"/>
  <c r="Z5" i="24"/>
  <c r="AA79" i="24"/>
  <c r="AA81" i="24" s="1"/>
  <c r="Z89" i="24"/>
  <c r="Z79" i="24"/>
  <c r="Z81" i="24" s="1"/>
  <c r="AR238" i="24" s="1"/>
  <c r="Y89" i="24"/>
  <c r="Y79" i="24"/>
  <c r="Y81" i="24" s="1"/>
  <c r="AQ238" i="24" s="1"/>
  <c r="X89" i="24"/>
  <c r="X90" i="24" s="1"/>
  <c r="X79" i="24"/>
  <c r="X81" i="24" s="1"/>
  <c r="X7" i="24" s="1"/>
  <c r="W90" i="24"/>
  <c r="W79" i="24"/>
  <c r="W81" i="24" s="1"/>
  <c r="AO238" i="24" s="1"/>
  <c r="V89" i="24"/>
  <c r="V90" i="24" s="1"/>
  <c r="V79" i="24"/>
  <c r="V81" i="24" s="1"/>
  <c r="AN238" i="24" s="1"/>
  <c r="U89" i="24"/>
  <c r="U90" i="24" s="1"/>
  <c r="T5" i="24"/>
  <c r="U79" i="24"/>
  <c r="U81" i="24" s="1"/>
  <c r="U7" i="24" s="1"/>
  <c r="T79" i="24"/>
  <c r="T81" i="24" s="1"/>
  <c r="T7" i="24" s="1"/>
  <c r="T89" i="24"/>
  <c r="T90" i="24" s="1"/>
  <c r="S89" i="24"/>
  <c r="S90" i="24" s="1"/>
  <c r="R5" i="24"/>
  <c r="S79" i="24"/>
  <c r="S81" i="24" s="1"/>
  <c r="AK238" i="24" s="1"/>
  <c r="R89" i="24"/>
  <c r="R79" i="24"/>
  <c r="R81" i="24" s="1"/>
  <c r="AJ238" i="24" s="1"/>
  <c r="Q89" i="24"/>
  <c r="Q79" i="24"/>
  <c r="Q81" i="24" s="1"/>
  <c r="Q7" i="24" s="1"/>
  <c r="P89" i="24"/>
  <c r="P90" i="24" s="1"/>
  <c r="P79" i="24"/>
  <c r="P81" i="24" s="1"/>
  <c r="O89" i="24"/>
  <c r="O90" i="24" s="1"/>
  <c r="N5" i="24"/>
  <c r="O79" i="24"/>
  <c r="O81" i="24" s="1"/>
  <c r="AG238" i="24" s="1"/>
  <c r="N89" i="24"/>
  <c r="N90" i="24" s="1"/>
  <c r="N79" i="24"/>
  <c r="N81" i="24" s="1"/>
  <c r="AF238" i="24" s="1"/>
  <c r="M5" i="24"/>
  <c r="M90" i="24"/>
  <c r="M79" i="24"/>
  <c r="M81" i="24" s="1"/>
  <c r="M7" i="24" s="1"/>
  <c r="L79" i="24"/>
  <c r="L81" i="24" s="1"/>
  <c r="L82" i="24" s="1"/>
  <c r="L89" i="24"/>
  <c r="L90" i="24" s="1"/>
  <c r="J5" i="24"/>
  <c r="K79" i="24"/>
  <c r="K81" i="24" s="1"/>
  <c r="AC238" i="24" s="1"/>
  <c r="J79" i="24"/>
  <c r="J81" i="24" s="1"/>
  <c r="J7" i="24" s="1"/>
  <c r="J89" i="24"/>
  <c r="J90" i="24" s="1"/>
  <c r="I89" i="24"/>
  <c r="I90" i="24" s="1"/>
  <c r="I79" i="24"/>
  <c r="I81" i="24" s="1"/>
  <c r="H89" i="24"/>
  <c r="H90" i="24" s="1"/>
  <c r="H79" i="24"/>
  <c r="H81" i="24" s="1"/>
  <c r="H7" i="24" s="1"/>
  <c r="F5" i="24"/>
  <c r="G89" i="24"/>
  <c r="G90" i="24" s="1"/>
  <c r="G79" i="24"/>
  <c r="G81" i="24" s="1"/>
  <c r="Y238" i="24" s="1"/>
  <c r="F89" i="24"/>
  <c r="F90" i="24" s="1"/>
  <c r="AI84" i="24"/>
  <c r="E5" i="24"/>
  <c r="F79" i="24"/>
  <c r="F81" i="24" s="1"/>
  <c r="X238" i="24" s="1"/>
  <c r="AI85" i="24"/>
  <c r="AI83" i="24"/>
  <c r="E90" i="24"/>
  <c r="D5" i="24"/>
  <c r="AI87" i="24"/>
  <c r="E79" i="24"/>
  <c r="E81" i="24" s="1"/>
  <c r="E7" i="24" s="1"/>
  <c r="D90" i="24"/>
  <c r="D79" i="24"/>
  <c r="D81" i="24" s="1"/>
  <c r="V238" i="24" s="1"/>
  <c r="AI86" i="24"/>
  <c r="B5" i="24"/>
  <c r="C7" i="24"/>
  <c r="AI58" i="24"/>
  <c r="AH44" i="24"/>
  <c r="AI40" i="24"/>
  <c r="AI44" i="24"/>
  <c r="H4" i="24"/>
  <c r="I7" i="24"/>
  <c r="AA238" i="24"/>
  <c r="I82" i="24"/>
  <c r="Z7" i="24"/>
  <c r="S7" i="24"/>
  <c r="L7" i="24"/>
  <c r="AD238" i="24"/>
  <c r="Q90" i="24"/>
  <c r="Y90" i="24"/>
  <c r="N7" i="24"/>
  <c r="V7" i="24"/>
  <c r="AD7" i="24"/>
  <c r="AV238" i="24"/>
  <c r="AD82" i="24"/>
  <c r="R90" i="24"/>
  <c r="Z90" i="24"/>
  <c r="F218" i="24"/>
  <c r="E100" i="24"/>
  <c r="E224" i="24"/>
  <c r="D235" i="24"/>
  <c r="AH58" i="24"/>
  <c r="AH62" i="24"/>
  <c r="AH74" i="24"/>
  <c r="AI74" i="24"/>
  <c r="AH83" i="24"/>
  <c r="AH84" i="24"/>
  <c r="G223" i="24"/>
  <c r="AH40" i="24"/>
  <c r="AH85" i="24"/>
  <c r="AH86" i="24"/>
  <c r="AH87" i="24"/>
  <c r="AF90" i="23"/>
  <c r="AF79" i="23"/>
  <c r="AF81" i="23" s="1"/>
  <c r="AF7" i="23" s="1"/>
  <c r="AE89" i="23"/>
  <c r="AE90" i="23" s="1"/>
  <c r="AE79" i="23"/>
  <c r="AE81" i="23" s="1"/>
  <c r="AD89" i="23"/>
  <c r="AD90" i="23" s="1"/>
  <c r="AD79" i="23"/>
  <c r="AD81" i="23" s="1"/>
  <c r="AC79" i="23"/>
  <c r="AC81" i="23" s="1"/>
  <c r="AB89" i="23"/>
  <c r="AB82" i="23" s="1"/>
  <c r="AB79" i="23"/>
  <c r="AB81" i="23" s="1"/>
  <c r="AB7" i="23" s="1"/>
  <c r="AA89" i="23"/>
  <c r="AA90" i="23" s="1"/>
  <c r="AA79" i="23"/>
  <c r="AA81" i="23" s="1"/>
  <c r="Z89" i="23"/>
  <c r="Z90" i="23" s="1"/>
  <c r="Y5" i="23"/>
  <c r="Z79" i="23"/>
  <c r="Z81" i="23" s="1"/>
  <c r="Y89" i="23"/>
  <c r="Y90" i="23" s="1"/>
  <c r="Y79" i="23"/>
  <c r="Y81" i="23" s="1"/>
  <c r="Y7" i="23" s="1"/>
  <c r="X89" i="23"/>
  <c r="X82" i="23" s="1"/>
  <c r="X90" i="23"/>
  <c r="X5" i="23"/>
  <c r="X79" i="23"/>
  <c r="X81" i="23" s="1"/>
  <c r="W89" i="23"/>
  <c r="W79" i="23"/>
  <c r="W81" i="23" s="1"/>
  <c r="V89" i="23"/>
  <c r="V90" i="23" s="1"/>
  <c r="U5" i="23"/>
  <c r="V79" i="23"/>
  <c r="V81" i="23" s="1"/>
  <c r="V7" i="23" s="1"/>
  <c r="U89" i="23"/>
  <c r="U82" i="23" s="1"/>
  <c r="U79" i="23"/>
  <c r="U81" i="23" s="1"/>
  <c r="T89" i="23"/>
  <c r="T82" i="23" s="1"/>
  <c r="T79" i="23"/>
  <c r="T81" i="23" s="1"/>
  <c r="AH39" i="23"/>
  <c r="S89" i="23"/>
  <c r="AI85" i="23"/>
  <c r="S79" i="23"/>
  <c r="S81" i="23" s="1"/>
  <c r="S7" i="23" s="1"/>
  <c r="Q5" i="23"/>
  <c r="R79" i="23"/>
  <c r="R81" i="23" s="1"/>
  <c r="Q89" i="23"/>
  <c r="Q90" i="23" s="1"/>
  <c r="Q79" i="23"/>
  <c r="Q81" i="23" s="1"/>
  <c r="O5" i="23"/>
  <c r="P89" i="23"/>
  <c r="P90" i="23" s="1"/>
  <c r="P79" i="23"/>
  <c r="P81" i="23" s="1"/>
  <c r="P7" i="23" s="1"/>
  <c r="O89" i="23"/>
  <c r="O90" i="23" s="1"/>
  <c r="O79" i="23"/>
  <c r="O81" i="23" s="1"/>
  <c r="O82" i="23" s="1"/>
  <c r="N79" i="23"/>
  <c r="N81" i="23" s="1"/>
  <c r="N89" i="23"/>
  <c r="N90" i="23" s="1"/>
  <c r="M89" i="23"/>
  <c r="M79" i="23"/>
  <c r="M81" i="23" s="1"/>
  <c r="AH44" i="23"/>
  <c r="L79" i="23"/>
  <c r="L81" i="23" s="1"/>
  <c r="L7" i="23" s="1"/>
  <c r="AI83" i="23"/>
  <c r="K79" i="23"/>
  <c r="K81" i="23" s="1"/>
  <c r="AC238" i="23" s="1"/>
  <c r="J89" i="23"/>
  <c r="J90" i="23" s="1"/>
  <c r="J79" i="23"/>
  <c r="J81" i="23" s="1"/>
  <c r="J82" i="23" s="1"/>
  <c r="G79" i="23"/>
  <c r="G81" i="23" s="1"/>
  <c r="G7" i="23" s="1"/>
  <c r="AI87" i="23"/>
  <c r="I89" i="23"/>
  <c r="I90" i="23" s="1"/>
  <c r="G89" i="23"/>
  <c r="G82" i="23" s="1"/>
  <c r="H5" i="23"/>
  <c r="H89" i="23"/>
  <c r="H90" i="23" s="1"/>
  <c r="G5" i="23"/>
  <c r="I79" i="23"/>
  <c r="I81" i="23" s="1"/>
  <c r="I7" i="23" s="1"/>
  <c r="H79" i="23"/>
  <c r="H81" i="23" s="1"/>
  <c r="Z238" i="23" s="1"/>
  <c r="F90" i="23"/>
  <c r="AI84" i="23"/>
  <c r="E5" i="23"/>
  <c r="E89" i="23"/>
  <c r="E90" i="23" s="1"/>
  <c r="AH87" i="23"/>
  <c r="F79" i="23"/>
  <c r="F81" i="23" s="1"/>
  <c r="F82" i="23" s="1"/>
  <c r="AI44" i="23"/>
  <c r="E79" i="23"/>
  <c r="E81" i="23" s="1"/>
  <c r="W238" i="23" s="1"/>
  <c r="AI86" i="23"/>
  <c r="D89" i="23"/>
  <c r="AH84" i="23"/>
  <c r="D79" i="23"/>
  <c r="D81" i="23" s="1"/>
  <c r="D82" i="23" s="1"/>
  <c r="AI58" i="23"/>
  <c r="C89" i="23"/>
  <c r="AI62" i="23"/>
  <c r="C79" i="23"/>
  <c r="C81" i="23" s="1"/>
  <c r="C82" i="23" s="1"/>
  <c r="AI39" i="23"/>
  <c r="B79" i="23"/>
  <c r="B81" i="23" s="1"/>
  <c r="B82" i="23" s="1"/>
  <c r="B90" i="23"/>
  <c r="H4" i="23"/>
  <c r="N7" i="23"/>
  <c r="AF238" i="23"/>
  <c r="N82" i="23"/>
  <c r="J7" i="23"/>
  <c r="R7" i="23"/>
  <c r="AJ238" i="23"/>
  <c r="R82" i="23"/>
  <c r="Z7" i="23"/>
  <c r="AR238" i="23"/>
  <c r="Z82" i="23"/>
  <c r="T7" i="23"/>
  <c r="AL238" i="23"/>
  <c r="AD7" i="23"/>
  <c r="AV238" i="23"/>
  <c r="AD82" i="23"/>
  <c r="K7" i="23"/>
  <c r="AA7" i="23"/>
  <c r="AS238" i="23"/>
  <c r="AA82" i="23"/>
  <c r="W90" i="23"/>
  <c r="AT238" i="23"/>
  <c r="U7" i="23"/>
  <c r="AM238" i="23"/>
  <c r="AC7" i="23"/>
  <c r="AU238" i="23"/>
  <c r="AC82" i="23"/>
  <c r="X238" i="23"/>
  <c r="Y238" i="23"/>
  <c r="AO238" i="23"/>
  <c r="W82" i="23"/>
  <c r="W7" i="23"/>
  <c r="AW238" i="23"/>
  <c r="AE82" i="23"/>
  <c r="AE7" i="23"/>
  <c r="C90" i="23"/>
  <c r="K90" i="23"/>
  <c r="S90" i="23"/>
  <c r="V82" i="23"/>
  <c r="X7" i="23"/>
  <c r="AP238" i="23"/>
  <c r="AX238" i="23"/>
  <c r="AF82" i="23"/>
  <c r="D90" i="23"/>
  <c r="L90" i="23"/>
  <c r="T90" i="23"/>
  <c r="Q7" i="23"/>
  <c r="AI238" i="23"/>
  <c r="Q82" i="23"/>
  <c r="M90" i="23"/>
  <c r="AC90" i="23"/>
  <c r="D235" i="23"/>
  <c r="AH58" i="23"/>
  <c r="AH62" i="23"/>
  <c r="AH74" i="23"/>
  <c r="AI74" i="23"/>
  <c r="AH83" i="23"/>
  <c r="F223" i="23"/>
  <c r="E218" i="23"/>
  <c r="AH40" i="23"/>
  <c r="AH85" i="23"/>
  <c r="AI40" i="23"/>
  <c r="AH86" i="23"/>
  <c r="B224" i="23"/>
  <c r="R103" i="22"/>
  <c r="R39" i="22"/>
  <c r="Q103" i="22"/>
  <c r="AL13" i="22"/>
  <c r="L39" i="22"/>
  <c r="K62" i="22"/>
  <c r="K39" i="22"/>
  <c r="I39" i="22"/>
  <c r="H39" i="22"/>
  <c r="G39" i="22"/>
  <c r="F39" i="22"/>
  <c r="E103" i="22"/>
  <c r="AI103" i="22" s="1"/>
  <c r="E39" i="22"/>
  <c r="D103" i="22"/>
  <c r="AH103" i="22" s="1"/>
  <c r="D39" i="22"/>
  <c r="C103" i="22"/>
  <c r="C39" i="22"/>
  <c r="B103" i="22"/>
  <c r="AF263" i="22"/>
  <c r="AE263" i="22"/>
  <c r="AD263" i="22"/>
  <c r="AC263" i="22"/>
  <c r="AB263" i="22"/>
  <c r="AA263" i="22"/>
  <c r="Z263" i="22"/>
  <c r="Y263" i="22"/>
  <c r="X263" i="22"/>
  <c r="W263" i="22"/>
  <c r="V263" i="22"/>
  <c r="U263" i="22"/>
  <c r="T263" i="22"/>
  <c r="S263" i="22"/>
  <c r="R263" i="22"/>
  <c r="Q263" i="22"/>
  <c r="P263" i="22"/>
  <c r="O263" i="22"/>
  <c r="N263" i="22"/>
  <c r="M263" i="22"/>
  <c r="L263" i="22"/>
  <c r="K263" i="22"/>
  <c r="J263" i="22"/>
  <c r="I263" i="22"/>
  <c r="H263" i="22"/>
  <c r="G263" i="22"/>
  <c r="F263" i="22"/>
  <c r="E263" i="22"/>
  <c r="D263" i="22"/>
  <c r="C263" i="22"/>
  <c r="B263" i="22"/>
  <c r="A263" i="22"/>
  <c r="AF262" i="22"/>
  <c r="AE262" i="22"/>
  <c r="AD262" i="22"/>
  <c r="AC262" i="22"/>
  <c r="AB262" i="22"/>
  <c r="AA262" i="22"/>
  <c r="Z262" i="22"/>
  <c r="Y262" i="22"/>
  <c r="X262" i="22"/>
  <c r="W262" i="22"/>
  <c r="V262" i="22"/>
  <c r="U262" i="22"/>
  <c r="T262" i="22"/>
  <c r="S262" i="22"/>
  <c r="R262" i="22"/>
  <c r="Q262" i="22"/>
  <c r="P262" i="22"/>
  <c r="O262" i="22"/>
  <c r="N262" i="22"/>
  <c r="M262" i="22"/>
  <c r="L262" i="22"/>
  <c r="K262" i="22"/>
  <c r="J262" i="22"/>
  <c r="I262" i="22"/>
  <c r="H262" i="22"/>
  <c r="G262" i="22"/>
  <c r="F262" i="22"/>
  <c r="E262" i="22"/>
  <c r="D262" i="22"/>
  <c r="C262" i="22"/>
  <c r="B262" i="22"/>
  <c r="A262" i="22"/>
  <c r="AF261" i="22"/>
  <c r="AE261" i="22"/>
  <c r="AD261" i="22"/>
  <c r="AC261" i="22"/>
  <c r="AB261" i="22"/>
  <c r="AA261" i="22"/>
  <c r="Z261" i="22"/>
  <c r="Y261" i="22"/>
  <c r="X261" i="22"/>
  <c r="W261" i="22"/>
  <c r="V261" i="22"/>
  <c r="U261" i="22"/>
  <c r="T261" i="22"/>
  <c r="S261" i="22"/>
  <c r="R261" i="22"/>
  <c r="Q261" i="22"/>
  <c r="P261" i="22"/>
  <c r="O261" i="22"/>
  <c r="N261" i="22"/>
  <c r="M261" i="22"/>
  <c r="L261" i="22"/>
  <c r="K261" i="22"/>
  <c r="J261" i="22"/>
  <c r="I261" i="22"/>
  <c r="H261" i="22"/>
  <c r="G261" i="22"/>
  <c r="F261" i="22"/>
  <c r="E261" i="22"/>
  <c r="D261" i="22"/>
  <c r="C261" i="22"/>
  <c r="B261" i="22"/>
  <c r="A261" i="22"/>
  <c r="AF260" i="22"/>
  <c r="AE260" i="22"/>
  <c r="AD260" i="22"/>
  <c r="AC260" i="22"/>
  <c r="AB260" i="22"/>
  <c r="AA260" i="22"/>
  <c r="Z260" i="22"/>
  <c r="Y260" i="22"/>
  <c r="X260" i="22"/>
  <c r="W260" i="22"/>
  <c r="V260" i="22"/>
  <c r="U260" i="22"/>
  <c r="T260" i="22"/>
  <c r="S260" i="22"/>
  <c r="R260" i="22"/>
  <c r="Q260" i="22"/>
  <c r="P260" i="22"/>
  <c r="O260" i="22"/>
  <c r="N260" i="22"/>
  <c r="M260" i="22"/>
  <c r="L260" i="22"/>
  <c r="K260" i="22"/>
  <c r="J260" i="22"/>
  <c r="I260" i="22"/>
  <c r="H260" i="22"/>
  <c r="G260" i="22"/>
  <c r="F260" i="22"/>
  <c r="E260" i="22"/>
  <c r="D260" i="22"/>
  <c r="C260" i="22"/>
  <c r="B260" i="22"/>
  <c r="A260" i="22"/>
  <c r="AE259" i="22"/>
  <c r="AD259" i="22"/>
  <c r="AC259" i="22"/>
  <c r="AB259" i="22"/>
  <c r="AA259" i="22"/>
  <c r="Z259" i="22"/>
  <c r="Y259" i="22"/>
  <c r="X259" i="22"/>
  <c r="W259" i="22"/>
  <c r="V259" i="22"/>
  <c r="U259" i="22"/>
  <c r="T259" i="22"/>
  <c r="S259" i="22"/>
  <c r="R259" i="22"/>
  <c r="Q259" i="22"/>
  <c r="P259" i="22"/>
  <c r="B259" i="22"/>
  <c r="S234" i="22"/>
  <c r="AG224" i="22"/>
  <c r="AF224" i="22"/>
  <c r="AE224" i="22"/>
  <c r="AD224" i="22"/>
  <c r="AC224" i="22"/>
  <c r="AB224" i="22"/>
  <c r="AA224" i="22"/>
  <c r="Z224" i="22"/>
  <c r="Y224" i="22"/>
  <c r="X224" i="22"/>
  <c r="W224" i="22"/>
  <c r="V224" i="22"/>
  <c r="U224" i="22"/>
  <c r="T224" i="22"/>
  <c r="S224" i="22"/>
  <c r="R224" i="22"/>
  <c r="Q224" i="22"/>
  <c r="C224" i="22"/>
  <c r="D223" i="22"/>
  <c r="C259" i="22" s="1"/>
  <c r="B223" i="22"/>
  <c r="AF259" i="22" s="1"/>
  <c r="D222" i="22"/>
  <c r="E222" i="22" s="1"/>
  <c r="F222" i="22" s="1"/>
  <c r="G222" i="22" s="1"/>
  <c r="H222" i="22" s="1"/>
  <c r="I222" i="22" s="1"/>
  <c r="J222" i="22" s="1"/>
  <c r="K222" i="22" s="1"/>
  <c r="L222" i="22" s="1"/>
  <c r="M222" i="22" s="1"/>
  <c r="N222" i="22" s="1"/>
  <c r="O222" i="22" s="1"/>
  <c r="P222" i="22" s="1"/>
  <c r="B222" i="22"/>
  <c r="D221" i="22"/>
  <c r="E221" i="22" s="1"/>
  <c r="F221" i="22" s="1"/>
  <c r="G221" i="22" s="1"/>
  <c r="H221" i="22" s="1"/>
  <c r="I221" i="22" s="1"/>
  <c r="J221" i="22" s="1"/>
  <c r="K221" i="22" s="1"/>
  <c r="L221" i="22" s="1"/>
  <c r="M221" i="22" s="1"/>
  <c r="N221" i="22" s="1"/>
  <c r="O221" i="22" s="1"/>
  <c r="P221" i="22" s="1"/>
  <c r="B221" i="22"/>
  <c r="E220" i="22"/>
  <c r="F220" i="22" s="1"/>
  <c r="G220" i="22" s="1"/>
  <c r="H220" i="22" s="1"/>
  <c r="I220" i="22" s="1"/>
  <c r="J220" i="22" s="1"/>
  <c r="K220" i="22" s="1"/>
  <c r="L220" i="22" s="1"/>
  <c r="M220" i="22" s="1"/>
  <c r="N220" i="22" s="1"/>
  <c r="O220" i="22" s="1"/>
  <c r="P220" i="22" s="1"/>
  <c r="D220" i="22"/>
  <c r="B220" i="22"/>
  <c r="D219" i="22"/>
  <c r="B219" i="22"/>
  <c r="D218" i="22"/>
  <c r="E218" i="22" s="1"/>
  <c r="B218" i="22"/>
  <c r="B224" i="22" s="1"/>
  <c r="AG216" i="22"/>
  <c r="AF216" i="22"/>
  <c r="AE216" i="22"/>
  <c r="AD216" i="22"/>
  <c r="AC216" i="22"/>
  <c r="AB216" i="22"/>
  <c r="AA216" i="22"/>
  <c r="Z216" i="22"/>
  <c r="Y216" i="22"/>
  <c r="X216" i="22"/>
  <c r="W216" i="22"/>
  <c r="V216" i="22"/>
  <c r="U216" i="22"/>
  <c r="T216" i="22"/>
  <c r="S216" i="22"/>
  <c r="R216" i="22"/>
  <c r="Q216" i="22"/>
  <c r="P216" i="22"/>
  <c r="O216" i="22"/>
  <c r="N216" i="22"/>
  <c r="M216" i="22"/>
  <c r="L216" i="22"/>
  <c r="K216" i="22"/>
  <c r="J216" i="22"/>
  <c r="I216" i="22"/>
  <c r="H216" i="22"/>
  <c r="G216" i="22"/>
  <c r="F216" i="22"/>
  <c r="E216" i="22"/>
  <c r="D216" i="22"/>
  <c r="C216" i="22"/>
  <c r="B216" i="22"/>
  <c r="AI109" i="22"/>
  <c r="AH109" i="22"/>
  <c r="AI108" i="22"/>
  <c r="AH108" i="22"/>
  <c r="AI107" i="22"/>
  <c r="AH107" i="22"/>
  <c r="AI106" i="22"/>
  <c r="AH106" i="22"/>
  <c r="AI105" i="22"/>
  <c r="AH105" i="22"/>
  <c r="AI104" i="22"/>
  <c r="AH104" i="22"/>
  <c r="AI102" i="22"/>
  <c r="AH102" i="22"/>
  <c r="AI101" i="22"/>
  <c r="AH101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D100" i="22"/>
  <c r="C100" i="22"/>
  <c r="AI99" i="22"/>
  <c r="AH99" i="22"/>
  <c r="AI98" i="22"/>
  <c r="AH98" i="22"/>
  <c r="AI97" i="22"/>
  <c r="AH97" i="22"/>
  <c r="AI96" i="22"/>
  <c r="AH96" i="22"/>
  <c r="AI95" i="22"/>
  <c r="AH95" i="22"/>
  <c r="AI94" i="22"/>
  <c r="AH94" i="22"/>
  <c r="AI93" i="22"/>
  <c r="AH93" i="22"/>
  <c r="AI92" i="22"/>
  <c r="AH92" i="22"/>
  <c r="AI91" i="22"/>
  <c r="AH91" i="22"/>
  <c r="AI88" i="22"/>
  <c r="AH88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AI80" i="22"/>
  <c r="AH80" i="22"/>
  <c r="AI78" i="22"/>
  <c r="AH78" i="22"/>
  <c r="AG78" i="22"/>
  <c r="AI77" i="22"/>
  <c r="AH77" i="22"/>
  <c r="AI76" i="22"/>
  <c r="AH76" i="22"/>
  <c r="AI75" i="22"/>
  <c r="AH75" i="22"/>
  <c r="AG74" i="22"/>
  <c r="AF74" i="22"/>
  <c r="AE74" i="22"/>
  <c r="AD5" i="22" s="1"/>
  <c r="AD74" i="22"/>
  <c r="AC5" i="22" s="1"/>
  <c r="AC74" i="22"/>
  <c r="AB5" i="22" s="1"/>
  <c r="AB74" i="22"/>
  <c r="AA5" i="22" s="1"/>
  <c r="AA74" i="22"/>
  <c r="Z5" i="22" s="1"/>
  <c r="Z74" i="22"/>
  <c r="Y5" i="22" s="1"/>
  <c r="Y74" i="22"/>
  <c r="X5" i="22" s="1"/>
  <c r="X74" i="22"/>
  <c r="W5" i="22" s="1"/>
  <c r="W74" i="22"/>
  <c r="V5" i="22" s="1"/>
  <c r="V74" i="22"/>
  <c r="U5" i="22" s="1"/>
  <c r="U74" i="22"/>
  <c r="T5" i="22" s="1"/>
  <c r="T74" i="22"/>
  <c r="S5" i="22" s="1"/>
  <c r="S74" i="22"/>
  <c r="R74" i="22"/>
  <c r="Q74" i="22"/>
  <c r="P5" i="22" s="1"/>
  <c r="P74" i="22"/>
  <c r="O5" i="22" s="1"/>
  <c r="O74" i="22"/>
  <c r="N74" i="22"/>
  <c r="M5" i="22" s="1"/>
  <c r="M74" i="22"/>
  <c r="L5" i="22" s="1"/>
  <c r="L74" i="22"/>
  <c r="K5" i="22" s="1"/>
  <c r="K74" i="22"/>
  <c r="J74" i="22"/>
  <c r="I74" i="22"/>
  <c r="H5" i="22" s="1"/>
  <c r="H74" i="22"/>
  <c r="G5" i="22" s="1"/>
  <c r="G74" i="22"/>
  <c r="F5" i="22" s="1"/>
  <c r="F74" i="22"/>
  <c r="E5" i="22" s="1"/>
  <c r="E74" i="22"/>
  <c r="D5" i="22" s="1"/>
  <c r="D74" i="22"/>
  <c r="C5" i="22" s="1"/>
  <c r="C74" i="22"/>
  <c r="B74" i="22"/>
  <c r="AF5" i="22" s="1"/>
  <c r="AI73" i="22"/>
  <c r="AH73" i="22"/>
  <c r="AI72" i="22"/>
  <c r="AH72" i="22"/>
  <c r="AI71" i="22"/>
  <c r="AH71" i="22"/>
  <c r="AI70" i="22"/>
  <c r="AH70" i="22"/>
  <c r="AI69" i="22"/>
  <c r="AH69" i="22"/>
  <c r="AI68" i="22"/>
  <c r="AH68" i="22"/>
  <c r="AI67" i="22"/>
  <c r="AH67" i="22"/>
  <c r="AI66" i="22"/>
  <c r="AH66" i="22"/>
  <c r="AI65" i="22"/>
  <c r="AH65" i="22"/>
  <c r="AI64" i="22"/>
  <c r="AH64" i="22"/>
  <c r="AI63" i="22"/>
  <c r="AH63" i="22"/>
  <c r="AG62" i="22"/>
  <c r="AF62" i="22"/>
  <c r="AE62" i="22"/>
  <c r="AD62" i="22"/>
  <c r="AC62" i="22"/>
  <c r="AB62" i="22"/>
  <c r="AA62" i="22"/>
  <c r="Z62" i="22"/>
  <c r="Y62" i="22"/>
  <c r="X62" i="22"/>
  <c r="W62" i="22"/>
  <c r="V62" i="22"/>
  <c r="U62" i="22"/>
  <c r="T62" i="22"/>
  <c r="S62" i="22"/>
  <c r="R62" i="22"/>
  <c r="Q62" i="22"/>
  <c r="P62" i="22"/>
  <c r="O62" i="22"/>
  <c r="N62" i="22"/>
  <c r="M62" i="22"/>
  <c r="L62" i="22"/>
  <c r="J62" i="22"/>
  <c r="I62" i="22"/>
  <c r="H62" i="22"/>
  <c r="G62" i="22"/>
  <c r="F62" i="22"/>
  <c r="E62" i="22"/>
  <c r="D62" i="22"/>
  <c r="C62" i="22"/>
  <c r="B62" i="22"/>
  <c r="AI61" i="22"/>
  <c r="AH61" i="22"/>
  <c r="AI60" i="22"/>
  <c r="AH60" i="22"/>
  <c r="AI59" i="22"/>
  <c r="AH59" i="22"/>
  <c r="AF58" i="22"/>
  <c r="AE58" i="22"/>
  <c r="AD58" i="22"/>
  <c r="AC58" i="22"/>
  <c r="AB58" i="22"/>
  <c r="AA58" i="22"/>
  <c r="Z58" i="22"/>
  <c r="Y58" i="22"/>
  <c r="X58" i="22"/>
  <c r="W58" i="22"/>
  <c r="V58" i="22"/>
  <c r="U58" i="22"/>
  <c r="T58" i="22"/>
  <c r="S58" i="22"/>
  <c r="R58" i="22"/>
  <c r="Q58" i="22"/>
  <c r="P58" i="22"/>
  <c r="O58" i="22"/>
  <c r="N58" i="22"/>
  <c r="M58" i="22"/>
  <c r="L58" i="22"/>
  <c r="K58" i="22"/>
  <c r="J58" i="22"/>
  <c r="I58" i="22"/>
  <c r="H58" i="22"/>
  <c r="G58" i="22"/>
  <c r="F58" i="22"/>
  <c r="E58" i="22"/>
  <c r="D58" i="22"/>
  <c r="C58" i="22"/>
  <c r="B58" i="22"/>
  <c r="AI57" i="22"/>
  <c r="AH57" i="22"/>
  <c r="AG57" i="22"/>
  <c r="AG58" i="22" s="1"/>
  <c r="AG3" i="22" s="1"/>
  <c r="AI56" i="22"/>
  <c r="AH56" i="22"/>
  <c r="AI55" i="22"/>
  <c r="AH55" i="22"/>
  <c r="AI54" i="22"/>
  <c r="AH54" i="22"/>
  <c r="AI53" i="22"/>
  <c r="AH53" i="22"/>
  <c r="AI52" i="22"/>
  <c r="AH52" i="22"/>
  <c r="AI51" i="22"/>
  <c r="AH51" i="22"/>
  <c r="AI50" i="22"/>
  <c r="AH50" i="22"/>
  <c r="AI49" i="22"/>
  <c r="AH49" i="22"/>
  <c r="AI48" i="22"/>
  <c r="AH48" i="22"/>
  <c r="AI47" i="22"/>
  <c r="AH47" i="22"/>
  <c r="AI46" i="22"/>
  <c r="AH46" i="22"/>
  <c r="AI45" i="22"/>
  <c r="AH45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AI43" i="22"/>
  <c r="AH43" i="22"/>
  <c r="AI42" i="22"/>
  <c r="AH42" i="22"/>
  <c r="AI41" i="22"/>
  <c r="AH41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AI39" i="22"/>
  <c r="AH39" i="22"/>
  <c r="AI38" i="22"/>
  <c r="AH38" i="22"/>
  <c r="AI37" i="22"/>
  <c r="AH37" i="22"/>
  <c r="AI36" i="22"/>
  <c r="AH36" i="22"/>
  <c r="AI35" i="22"/>
  <c r="AH35" i="22"/>
  <c r="AI34" i="22"/>
  <c r="AH34" i="22"/>
  <c r="AI33" i="22"/>
  <c r="AH33" i="22"/>
  <c r="AI32" i="22"/>
  <c r="AH32" i="22"/>
  <c r="AI31" i="22"/>
  <c r="AH31" i="22"/>
  <c r="AI30" i="22"/>
  <c r="AH30" i="22"/>
  <c r="AI29" i="22"/>
  <c r="AH29" i="22"/>
  <c r="AI28" i="22"/>
  <c r="AH28" i="22"/>
  <c r="AI27" i="22"/>
  <c r="AH27" i="22"/>
  <c r="AI26" i="22"/>
  <c r="AH26" i="22"/>
  <c r="AI25" i="22"/>
  <c r="AH25" i="22"/>
  <c r="AI24" i="22"/>
  <c r="AH24" i="22"/>
  <c r="AI23" i="22"/>
  <c r="AH23" i="22"/>
  <c r="AI22" i="22"/>
  <c r="AH22" i="22"/>
  <c r="AI21" i="22"/>
  <c r="AH21" i="22"/>
  <c r="AI20" i="22"/>
  <c r="AH20" i="22"/>
  <c r="AI19" i="22"/>
  <c r="AH19" i="22"/>
  <c r="AI18" i="22"/>
  <c r="AH18" i="22"/>
  <c r="AI17" i="22"/>
  <c r="AH17" i="22"/>
  <c r="AI16" i="22"/>
  <c r="AH16" i="22"/>
  <c r="AI15" i="22"/>
  <c r="AH15" i="22"/>
  <c r="AI14" i="22"/>
  <c r="AH14" i="22"/>
  <c r="AI13" i="22"/>
  <c r="AH13" i="22"/>
  <c r="AI12" i="22"/>
  <c r="AH12" i="22"/>
  <c r="AI11" i="22"/>
  <c r="AH11" i="22"/>
  <c r="AE5" i="22"/>
  <c r="N5" i="22"/>
  <c r="AG4" i="22"/>
  <c r="K4" i="22"/>
  <c r="B4" i="22"/>
  <c r="S235" i="22" s="1"/>
  <c r="E4" i="22"/>
  <c r="AE89" i="22" l="1"/>
  <c r="AF89" i="22"/>
  <c r="AN238" i="23"/>
  <c r="S82" i="23"/>
  <c r="W7" i="24"/>
  <c r="AJ7" i="25"/>
  <c r="O79" i="22"/>
  <c r="O81" i="22" s="1"/>
  <c r="AG238" i="22" s="1"/>
  <c r="AE79" i="22"/>
  <c r="AE81" i="22" s="1"/>
  <c r="P89" i="22"/>
  <c r="U90" i="23"/>
  <c r="AK238" i="23"/>
  <c r="M82" i="23"/>
  <c r="AM238" i="24"/>
  <c r="K7" i="24"/>
  <c r="E259" i="27"/>
  <c r="G223" i="27"/>
  <c r="G218" i="27"/>
  <c r="F100" i="27"/>
  <c r="F224" i="27"/>
  <c r="I89" i="22"/>
  <c r="B100" i="22"/>
  <c r="D224" i="22"/>
  <c r="AB90" i="23"/>
  <c r="G223" i="25"/>
  <c r="E259" i="25"/>
  <c r="F100" i="25"/>
  <c r="F224" i="25"/>
  <c r="AG79" i="22"/>
  <c r="K82" i="23"/>
  <c r="R7" i="24"/>
  <c r="AA82" i="24"/>
  <c r="AG2" i="22"/>
  <c r="AG6" i="22" s="1"/>
  <c r="Y82" i="23"/>
  <c r="P82" i="23"/>
  <c r="AG238" i="23"/>
  <c r="G90" i="23"/>
  <c r="AT238" i="24"/>
  <c r="J82" i="24"/>
  <c r="AQ238" i="23"/>
  <c r="AH238" i="23"/>
  <c r="K6" i="27"/>
  <c r="AG81" i="22"/>
  <c r="N259" i="32"/>
  <c r="P223" i="32"/>
  <c r="O100" i="32"/>
  <c r="O224" i="32"/>
  <c r="AI100" i="35"/>
  <c r="AH100" i="35"/>
  <c r="AI100" i="34"/>
  <c r="AH100" i="34"/>
  <c r="P218" i="33"/>
  <c r="O100" i="33"/>
  <c r="O224" i="33"/>
  <c r="I218" i="31"/>
  <c r="H100" i="31"/>
  <c r="H224" i="31"/>
  <c r="AI82" i="31"/>
  <c r="AH82" i="31"/>
  <c r="G259" i="31"/>
  <c r="I223" i="31"/>
  <c r="A7" i="29"/>
  <c r="H218" i="30"/>
  <c r="G100" i="30"/>
  <c r="G224" i="30"/>
  <c r="G259" i="30"/>
  <c r="I223" i="30"/>
  <c r="AI82" i="29"/>
  <c r="G259" i="29"/>
  <c r="I223" i="29"/>
  <c r="H100" i="29"/>
  <c r="H224" i="29"/>
  <c r="K218" i="29"/>
  <c r="K6" i="28"/>
  <c r="A7" i="28"/>
  <c r="F259" i="28"/>
  <c r="H223" i="28"/>
  <c r="H218" i="28"/>
  <c r="G100" i="28"/>
  <c r="G224" i="28"/>
  <c r="AI82" i="28"/>
  <c r="AH82" i="28"/>
  <c r="A7" i="27"/>
  <c r="AI82" i="27"/>
  <c r="AH82" i="27"/>
  <c r="AI90" i="27"/>
  <c r="AH90" i="27"/>
  <c r="K6" i="26"/>
  <c r="AI90" i="26"/>
  <c r="AH90" i="26"/>
  <c r="K223" i="26"/>
  <c r="I259" i="26"/>
  <c r="B7" i="26"/>
  <c r="AJ7" i="26" s="1"/>
  <c r="T238" i="26"/>
  <c r="B82" i="26"/>
  <c r="AI81" i="26"/>
  <c r="AH81" i="26"/>
  <c r="I218" i="26"/>
  <c r="H100" i="26"/>
  <c r="H224" i="26"/>
  <c r="D7" i="24"/>
  <c r="K6" i="25"/>
  <c r="AI82" i="25"/>
  <c r="AH82" i="25"/>
  <c r="I218" i="25"/>
  <c r="A7" i="25"/>
  <c r="AF82" i="24"/>
  <c r="AX238" i="24"/>
  <c r="AE82" i="24"/>
  <c r="AW238" i="24"/>
  <c r="AC7" i="24"/>
  <c r="AC82" i="24"/>
  <c r="AB82" i="24"/>
  <c r="AS238" i="24"/>
  <c r="AA7" i="24"/>
  <c r="Z82" i="24"/>
  <c r="Y82" i="24"/>
  <c r="Y7" i="24"/>
  <c r="AP238" i="24"/>
  <c r="X82" i="24"/>
  <c r="W82" i="24"/>
  <c r="T82" i="24"/>
  <c r="AL238" i="24"/>
  <c r="V82" i="24"/>
  <c r="U82" i="24"/>
  <c r="S82" i="24"/>
  <c r="R82" i="24"/>
  <c r="AI238" i="24"/>
  <c r="Q82" i="24"/>
  <c r="P82" i="24"/>
  <c r="AH238" i="24"/>
  <c r="P7" i="24"/>
  <c r="AB238" i="24"/>
  <c r="Z238" i="24"/>
  <c r="O7" i="24"/>
  <c r="O82" i="24"/>
  <c r="N82" i="24"/>
  <c r="M82" i="24"/>
  <c r="AE238" i="24"/>
  <c r="K82" i="24"/>
  <c r="C233" i="24"/>
  <c r="H82" i="24"/>
  <c r="B233" i="24"/>
  <c r="F7" i="24"/>
  <c r="G7" i="24"/>
  <c r="G82" i="24"/>
  <c r="D82" i="24"/>
  <c r="F82" i="24"/>
  <c r="E82" i="24"/>
  <c r="W238" i="24"/>
  <c r="U238" i="24"/>
  <c r="AI79" i="24"/>
  <c r="AH79" i="24"/>
  <c r="AI90" i="24"/>
  <c r="AH90" i="24"/>
  <c r="F259" i="24"/>
  <c r="H223" i="24"/>
  <c r="AI89" i="24"/>
  <c r="AH89" i="24"/>
  <c r="G218" i="24"/>
  <c r="F100" i="24"/>
  <c r="F224" i="24"/>
  <c r="L82" i="23"/>
  <c r="AD238" i="23"/>
  <c r="O7" i="23"/>
  <c r="AB238" i="23"/>
  <c r="AE238" i="23"/>
  <c r="M7" i="23"/>
  <c r="H7" i="23"/>
  <c r="AA238" i="23"/>
  <c r="H82" i="23"/>
  <c r="C233" i="23"/>
  <c r="I82" i="23"/>
  <c r="B233" i="23"/>
  <c r="F7" i="23"/>
  <c r="E82" i="23"/>
  <c r="E7" i="23"/>
  <c r="V238" i="23"/>
  <c r="D7" i="23"/>
  <c r="C7" i="23"/>
  <c r="AH79" i="23"/>
  <c r="AI79" i="23"/>
  <c r="U238" i="23"/>
  <c r="F218" i="23"/>
  <c r="E100" i="23"/>
  <c r="E224" i="23"/>
  <c r="E259" i="23"/>
  <c r="G223" i="23"/>
  <c r="AI90" i="23"/>
  <c r="AH90" i="23"/>
  <c r="AI89" i="23"/>
  <c r="AH89" i="23"/>
  <c r="B7" i="23"/>
  <c r="T238" i="23"/>
  <c r="AI81" i="23"/>
  <c r="AH81" i="23"/>
  <c r="AF90" i="22"/>
  <c r="AF79" i="22"/>
  <c r="AF81" i="22" s="1"/>
  <c r="AE90" i="22"/>
  <c r="AD89" i="22"/>
  <c r="AD79" i="22"/>
  <c r="AD81" i="22" s="1"/>
  <c r="AV238" i="22" s="1"/>
  <c r="AC89" i="22"/>
  <c r="AC79" i="22"/>
  <c r="AC81" i="22" s="1"/>
  <c r="AC82" i="22" s="1"/>
  <c r="AB89" i="22"/>
  <c r="AB82" i="22" s="1"/>
  <c r="AB79" i="22"/>
  <c r="AB81" i="22" s="1"/>
  <c r="AT238" i="22" s="1"/>
  <c r="AA89" i="22"/>
  <c r="AA90" i="22" s="1"/>
  <c r="AA79" i="22"/>
  <c r="AA81" i="22" s="1"/>
  <c r="AA7" i="22" s="1"/>
  <c r="Z89" i="22"/>
  <c r="Z90" i="22" s="1"/>
  <c r="Z79" i="22"/>
  <c r="Z81" i="22" s="1"/>
  <c r="Z82" i="22" s="1"/>
  <c r="Y89" i="22"/>
  <c r="Y79" i="22"/>
  <c r="Y81" i="22" s="1"/>
  <c r="Y82" i="22" s="1"/>
  <c r="X89" i="22"/>
  <c r="X82" i="22" s="1"/>
  <c r="X79" i="22"/>
  <c r="X81" i="22" s="1"/>
  <c r="W89" i="22"/>
  <c r="W90" i="22" s="1"/>
  <c r="W79" i="22"/>
  <c r="W81" i="22" s="1"/>
  <c r="V89" i="22"/>
  <c r="V79" i="22"/>
  <c r="V81" i="22" s="1"/>
  <c r="U89" i="22"/>
  <c r="U90" i="22" s="1"/>
  <c r="U79" i="22"/>
  <c r="U81" i="22" s="1"/>
  <c r="U82" i="22" s="1"/>
  <c r="T89" i="22"/>
  <c r="T79" i="22"/>
  <c r="T81" i="22" s="1"/>
  <c r="S89" i="22"/>
  <c r="S90" i="22" s="1"/>
  <c r="R5" i="22"/>
  <c r="S79" i="22"/>
  <c r="S81" i="22" s="1"/>
  <c r="Q5" i="22"/>
  <c r="R89" i="22"/>
  <c r="R90" i="22" s="1"/>
  <c r="R79" i="22"/>
  <c r="R81" i="22" s="1"/>
  <c r="R7" i="22" s="1"/>
  <c r="Q79" i="22"/>
  <c r="Q81" i="22" s="1"/>
  <c r="Q89" i="22"/>
  <c r="P90" i="22"/>
  <c r="P79" i="22"/>
  <c r="P81" i="22" s="1"/>
  <c r="O89" i="22"/>
  <c r="O90" i="22" s="1"/>
  <c r="N89" i="22"/>
  <c r="N79" i="22"/>
  <c r="N81" i="22" s="1"/>
  <c r="N82" i="22" s="1"/>
  <c r="M89" i="22"/>
  <c r="M90" i="22" s="1"/>
  <c r="M79" i="22"/>
  <c r="M81" i="22" s="1"/>
  <c r="M7" i="22" s="1"/>
  <c r="L89" i="22"/>
  <c r="L79" i="22"/>
  <c r="L81" i="22" s="1"/>
  <c r="L7" i="22" s="1"/>
  <c r="K89" i="22"/>
  <c r="K90" i="22"/>
  <c r="J5" i="22"/>
  <c r="K79" i="22"/>
  <c r="K81" i="22" s="1"/>
  <c r="AC238" i="22" s="1"/>
  <c r="J89" i="22"/>
  <c r="J90" i="22" s="1"/>
  <c r="I5" i="22"/>
  <c r="J79" i="22"/>
  <c r="J81" i="22" s="1"/>
  <c r="I79" i="22"/>
  <c r="I81" i="22" s="1"/>
  <c r="I7" i="22" s="1"/>
  <c r="AI83" i="22"/>
  <c r="H89" i="22"/>
  <c r="H90" i="22" s="1"/>
  <c r="H79" i="22"/>
  <c r="H81" i="22" s="1"/>
  <c r="G89" i="22"/>
  <c r="G90" i="22"/>
  <c r="G79" i="22"/>
  <c r="G81" i="22" s="1"/>
  <c r="F89" i="22"/>
  <c r="F79" i="22"/>
  <c r="F81" i="22" s="1"/>
  <c r="X238" i="22" s="1"/>
  <c r="AI40" i="22"/>
  <c r="E89" i="22"/>
  <c r="E79" i="22"/>
  <c r="E81" i="22" s="1"/>
  <c r="E7" i="22" s="1"/>
  <c r="AI85" i="22"/>
  <c r="D89" i="22"/>
  <c r="D90" i="22" s="1"/>
  <c r="AI87" i="22"/>
  <c r="AI58" i="22"/>
  <c r="AI44" i="22"/>
  <c r="D79" i="22"/>
  <c r="D81" i="22" s="1"/>
  <c r="V238" i="22" s="1"/>
  <c r="AI86" i="22"/>
  <c r="AI84" i="22"/>
  <c r="C89" i="22"/>
  <c r="C90" i="22" s="1"/>
  <c r="B5" i="22"/>
  <c r="AI62" i="22"/>
  <c r="C79" i="22"/>
  <c r="C81" i="22" s="1"/>
  <c r="C7" i="22" s="1"/>
  <c r="H4" i="22"/>
  <c r="D7" i="22"/>
  <c r="AC7" i="22"/>
  <c r="F7" i="22"/>
  <c r="V7" i="22"/>
  <c r="AN238" i="22"/>
  <c r="V82" i="22"/>
  <c r="AD7" i="22"/>
  <c r="AD82" i="22"/>
  <c r="AE238" i="22"/>
  <c r="AW238" i="22"/>
  <c r="AE82" i="22"/>
  <c r="AE7" i="22"/>
  <c r="AP238" i="22"/>
  <c r="X7" i="22"/>
  <c r="AF82" i="22"/>
  <c r="AX238" i="22"/>
  <c r="AF7" i="22"/>
  <c r="AB7" i="22"/>
  <c r="Q7" i="22"/>
  <c r="AI238" i="22"/>
  <c r="Q82" i="22"/>
  <c r="Y7" i="22"/>
  <c r="L90" i="22"/>
  <c r="T90" i="22"/>
  <c r="AO238" i="22"/>
  <c r="W82" i="22"/>
  <c r="W7" i="22"/>
  <c r="P82" i="22"/>
  <c r="AH238" i="22"/>
  <c r="P7" i="22"/>
  <c r="Z7" i="22"/>
  <c r="AR238" i="22"/>
  <c r="E90" i="22"/>
  <c r="AC90" i="22"/>
  <c r="T7" i="22"/>
  <c r="AL238" i="22"/>
  <c r="T82" i="22"/>
  <c r="S7" i="22"/>
  <c r="AK238" i="22"/>
  <c r="S82" i="22"/>
  <c r="AS238" i="22"/>
  <c r="F90" i="22"/>
  <c r="N90" i="22"/>
  <c r="V90" i="22"/>
  <c r="AD90" i="22"/>
  <c r="F218" i="22"/>
  <c r="E100" i="22"/>
  <c r="D235" i="22"/>
  <c r="AH58" i="22"/>
  <c r="AH62" i="22"/>
  <c r="AH74" i="22"/>
  <c r="E219" i="22"/>
  <c r="F219" i="22" s="1"/>
  <c r="G219" i="22" s="1"/>
  <c r="H219" i="22" s="1"/>
  <c r="I219" i="22" s="1"/>
  <c r="J219" i="22" s="1"/>
  <c r="K219" i="22" s="1"/>
  <c r="L219" i="22" s="1"/>
  <c r="M219" i="22" s="1"/>
  <c r="N219" i="22" s="1"/>
  <c r="O219" i="22" s="1"/>
  <c r="P219" i="22" s="1"/>
  <c r="E223" i="22"/>
  <c r="AI74" i="22"/>
  <c r="AH83" i="22"/>
  <c r="B89" i="22"/>
  <c r="I90" i="22"/>
  <c r="Q90" i="22"/>
  <c r="Y90" i="22"/>
  <c r="AH84" i="22"/>
  <c r="AH40" i="22"/>
  <c r="AH44" i="22"/>
  <c r="B79" i="22"/>
  <c r="AH85" i="22"/>
  <c r="AH86" i="22"/>
  <c r="AH87" i="22"/>
  <c r="AE103" i="21"/>
  <c r="AE39" i="21"/>
  <c r="AD103" i="21"/>
  <c r="AD39" i="21"/>
  <c r="AC103" i="21"/>
  <c r="AC39" i="21"/>
  <c r="AB103" i="21"/>
  <c r="AB39" i="21"/>
  <c r="AJ19" i="21"/>
  <c r="AJ15" i="21"/>
  <c r="AJ14" i="21"/>
  <c r="AJ11" i="21"/>
  <c r="Z39" i="21"/>
  <c r="AA39" i="21"/>
  <c r="Y39" i="21"/>
  <c r="X103" i="21"/>
  <c r="V39" i="21"/>
  <c r="U103" i="21"/>
  <c r="U100" i="21" s="1"/>
  <c r="U39" i="21"/>
  <c r="T103" i="21"/>
  <c r="T39" i="21"/>
  <c r="S103" i="21"/>
  <c r="S39" i="21"/>
  <c r="R103" i="21"/>
  <c r="R39" i="21"/>
  <c r="Q103" i="21"/>
  <c r="AH103" i="21" s="1"/>
  <c r="Q39" i="21"/>
  <c r="P103" i="21"/>
  <c r="P39" i="21"/>
  <c r="N39" i="21"/>
  <c r="O39" i="21"/>
  <c r="M39" i="21"/>
  <c r="L39" i="21"/>
  <c r="K39" i="21"/>
  <c r="AI39" i="21" s="1"/>
  <c r="J39" i="21"/>
  <c r="I39" i="21"/>
  <c r="G39" i="21"/>
  <c r="F39" i="21"/>
  <c r="E39" i="21"/>
  <c r="D39" i="21"/>
  <c r="C39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C259" i="21"/>
  <c r="B259" i="21"/>
  <c r="S234" i="21"/>
  <c r="AG224" i="21"/>
  <c r="AG57" i="21" s="1"/>
  <c r="AG58" i="21" s="1"/>
  <c r="AG3" i="21" s="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C224" i="21"/>
  <c r="E223" i="21"/>
  <c r="D259" i="21" s="1"/>
  <c r="D223" i="21"/>
  <c r="B223" i="21"/>
  <c r="AF259" i="21" s="1"/>
  <c r="D222" i="21"/>
  <c r="E222" i="21" s="1"/>
  <c r="F222" i="21" s="1"/>
  <c r="G222" i="21" s="1"/>
  <c r="H222" i="21" s="1"/>
  <c r="I222" i="21" s="1"/>
  <c r="J222" i="21" s="1"/>
  <c r="K222" i="21" s="1"/>
  <c r="L222" i="21" s="1"/>
  <c r="M222" i="21" s="1"/>
  <c r="N222" i="21" s="1"/>
  <c r="O222" i="21" s="1"/>
  <c r="P222" i="21" s="1"/>
  <c r="B222" i="21"/>
  <c r="E221" i="21"/>
  <c r="F221" i="21" s="1"/>
  <c r="G221" i="21" s="1"/>
  <c r="H221" i="21" s="1"/>
  <c r="I221" i="21" s="1"/>
  <c r="J221" i="21" s="1"/>
  <c r="K221" i="21" s="1"/>
  <c r="L221" i="21" s="1"/>
  <c r="M221" i="21" s="1"/>
  <c r="N221" i="21" s="1"/>
  <c r="O221" i="21" s="1"/>
  <c r="P221" i="21" s="1"/>
  <c r="D221" i="21"/>
  <c r="B221" i="21"/>
  <c r="D220" i="21"/>
  <c r="E220" i="21" s="1"/>
  <c r="F220" i="21" s="1"/>
  <c r="G220" i="21" s="1"/>
  <c r="H220" i="21" s="1"/>
  <c r="I220" i="21" s="1"/>
  <c r="J220" i="21" s="1"/>
  <c r="K220" i="21" s="1"/>
  <c r="L220" i="21" s="1"/>
  <c r="M220" i="21" s="1"/>
  <c r="N220" i="21" s="1"/>
  <c r="O220" i="21" s="1"/>
  <c r="P220" i="21" s="1"/>
  <c r="B220" i="21"/>
  <c r="E219" i="21"/>
  <c r="F219" i="21" s="1"/>
  <c r="G219" i="21" s="1"/>
  <c r="H219" i="21" s="1"/>
  <c r="I219" i="21" s="1"/>
  <c r="J219" i="21" s="1"/>
  <c r="K219" i="21" s="1"/>
  <c r="L219" i="21" s="1"/>
  <c r="M219" i="21" s="1"/>
  <c r="N219" i="21" s="1"/>
  <c r="O219" i="21" s="1"/>
  <c r="P219" i="21" s="1"/>
  <c r="D219" i="21"/>
  <c r="B219" i="21"/>
  <c r="D218" i="21"/>
  <c r="D224" i="21" s="1"/>
  <c r="B218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I109" i="21"/>
  <c r="AH109" i="21"/>
  <c r="AI108" i="21"/>
  <c r="AH108" i="21"/>
  <c r="AI107" i="21"/>
  <c r="AH107" i="21"/>
  <c r="AI106" i="21"/>
  <c r="AH106" i="21"/>
  <c r="AI105" i="21"/>
  <c r="AH105" i="21"/>
  <c r="AI104" i="21"/>
  <c r="AH104" i="21"/>
  <c r="AI102" i="21"/>
  <c r="AH102" i="21"/>
  <c r="AI101" i="21"/>
  <c r="AH101" i="21"/>
  <c r="AF100" i="21"/>
  <c r="AE100" i="21"/>
  <c r="AD100" i="21"/>
  <c r="AC100" i="21"/>
  <c r="AB100" i="21"/>
  <c r="AA100" i="21"/>
  <c r="Z100" i="21"/>
  <c r="Y100" i="21"/>
  <c r="X100" i="21"/>
  <c r="W100" i="21"/>
  <c r="V100" i="21"/>
  <c r="T100" i="21"/>
  <c r="S100" i="21"/>
  <c r="R100" i="21"/>
  <c r="D100" i="21"/>
  <c r="C100" i="21"/>
  <c r="AI99" i="21"/>
  <c r="AH99" i="21"/>
  <c r="AI98" i="21"/>
  <c r="AH98" i="21"/>
  <c r="AI97" i="21"/>
  <c r="AH97" i="21"/>
  <c r="AI96" i="21"/>
  <c r="AH96" i="21"/>
  <c r="AI95" i="21"/>
  <c r="AH95" i="21"/>
  <c r="AI94" i="21"/>
  <c r="AH94" i="21"/>
  <c r="AI93" i="21"/>
  <c r="AH93" i="21"/>
  <c r="AI92" i="21"/>
  <c r="AH92" i="21"/>
  <c r="AI91" i="21"/>
  <c r="AH91" i="21"/>
  <c r="AI88" i="21"/>
  <c r="AH88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U89" i="21" s="1"/>
  <c r="T83" i="21"/>
  <c r="S83" i="21"/>
  <c r="R83" i="21"/>
  <c r="Q83" i="21"/>
  <c r="P83" i="21"/>
  <c r="O83" i="21"/>
  <c r="N83" i="21"/>
  <c r="M83" i="21"/>
  <c r="L83" i="21"/>
  <c r="K83" i="21"/>
  <c r="K89" i="21" s="1"/>
  <c r="J83" i="21"/>
  <c r="I83" i="21"/>
  <c r="H83" i="21"/>
  <c r="G83" i="21"/>
  <c r="F83" i="21"/>
  <c r="E83" i="21"/>
  <c r="D83" i="21"/>
  <c r="C83" i="21"/>
  <c r="B83" i="21"/>
  <c r="AI80" i="21"/>
  <c r="AH80" i="21"/>
  <c r="AI78" i="21"/>
  <c r="AH78" i="21"/>
  <c r="AG78" i="21"/>
  <c r="AI77" i="21"/>
  <c r="AH77" i="21"/>
  <c r="AI76" i="21"/>
  <c r="AH76" i="21"/>
  <c r="AI75" i="21"/>
  <c r="AH75" i="21"/>
  <c r="AG74" i="21"/>
  <c r="AF74" i="21"/>
  <c r="AE74" i="21"/>
  <c r="AD5" i="21" s="1"/>
  <c r="AD74" i="21"/>
  <c r="AC74" i="21"/>
  <c r="AB74" i="21"/>
  <c r="AA5" i="21" s="1"/>
  <c r="AA74" i="21"/>
  <c r="Z5" i="21" s="1"/>
  <c r="Z74" i="21"/>
  <c r="Y74" i="21"/>
  <c r="X5" i="21" s="1"/>
  <c r="X74" i="21"/>
  <c r="W5" i="21" s="1"/>
  <c r="W74" i="21"/>
  <c r="V5" i="21" s="1"/>
  <c r="V74" i="21"/>
  <c r="U74" i="21"/>
  <c r="T74" i="21"/>
  <c r="S5" i="21" s="1"/>
  <c r="S74" i="21"/>
  <c r="R5" i="21" s="1"/>
  <c r="R74" i="21"/>
  <c r="Q74" i="21"/>
  <c r="P5" i="21" s="1"/>
  <c r="P74" i="21"/>
  <c r="O5" i="21" s="1"/>
  <c r="O74" i="21"/>
  <c r="N5" i="21" s="1"/>
  <c r="N74" i="21"/>
  <c r="M74" i="21"/>
  <c r="L74" i="21"/>
  <c r="K5" i="21" s="1"/>
  <c r="K74" i="21"/>
  <c r="J5" i="21" s="1"/>
  <c r="J74" i="21"/>
  <c r="I74" i="21"/>
  <c r="H5" i="21" s="1"/>
  <c r="H74" i="21"/>
  <c r="G74" i="21"/>
  <c r="F5" i="21" s="1"/>
  <c r="F74" i="21"/>
  <c r="E74" i="21"/>
  <c r="D74" i="21"/>
  <c r="C5" i="21" s="1"/>
  <c r="C74" i="21"/>
  <c r="B5" i="21" s="1"/>
  <c r="B74" i="21"/>
  <c r="AF5" i="21" s="1"/>
  <c r="AI73" i="21"/>
  <c r="AH73" i="21"/>
  <c r="AI72" i="21"/>
  <c r="AH72" i="21"/>
  <c r="AI71" i="21"/>
  <c r="AH71" i="21"/>
  <c r="AI70" i="21"/>
  <c r="AH70" i="21"/>
  <c r="AI69" i="21"/>
  <c r="AH69" i="21"/>
  <c r="AI68" i="21"/>
  <c r="AH68" i="21"/>
  <c r="AI67" i="21"/>
  <c r="AH67" i="21"/>
  <c r="AI66" i="21"/>
  <c r="AH66" i="21"/>
  <c r="AI65" i="21"/>
  <c r="AH65" i="21"/>
  <c r="AI64" i="21"/>
  <c r="AH64" i="21"/>
  <c r="AI63" i="21"/>
  <c r="AH63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J62" i="21"/>
  <c r="I62" i="21"/>
  <c r="H62" i="21"/>
  <c r="G62" i="21"/>
  <c r="F62" i="21"/>
  <c r="E62" i="21"/>
  <c r="D62" i="21"/>
  <c r="C62" i="21"/>
  <c r="B62" i="21"/>
  <c r="AI61" i="21"/>
  <c r="AH61" i="21"/>
  <c r="AI60" i="21"/>
  <c r="AH60" i="21"/>
  <c r="AI59" i="21"/>
  <c r="AH59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I57" i="21"/>
  <c r="AH57" i="21"/>
  <c r="AI56" i="21"/>
  <c r="AH56" i="21"/>
  <c r="AI55" i="21"/>
  <c r="AH55" i="21"/>
  <c r="AI54" i="21"/>
  <c r="AH54" i="21"/>
  <c r="AI53" i="21"/>
  <c r="AH53" i="21"/>
  <c r="AI52" i="21"/>
  <c r="AH52" i="21"/>
  <c r="AI51" i="21"/>
  <c r="AH51" i="21"/>
  <c r="AI50" i="21"/>
  <c r="AH50" i="21"/>
  <c r="AI49" i="21"/>
  <c r="AH49" i="21"/>
  <c r="AI48" i="21"/>
  <c r="AH48" i="21"/>
  <c r="AI47" i="21"/>
  <c r="AH47" i="21"/>
  <c r="AI46" i="21"/>
  <c r="AH46" i="21"/>
  <c r="AI45" i="21"/>
  <c r="AH45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I43" i="21"/>
  <c r="AH43" i="21"/>
  <c r="AI42" i="21"/>
  <c r="AH42" i="21"/>
  <c r="AI41" i="21"/>
  <c r="AH41" i="21"/>
  <c r="AG40" i="21"/>
  <c r="AG79" i="21" s="1"/>
  <c r="AF40" i="21"/>
  <c r="AF79" i="21" s="1"/>
  <c r="AF81" i="21" s="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H39" i="21"/>
  <c r="AI38" i="21"/>
  <c r="AH38" i="21"/>
  <c r="AI37" i="21"/>
  <c r="AH37" i="21"/>
  <c r="AI36" i="21"/>
  <c r="AH36" i="21"/>
  <c r="AI35" i="21"/>
  <c r="AH35" i="21"/>
  <c r="AI34" i="21"/>
  <c r="AH34" i="21"/>
  <c r="AI33" i="21"/>
  <c r="AH33" i="21"/>
  <c r="AI32" i="21"/>
  <c r="AH32" i="21"/>
  <c r="AI31" i="21"/>
  <c r="AH31" i="21"/>
  <c r="AI30" i="21"/>
  <c r="AH30" i="21"/>
  <c r="AI29" i="21"/>
  <c r="AH29" i="21"/>
  <c r="AI28" i="21"/>
  <c r="AH28" i="21"/>
  <c r="AI27" i="21"/>
  <c r="AH27" i="21"/>
  <c r="AI26" i="21"/>
  <c r="AH26" i="21"/>
  <c r="AI25" i="21"/>
  <c r="AH25" i="21"/>
  <c r="AI24" i="21"/>
  <c r="AH24" i="21"/>
  <c r="AI23" i="21"/>
  <c r="AH23" i="21"/>
  <c r="AI22" i="21"/>
  <c r="AH22" i="21"/>
  <c r="AI21" i="21"/>
  <c r="AH21" i="21"/>
  <c r="AI20" i="21"/>
  <c r="AH20" i="21"/>
  <c r="AI19" i="21"/>
  <c r="AH19" i="21"/>
  <c r="AI18" i="21"/>
  <c r="AH18" i="21"/>
  <c r="AI17" i="21"/>
  <c r="AH17" i="21"/>
  <c r="AI16" i="21"/>
  <c r="AH16" i="21"/>
  <c r="AI15" i="21"/>
  <c r="AH15" i="21"/>
  <c r="AI14" i="21"/>
  <c r="AH14" i="21"/>
  <c r="AI13" i="21"/>
  <c r="AH13" i="21"/>
  <c r="AI12" i="21"/>
  <c r="AH12" i="21"/>
  <c r="AI11" i="21"/>
  <c r="AH11" i="21"/>
  <c r="AE5" i="21"/>
  <c r="G5" i="21"/>
  <c r="AG4" i="21"/>
  <c r="K4" i="21"/>
  <c r="B4" i="21"/>
  <c r="S235" i="21" s="1"/>
  <c r="AG2" i="21"/>
  <c r="AB39" i="20"/>
  <c r="AA103" i="20"/>
  <c r="X103" i="20"/>
  <c r="AA39" i="20"/>
  <c r="Z39" i="20"/>
  <c r="Y87" i="20"/>
  <c r="Y86" i="20"/>
  <c r="Y85" i="20"/>
  <c r="Y84" i="20"/>
  <c r="Y83" i="20"/>
  <c r="Y74" i="20"/>
  <c r="Y62" i="20"/>
  <c r="Y58" i="20"/>
  <c r="Y44" i="20"/>
  <c r="Y40" i="20"/>
  <c r="Y39" i="20"/>
  <c r="X39" i="20"/>
  <c r="W103" i="20"/>
  <c r="W39" i="20"/>
  <c r="V103" i="20"/>
  <c r="V39" i="20"/>
  <c r="U103" i="20"/>
  <c r="U39" i="20"/>
  <c r="T103" i="20"/>
  <c r="AH103" i="20" s="1"/>
  <c r="T39" i="20"/>
  <c r="S39" i="20"/>
  <c r="S103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103" i="20"/>
  <c r="D39" i="20"/>
  <c r="C103" i="20"/>
  <c r="B103" i="20"/>
  <c r="B87" i="20"/>
  <c r="B86" i="20"/>
  <c r="B85" i="20"/>
  <c r="B84" i="20"/>
  <c r="B83" i="20"/>
  <c r="B74" i="20"/>
  <c r="B62" i="20"/>
  <c r="B58" i="20"/>
  <c r="B44" i="20"/>
  <c r="B40" i="20"/>
  <c r="B39" i="20"/>
  <c r="AF103" i="19"/>
  <c r="AF39" i="19"/>
  <c r="AF263" i="20"/>
  <c r="AE263" i="20"/>
  <c r="AD263" i="20"/>
  <c r="AC263" i="20"/>
  <c r="AB263" i="20"/>
  <c r="AA263" i="20"/>
  <c r="Z263" i="20"/>
  <c r="Y263" i="20"/>
  <c r="X263" i="20"/>
  <c r="W263" i="20"/>
  <c r="V263" i="20"/>
  <c r="U263" i="20"/>
  <c r="T263" i="20"/>
  <c r="S263" i="20"/>
  <c r="R263" i="20"/>
  <c r="Q263" i="20"/>
  <c r="P263" i="20"/>
  <c r="O263" i="20"/>
  <c r="N263" i="20"/>
  <c r="M263" i="20"/>
  <c r="L263" i="20"/>
  <c r="K263" i="20"/>
  <c r="J263" i="20"/>
  <c r="I263" i="20"/>
  <c r="H263" i="20"/>
  <c r="G263" i="20"/>
  <c r="F263" i="20"/>
  <c r="E263" i="20"/>
  <c r="D263" i="20"/>
  <c r="C263" i="20"/>
  <c r="B263" i="20"/>
  <c r="A263" i="20"/>
  <c r="AF262" i="20"/>
  <c r="AE262" i="20"/>
  <c r="AD262" i="20"/>
  <c r="AC262" i="20"/>
  <c r="AB262" i="20"/>
  <c r="AA262" i="20"/>
  <c r="Z262" i="20"/>
  <c r="Y262" i="20"/>
  <c r="X262" i="20"/>
  <c r="W262" i="20"/>
  <c r="V262" i="20"/>
  <c r="U262" i="20"/>
  <c r="T262" i="20"/>
  <c r="S262" i="20"/>
  <c r="R262" i="20"/>
  <c r="Q262" i="20"/>
  <c r="P262" i="20"/>
  <c r="O262" i="20"/>
  <c r="N262" i="20"/>
  <c r="M262" i="20"/>
  <c r="L262" i="20"/>
  <c r="K262" i="20"/>
  <c r="J262" i="20"/>
  <c r="I262" i="20"/>
  <c r="H262" i="20"/>
  <c r="G262" i="20"/>
  <c r="F262" i="20"/>
  <c r="E262" i="20"/>
  <c r="D262" i="20"/>
  <c r="C262" i="20"/>
  <c r="B262" i="20"/>
  <c r="A262" i="20"/>
  <c r="AF261" i="20"/>
  <c r="AE261" i="20"/>
  <c r="AD261" i="20"/>
  <c r="AC261" i="20"/>
  <c r="AB261" i="20"/>
  <c r="AA261" i="20"/>
  <c r="Z261" i="20"/>
  <c r="Y261" i="20"/>
  <c r="X261" i="20"/>
  <c r="W261" i="20"/>
  <c r="V261" i="20"/>
  <c r="U261" i="20"/>
  <c r="T261" i="20"/>
  <c r="S261" i="20"/>
  <c r="R261" i="20"/>
  <c r="Q261" i="20"/>
  <c r="P261" i="20"/>
  <c r="O261" i="20"/>
  <c r="N261" i="20"/>
  <c r="M261" i="20"/>
  <c r="L261" i="20"/>
  <c r="K261" i="20"/>
  <c r="J261" i="20"/>
  <c r="I261" i="20"/>
  <c r="H261" i="20"/>
  <c r="G261" i="20"/>
  <c r="F261" i="20"/>
  <c r="E261" i="20"/>
  <c r="D261" i="20"/>
  <c r="C261" i="20"/>
  <c r="B261" i="20"/>
  <c r="A261" i="20"/>
  <c r="AF260" i="20"/>
  <c r="AE260" i="20"/>
  <c r="AD260" i="20"/>
  <c r="AC260" i="20"/>
  <c r="AB260" i="20"/>
  <c r="AA260" i="20"/>
  <c r="Z260" i="20"/>
  <c r="Y260" i="20"/>
  <c r="X260" i="20"/>
  <c r="W260" i="20"/>
  <c r="V260" i="20"/>
  <c r="U260" i="20"/>
  <c r="T260" i="20"/>
  <c r="S260" i="20"/>
  <c r="R260" i="20"/>
  <c r="Q260" i="20"/>
  <c r="P260" i="20"/>
  <c r="O260" i="20"/>
  <c r="N260" i="20"/>
  <c r="M260" i="20"/>
  <c r="L260" i="20"/>
  <c r="K260" i="20"/>
  <c r="J260" i="20"/>
  <c r="I260" i="20"/>
  <c r="H260" i="20"/>
  <c r="G260" i="20"/>
  <c r="F260" i="20"/>
  <c r="E260" i="20"/>
  <c r="D260" i="20"/>
  <c r="C260" i="20"/>
  <c r="B260" i="20"/>
  <c r="A260" i="20"/>
  <c r="AE259" i="20"/>
  <c r="AD259" i="20"/>
  <c r="AC259" i="20"/>
  <c r="AB259" i="20"/>
  <c r="AA259" i="20"/>
  <c r="Z259" i="20"/>
  <c r="Y259" i="20"/>
  <c r="X259" i="20"/>
  <c r="W259" i="20"/>
  <c r="V259" i="20"/>
  <c r="U259" i="20"/>
  <c r="T259" i="20"/>
  <c r="S259" i="20"/>
  <c r="R259" i="20"/>
  <c r="Q259" i="20"/>
  <c r="P259" i="20"/>
  <c r="D259" i="20"/>
  <c r="B259" i="20"/>
  <c r="S234" i="20"/>
  <c r="AG224" i="20"/>
  <c r="AF224" i="20"/>
  <c r="AE224" i="20"/>
  <c r="AD224" i="20"/>
  <c r="AC224" i="20"/>
  <c r="AB224" i="20"/>
  <c r="AA224" i="20"/>
  <c r="Z224" i="20"/>
  <c r="Y224" i="20"/>
  <c r="X224" i="20"/>
  <c r="W224" i="20"/>
  <c r="V224" i="20"/>
  <c r="U224" i="20"/>
  <c r="T224" i="20"/>
  <c r="S224" i="20"/>
  <c r="R224" i="20"/>
  <c r="Q224" i="20"/>
  <c r="C224" i="20"/>
  <c r="E223" i="20"/>
  <c r="F223" i="20" s="1"/>
  <c r="D223" i="20"/>
  <c r="C259" i="20" s="1"/>
  <c r="B223" i="20"/>
  <c r="AF259" i="20" s="1"/>
  <c r="D222" i="20"/>
  <c r="E222" i="20" s="1"/>
  <c r="F222" i="20" s="1"/>
  <c r="G222" i="20" s="1"/>
  <c r="H222" i="20" s="1"/>
  <c r="I222" i="20" s="1"/>
  <c r="J222" i="20" s="1"/>
  <c r="K222" i="20" s="1"/>
  <c r="L222" i="20" s="1"/>
  <c r="M222" i="20" s="1"/>
  <c r="N222" i="20" s="1"/>
  <c r="O222" i="20" s="1"/>
  <c r="P222" i="20" s="1"/>
  <c r="B222" i="20"/>
  <c r="D221" i="20"/>
  <c r="E221" i="20" s="1"/>
  <c r="F221" i="20" s="1"/>
  <c r="G221" i="20" s="1"/>
  <c r="H221" i="20" s="1"/>
  <c r="I221" i="20" s="1"/>
  <c r="J221" i="20" s="1"/>
  <c r="K221" i="20" s="1"/>
  <c r="L221" i="20" s="1"/>
  <c r="M221" i="20" s="1"/>
  <c r="N221" i="20" s="1"/>
  <c r="O221" i="20" s="1"/>
  <c r="P221" i="20" s="1"/>
  <c r="B221" i="20"/>
  <c r="E220" i="20"/>
  <c r="F220" i="20" s="1"/>
  <c r="G220" i="20" s="1"/>
  <c r="H220" i="20" s="1"/>
  <c r="I220" i="20" s="1"/>
  <c r="J220" i="20" s="1"/>
  <c r="K220" i="20" s="1"/>
  <c r="L220" i="20" s="1"/>
  <c r="M220" i="20" s="1"/>
  <c r="N220" i="20" s="1"/>
  <c r="O220" i="20" s="1"/>
  <c r="P220" i="20" s="1"/>
  <c r="D220" i="20"/>
  <c r="B220" i="20"/>
  <c r="D219" i="20"/>
  <c r="E219" i="20" s="1"/>
  <c r="F219" i="20" s="1"/>
  <c r="G219" i="20" s="1"/>
  <c r="H219" i="20" s="1"/>
  <c r="I219" i="20" s="1"/>
  <c r="J219" i="20" s="1"/>
  <c r="K219" i="20" s="1"/>
  <c r="L219" i="20" s="1"/>
  <c r="M219" i="20" s="1"/>
  <c r="N219" i="20" s="1"/>
  <c r="O219" i="20" s="1"/>
  <c r="P219" i="20" s="1"/>
  <c r="B219" i="20"/>
  <c r="D218" i="20"/>
  <c r="D100" i="20" s="1"/>
  <c r="B218" i="20"/>
  <c r="AG216" i="20"/>
  <c r="AF216" i="20"/>
  <c r="AE216" i="20"/>
  <c r="AD216" i="20"/>
  <c r="AC216" i="20"/>
  <c r="AB216" i="20"/>
  <c r="AA216" i="20"/>
  <c r="Z216" i="20"/>
  <c r="Y216" i="20"/>
  <c r="X216" i="20"/>
  <c r="W216" i="20"/>
  <c r="V216" i="20"/>
  <c r="U216" i="20"/>
  <c r="T216" i="20"/>
  <c r="S216" i="20"/>
  <c r="R216" i="20"/>
  <c r="Q216" i="20"/>
  <c r="P216" i="20"/>
  <c r="O216" i="20"/>
  <c r="N216" i="20"/>
  <c r="M216" i="20"/>
  <c r="L216" i="20"/>
  <c r="K216" i="20"/>
  <c r="J216" i="20"/>
  <c r="I216" i="20"/>
  <c r="H216" i="20"/>
  <c r="G216" i="20"/>
  <c r="F216" i="20"/>
  <c r="E216" i="20"/>
  <c r="D216" i="20"/>
  <c r="C216" i="20"/>
  <c r="B216" i="20"/>
  <c r="AI109" i="20"/>
  <c r="AH109" i="20"/>
  <c r="AI108" i="20"/>
  <c r="AH108" i="20"/>
  <c r="AI107" i="20"/>
  <c r="AH107" i="20"/>
  <c r="AI106" i="20"/>
  <c r="AH106" i="20"/>
  <c r="AI105" i="20"/>
  <c r="AH105" i="20"/>
  <c r="AI104" i="20"/>
  <c r="AH104" i="20"/>
  <c r="AI102" i="20"/>
  <c r="AH102" i="20"/>
  <c r="AI101" i="20"/>
  <c r="AH101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C100" i="20"/>
  <c r="AI99" i="20"/>
  <c r="AH99" i="20"/>
  <c r="AI98" i="20"/>
  <c r="AH98" i="20"/>
  <c r="AI97" i="20"/>
  <c r="AH97" i="20"/>
  <c r="AI96" i="20"/>
  <c r="AH96" i="20"/>
  <c r="AI95" i="20"/>
  <c r="AH95" i="20"/>
  <c r="AI94" i="20"/>
  <c r="AH94" i="20"/>
  <c r="AI93" i="20"/>
  <c r="AH93" i="20"/>
  <c r="AI92" i="20"/>
  <c r="AH92" i="20"/>
  <c r="AI91" i="20"/>
  <c r="AH91" i="20"/>
  <c r="AI88" i="20"/>
  <c r="AH88" i="20"/>
  <c r="AF87" i="20"/>
  <c r="AE87" i="20"/>
  <c r="AD87" i="20"/>
  <c r="AC87" i="20"/>
  <c r="AB87" i="20"/>
  <c r="AA87" i="20"/>
  <c r="Z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AF86" i="20"/>
  <c r="AE86" i="20"/>
  <c r="AD86" i="20"/>
  <c r="AC86" i="20"/>
  <c r="AB86" i="20"/>
  <c r="AA86" i="20"/>
  <c r="Z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AF85" i="20"/>
  <c r="AE85" i="20"/>
  <c r="AD85" i="20"/>
  <c r="AC85" i="20"/>
  <c r="AB85" i="20"/>
  <c r="AB89" i="20" s="1"/>
  <c r="AA85" i="20"/>
  <c r="Z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AF84" i="20"/>
  <c r="AE84" i="20"/>
  <c r="AD84" i="20"/>
  <c r="AC84" i="20"/>
  <c r="AB84" i="20"/>
  <c r="AA84" i="20"/>
  <c r="Z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AF83" i="20"/>
  <c r="AE83" i="20"/>
  <c r="AD83" i="20"/>
  <c r="AD89" i="20" s="1"/>
  <c r="AC83" i="20"/>
  <c r="AB83" i="20"/>
  <c r="AA83" i="20"/>
  <c r="Z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AI80" i="20"/>
  <c r="AH80" i="20"/>
  <c r="AI78" i="20"/>
  <c r="AH78" i="20"/>
  <c r="AG78" i="20"/>
  <c r="AI77" i="20"/>
  <c r="AH77" i="20"/>
  <c r="AI76" i="20"/>
  <c r="AH76" i="20"/>
  <c r="AI75" i="20"/>
  <c r="AH75" i="20"/>
  <c r="AG74" i="20"/>
  <c r="AF74" i="20"/>
  <c r="AE5" i="20" s="1"/>
  <c r="AE74" i="20"/>
  <c r="AD74" i="20"/>
  <c r="AC5" i="20" s="1"/>
  <c r="AC74" i="20"/>
  <c r="AB5" i="20" s="1"/>
  <c r="AB74" i="20"/>
  <c r="AA74" i="20"/>
  <c r="Z5" i="20" s="1"/>
  <c r="Z74" i="20"/>
  <c r="Y5" i="20" s="1"/>
  <c r="X74" i="20"/>
  <c r="W5" i="20" s="1"/>
  <c r="W74" i="20"/>
  <c r="V5" i="20" s="1"/>
  <c r="V74" i="20"/>
  <c r="U5" i="20" s="1"/>
  <c r="U74" i="20"/>
  <c r="T74" i="20"/>
  <c r="S74" i="20"/>
  <c r="R5" i="20" s="1"/>
  <c r="R74" i="20"/>
  <c r="Q5" i="20" s="1"/>
  <c r="Q74" i="20"/>
  <c r="P5" i="20" s="1"/>
  <c r="P74" i="20"/>
  <c r="O74" i="20"/>
  <c r="N74" i="20"/>
  <c r="M5" i="20" s="1"/>
  <c r="M74" i="20"/>
  <c r="L74" i="20"/>
  <c r="K74" i="20"/>
  <c r="J5" i="20" s="1"/>
  <c r="J74" i="20"/>
  <c r="I5" i="20" s="1"/>
  <c r="I74" i="20"/>
  <c r="H5" i="20" s="1"/>
  <c r="H74" i="20"/>
  <c r="G5" i="20" s="1"/>
  <c r="G74" i="20"/>
  <c r="F74" i="20"/>
  <c r="E5" i="20" s="1"/>
  <c r="E74" i="20"/>
  <c r="D5" i="20" s="1"/>
  <c r="D74" i="20"/>
  <c r="C74" i="20"/>
  <c r="B5" i="20" s="1"/>
  <c r="AI73" i="20"/>
  <c r="AH73" i="20"/>
  <c r="AI72" i="20"/>
  <c r="AH72" i="20"/>
  <c r="AI71" i="20"/>
  <c r="AH71" i="20"/>
  <c r="AI70" i="20"/>
  <c r="AH70" i="20"/>
  <c r="AI69" i="20"/>
  <c r="AH69" i="20"/>
  <c r="AI68" i="20"/>
  <c r="AH68" i="20"/>
  <c r="AI67" i="20"/>
  <c r="AH67" i="20"/>
  <c r="AI66" i="20"/>
  <c r="AH66" i="20"/>
  <c r="AI65" i="20"/>
  <c r="AH65" i="20"/>
  <c r="AI64" i="20"/>
  <c r="AH64" i="20"/>
  <c r="AI63" i="20"/>
  <c r="AH63" i="20"/>
  <c r="AG62" i="20"/>
  <c r="AF62" i="20"/>
  <c r="AE62" i="20"/>
  <c r="AD62" i="20"/>
  <c r="AC62" i="20"/>
  <c r="AB62" i="20"/>
  <c r="AA62" i="20"/>
  <c r="Z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AI61" i="20"/>
  <c r="AH61" i="20"/>
  <c r="AI60" i="20"/>
  <c r="AH60" i="20"/>
  <c r="AI59" i="20"/>
  <c r="AH59" i="20"/>
  <c r="AF58" i="20"/>
  <c r="AE58" i="20"/>
  <c r="AD58" i="20"/>
  <c r="AC58" i="20"/>
  <c r="AB58" i="20"/>
  <c r="AA58" i="20"/>
  <c r="Z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AI57" i="20"/>
  <c r="AH57" i="20"/>
  <c r="AG57" i="20"/>
  <c r="AG58" i="20" s="1"/>
  <c r="AG3" i="20" s="1"/>
  <c r="AI56" i="20"/>
  <c r="AH56" i="20"/>
  <c r="AI55" i="20"/>
  <c r="AH55" i="20"/>
  <c r="AI54" i="20"/>
  <c r="AH54" i="20"/>
  <c r="AI53" i="20"/>
  <c r="AH53" i="20"/>
  <c r="AI52" i="20"/>
  <c r="AH52" i="20"/>
  <c r="AI51" i="20"/>
  <c r="AH51" i="20"/>
  <c r="AI50" i="20"/>
  <c r="AH50" i="20"/>
  <c r="AI49" i="20"/>
  <c r="AH49" i="20"/>
  <c r="AI48" i="20"/>
  <c r="AH48" i="20"/>
  <c r="AI47" i="20"/>
  <c r="AH47" i="20"/>
  <c r="AI46" i="20"/>
  <c r="AH46" i="20"/>
  <c r="AI45" i="20"/>
  <c r="AH45" i="20"/>
  <c r="AG44" i="20"/>
  <c r="AF44" i="20"/>
  <c r="AE44" i="20"/>
  <c r="AD44" i="20"/>
  <c r="AC44" i="20"/>
  <c r="AB44" i="20"/>
  <c r="AA44" i="20"/>
  <c r="Z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AI43" i="20"/>
  <c r="AH43" i="20"/>
  <c r="AI42" i="20"/>
  <c r="AH42" i="20"/>
  <c r="AI41" i="20"/>
  <c r="AH41" i="20"/>
  <c r="AG40" i="20"/>
  <c r="AF40" i="20"/>
  <c r="AE40" i="20"/>
  <c r="AD40" i="20"/>
  <c r="AC40" i="20"/>
  <c r="AB40" i="20"/>
  <c r="AB79" i="20" s="1"/>
  <c r="AB81" i="20" s="1"/>
  <c r="AA40" i="20"/>
  <c r="Z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AI38" i="20"/>
  <c r="AH38" i="20"/>
  <c r="AI37" i="20"/>
  <c r="AH37" i="20"/>
  <c r="AI36" i="20"/>
  <c r="AH36" i="20"/>
  <c r="AI35" i="20"/>
  <c r="AH35" i="20"/>
  <c r="AI34" i="20"/>
  <c r="AH34" i="20"/>
  <c r="AI33" i="20"/>
  <c r="AH33" i="20"/>
  <c r="AI32" i="20"/>
  <c r="AH32" i="20"/>
  <c r="AI31" i="20"/>
  <c r="AH31" i="20"/>
  <c r="AI30" i="20"/>
  <c r="AH30" i="20"/>
  <c r="AI29" i="20"/>
  <c r="AH29" i="20"/>
  <c r="AI28" i="20"/>
  <c r="AH28" i="20"/>
  <c r="AI27" i="20"/>
  <c r="AH27" i="20"/>
  <c r="AI26" i="20"/>
  <c r="AH26" i="20"/>
  <c r="AI25" i="20"/>
  <c r="AH25" i="20"/>
  <c r="AI24" i="20"/>
  <c r="AH24" i="20"/>
  <c r="AI23" i="20"/>
  <c r="AH23" i="20"/>
  <c r="AI22" i="20"/>
  <c r="AH22" i="20"/>
  <c r="AI21" i="20"/>
  <c r="AH21" i="20"/>
  <c r="AI20" i="20"/>
  <c r="AH20" i="20"/>
  <c r="AI19" i="20"/>
  <c r="AH19" i="20"/>
  <c r="AI18" i="20"/>
  <c r="AH18" i="20"/>
  <c r="AI17" i="20"/>
  <c r="AH17" i="20"/>
  <c r="AI16" i="20"/>
  <c r="AH16" i="20"/>
  <c r="AI15" i="20"/>
  <c r="AH15" i="20"/>
  <c r="AI14" i="20"/>
  <c r="AH14" i="20"/>
  <c r="AI13" i="20"/>
  <c r="AH13" i="20"/>
  <c r="AI12" i="20"/>
  <c r="AH12" i="20"/>
  <c r="AI11" i="20"/>
  <c r="AH11" i="20"/>
  <c r="AF5" i="20"/>
  <c r="X5" i="20"/>
  <c r="O5" i="20"/>
  <c r="AG4" i="20"/>
  <c r="K4" i="20"/>
  <c r="B4" i="20"/>
  <c r="S235" i="20" s="1"/>
  <c r="AE103" i="19"/>
  <c r="AE100" i="19" s="1"/>
  <c r="AE39" i="19"/>
  <c r="AD103" i="19"/>
  <c r="AD39" i="19"/>
  <c r="AC103" i="19"/>
  <c r="AC39" i="19"/>
  <c r="AB103" i="19"/>
  <c r="AB39" i="19"/>
  <c r="AA103" i="19"/>
  <c r="AA100" i="19" s="1"/>
  <c r="Z103" i="19"/>
  <c r="AA39" i="19"/>
  <c r="Z39" i="19"/>
  <c r="Y103" i="19"/>
  <c r="Y39" i="19"/>
  <c r="X58" i="19"/>
  <c r="X103" i="19"/>
  <c r="X39" i="19"/>
  <c r="W103" i="19"/>
  <c r="W39" i="19"/>
  <c r="T103" i="19"/>
  <c r="R39" i="19"/>
  <c r="Q39" i="19"/>
  <c r="P39" i="19"/>
  <c r="O39" i="19"/>
  <c r="N39" i="19"/>
  <c r="M39" i="19"/>
  <c r="L103" i="19"/>
  <c r="K103" i="19"/>
  <c r="K39" i="19"/>
  <c r="L39" i="19"/>
  <c r="J103" i="19"/>
  <c r="J39" i="19"/>
  <c r="H103" i="19"/>
  <c r="I103" i="19"/>
  <c r="F39" i="19"/>
  <c r="G39" i="19"/>
  <c r="H39" i="19"/>
  <c r="I39" i="19"/>
  <c r="E103" i="19"/>
  <c r="AI103" i="19" s="1"/>
  <c r="E39" i="19"/>
  <c r="AF263" i="19"/>
  <c r="AE263" i="19"/>
  <c r="AD263" i="19"/>
  <c r="AC263" i="19"/>
  <c r="AB263" i="19"/>
  <c r="AA263" i="19"/>
  <c r="Z263" i="19"/>
  <c r="Y263" i="19"/>
  <c r="X263" i="19"/>
  <c r="W263" i="19"/>
  <c r="V263" i="19"/>
  <c r="U263" i="19"/>
  <c r="T263" i="19"/>
  <c r="S263" i="19"/>
  <c r="R263" i="19"/>
  <c r="Q263" i="19"/>
  <c r="P263" i="19"/>
  <c r="O263" i="19"/>
  <c r="N263" i="19"/>
  <c r="M263" i="19"/>
  <c r="L263" i="19"/>
  <c r="K263" i="19"/>
  <c r="J263" i="19"/>
  <c r="I263" i="19"/>
  <c r="H263" i="19"/>
  <c r="G263" i="19"/>
  <c r="F263" i="19"/>
  <c r="E263" i="19"/>
  <c r="D263" i="19"/>
  <c r="C263" i="19"/>
  <c r="B263" i="19"/>
  <c r="A263" i="19"/>
  <c r="AF262" i="19"/>
  <c r="AE262" i="19"/>
  <c r="AD262" i="19"/>
  <c r="AC262" i="19"/>
  <c r="AB262" i="19"/>
  <c r="AA262" i="19"/>
  <c r="Z262" i="19"/>
  <c r="Y262" i="19"/>
  <c r="X262" i="19"/>
  <c r="W262" i="19"/>
  <c r="V262" i="19"/>
  <c r="U262" i="19"/>
  <c r="T262" i="19"/>
  <c r="S262" i="19"/>
  <c r="R262" i="19"/>
  <c r="Q262" i="19"/>
  <c r="P262" i="19"/>
  <c r="O262" i="19"/>
  <c r="N262" i="19"/>
  <c r="M262" i="19"/>
  <c r="L262" i="19"/>
  <c r="K262" i="19"/>
  <c r="J262" i="19"/>
  <c r="I262" i="19"/>
  <c r="H262" i="19"/>
  <c r="G262" i="19"/>
  <c r="F262" i="19"/>
  <c r="E262" i="19"/>
  <c r="D262" i="19"/>
  <c r="C262" i="19"/>
  <c r="B262" i="19"/>
  <c r="A262" i="19"/>
  <c r="AF261" i="19"/>
  <c r="AE261" i="19"/>
  <c r="AD261" i="19"/>
  <c r="AC261" i="19"/>
  <c r="AB261" i="19"/>
  <c r="AA261" i="19"/>
  <c r="Z261" i="19"/>
  <c r="Y261" i="19"/>
  <c r="X261" i="19"/>
  <c r="W261" i="19"/>
  <c r="V261" i="19"/>
  <c r="U261" i="19"/>
  <c r="T261" i="19"/>
  <c r="S261" i="19"/>
  <c r="R261" i="19"/>
  <c r="Q261" i="19"/>
  <c r="P261" i="19"/>
  <c r="O261" i="19"/>
  <c r="N261" i="19"/>
  <c r="M261" i="19"/>
  <c r="L261" i="19"/>
  <c r="K261" i="19"/>
  <c r="J261" i="19"/>
  <c r="I261" i="19"/>
  <c r="H261" i="19"/>
  <c r="G261" i="19"/>
  <c r="F261" i="19"/>
  <c r="E261" i="19"/>
  <c r="D261" i="19"/>
  <c r="C261" i="19"/>
  <c r="B261" i="19"/>
  <c r="A261" i="19"/>
  <c r="AF260" i="19"/>
  <c r="AE260" i="19"/>
  <c r="AD260" i="19"/>
  <c r="AC260" i="19"/>
  <c r="AB260" i="19"/>
  <c r="AA260" i="19"/>
  <c r="Z260" i="19"/>
  <c r="Y260" i="19"/>
  <c r="X260" i="19"/>
  <c r="W260" i="19"/>
  <c r="V260" i="19"/>
  <c r="U260" i="19"/>
  <c r="T260" i="19"/>
  <c r="S260" i="19"/>
  <c r="R260" i="19"/>
  <c r="Q260" i="19"/>
  <c r="P260" i="19"/>
  <c r="O260" i="19"/>
  <c r="N260" i="19"/>
  <c r="M260" i="19"/>
  <c r="L260" i="19"/>
  <c r="K260" i="19"/>
  <c r="J260" i="19"/>
  <c r="I260" i="19"/>
  <c r="H260" i="19"/>
  <c r="G260" i="19"/>
  <c r="F260" i="19"/>
  <c r="E260" i="19"/>
  <c r="D260" i="19"/>
  <c r="C260" i="19"/>
  <c r="B260" i="19"/>
  <c r="A260" i="19"/>
  <c r="AE259" i="19"/>
  <c r="AD259" i="19"/>
  <c r="AC259" i="19"/>
  <c r="AB259" i="19"/>
  <c r="AA259" i="19"/>
  <c r="Z259" i="19"/>
  <c r="Y259" i="19"/>
  <c r="X259" i="19"/>
  <c r="W259" i="19"/>
  <c r="V259" i="19"/>
  <c r="U259" i="19"/>
  <c r="T259" i="19"/>
  <c r="S259" i="19"/>
  <c r="R259" i="19"/>
  <c r="Q259" i="19"/>
  <c r="P259" i="19"/>
  <c r="B259" i="19"/>
  <c r="S234" i="19"/>
  <c r="AG224" i="19"/>
  <c r="AG57" i="19" s="1"/>
  <c r="AG58" i="19" s="1"/>
  <c r="AF224" i="19"/>
  <c r="AE224" i="19"/>
  <c r="AD224" i="19"/>
  <c r="AC224" i="19"/>
  <c r="AB224" i="19"/>
  <c r="AA224" i="19"/>
  <c r="Z224" i="19"/>
  <c r="Y224" i="19"/>
  <c r="X224" i="19"/>
  <c r="W224" i="19"/>
  <c r="V224" i="19"/>
  <c r="U224" i="19"/>
  <c r="T224" i="19"/>
  <c r="S224" i="19"/>
  <c r="R224" i="19"/>
  <c r="Q224" i="19"/>
  <c r="C224" i="19"/>
  <c r="E223" i="19"/>
  <c r="F223" i="19" s="1"/>
  <c r="D223" i="19"/>
  <c r="C259" i="19" s="1"/>
  <c r="B223" i="19"/>
  <c r="AF259" i="19" s="1"/>
  <c r="D222" i="19"/>
  <c r="E222" i="19" s="1"/>
  <c r="F222" i="19" s="1"/>
  <c r="G222" i="19" s="1"/>
  <c r="H222" i="19" s="1"/>
  <c r="I222" i="19" s="1"/>
  <c r="J222" i="19" s="1"/>
  <c r="K222" i="19" s="1"/>
  <c r="L222" i="19" s="1"/>
  <c r="M222" i="19" s="1"/>
  <c r="N222" i="19" s="1"/>
  <c r="O222" i="19" s="1"/>
  <c r="P222" i="19" s="1"/>
  <c r="B222" i="19"/>
  <c r="D221" i="19"/>
  <c r="B221" i="19"/>
  <c r="E220" i="19"/>
  <c r="F220" i="19" s="1"/>
  <c r="G220" i="19" s="1"/>
  <c r="H220" i="19" s="1"/>
  <c r="I220" i="19" s="1"/>
  <c r="J220" i="19" s="1"/>
  <c r="K220" i="19" s="1"/>
  <c r="L220" i="19" s="1"/>
  <c r="M220" i="19" s="1"/>
  <c r="N220" i="19" s="1"/>
  <c r="O220" i="19" s="1"/>
  <c r="P220" i="19" s="1"/>
  <c r="D220" i="19"/>
  <c r="B220" i="19"/>
  <c r="E219" i="19"/>
  <c r="F219" i="19" s="1"/>
  <c r="G219" i="19" s="1"/>
  <c r="H219" i="19" s="1"/>
  <c r="I219" i="19" s="1"/>
  <c r="J219" i="19" s="1"/>
  <c r="K219" i="19" s="1"/>
  <c r="L219" i="19" s="1"/>
  <c r="M219" i="19" s="1"/>
  <c r="N219" i="19" s="1"/>
  <c r="O219" i="19" s="1"/>
  <c r="P219" i="19" s="1"/>
  <c r="D219" i="19"/>
  <c r="B219" i="19"/>
  <c r="E218" i="19"/>
  <c r="F218" i="19" s="1"/>
  <c r="D218" i="19"/>
  <c r="B218" i="19"/>
  <c r="AG216" i="19"/>
  <c r="AF216" i="19"/>
  <c r="AE216" i="19"/>
  <c r="AD216" i="19"/>
  <c r="AC216" i="19"/>
  <c r="AB216" i="19"/>
  <c r="AA216" i="19"/>
  <c r="Z216" i="19"/>
  <c r="Y216" i="19"/>
  <c r="X216" i="19"/>
  <c r="W216" i="19"/>
  <c r="V216" i="19"/>
  <c r="U216" i="19"/>
  <c r="T216" i="19"/>
  <c r="S216" i="19"/>
  <c r="R216" i="19"/>
  <c r="Q216" i="19"/>
  <c r="P216" i="19"/>
  <c r="O216" i="19"/>
  <c r="N216" i="19"/>
  <c r="M216" i="19"/>
  <c r="L216" i="19"/>
  <c r="K216" i="19"/>
  <c r="J216" i="19"/>
  <c r="I216" i="19"/>
  <c r="H216" i="19"/>
  <c r="G216" i="19"/>
  <c r="F216" i="19"/>
  <c r="E216" i="19"/>
  <c r="D216" i="19"/>
  <c r="C216" i="19"/>
  <c r="B216" i="19"/>
  <c r="AI109" i="19"/>
  <c r="AH109" i="19"/>
  <c r="AI108" i="19"/>
  <c r="AH108" i="19"/>
  <c r="AI107" i="19"/>
  <c r="AH107" i="19"/>
  <c r="AI106" i="19"/>
  <c r="AH106" i="19"/>
  <c r="AI105" i="19"/>
  <c r="AH105" i="19"/>
  <c r="AI104" i="19"/>
  <c r="AH104" i="19"/>
  <c r="AI102" i="19"/>
  <c r="AH102" i="19"/>
  <c r="AI101" i="19"/>
  <c r="AH101" i="19"/>
  <c r="AF100" i="19"/>
  <c r="AD100" i="19"/>
  <c r="AC100" i="19"/>
  <c r="AB100" i="19"/>
  <c r="Z100" i="19"/>
  <c r="Y100" i="19"/>
  <c r="X100" i="19"/>
  <c r="W100" i="19"/>
  <c r="V100" i="19"/>
  <c r="U100" i="19"/>
  <c r="T100" i="19"/>
  <c r="S100" i="19"/>
  <c r="R100" i="19"/>
  <c r="Q100" i="19"/>
  <c r="D100" i="19"/>
  <c r="C100" i="19"/>
  <c r="AI99" i="19"/>
  <c r="AH99" i="19"/>
  <c r="AI98" i="19"/>
  <c r="AH98" i="19"/>
  <c r="AI97" i="19"/>
  <c r="AH97" i="19"/>
  <c r="AI96" i="19"/>
  <c r="AH96" i="19"/>
  <c r="AI95" i="19"/>
  <c r="AH95" i="19"/>
  <c r="AI94" i="19"/>
  <c r="AH94" i="19"/>
  <c r="AI93" i="19"/>
  <c r="AH93" i="19"/>
  <c r="AI92" i="19"/>
  <c r="AH92" i="19"/>
  <c r="AI91" i="19"/>
  <c r="AH91" i="19"/>
  <c r="AI88" i="19"/>
  <c r="AH88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AF83" i="19"/>
  <c r="AE83" i="19"/>
  <c r="AD83" i="19"/>
  <c r="AC83" i="19"/>
  <c r="AB83" i="19"/>
  <c r="AA83" i="19"/>
  <c r="AA89" i="19" s="1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AI80" i="19"/>
  <c r="AH80" i="19"/>
  <c r="AI78" i="19"/>
  <c r="AH78" i="19"/>
  <c r="AG78" i="19"/>
  <c r="AI77" i="19"/>
  <c r="AH77" i="19"/>
  <c r="AI76" i="19"/>
  <c r="AH76" i="19"/>
  <c r="AI75" i="19"/>
  <c r="AH75" i="19"/>
  <c r="AG74" i="19"/>
  <c r="AF74" i="19"/>
  <c r="AE5" i="19" s="1"/>
  <c r="AE74" i="19"/>
  <c r="AD5" i="19" s="1"/>
  <c r="AD74" i="19"/>
  <c r="AC5" i="19" s="1"/>
  <c r="AC74" i="19"/>
  <c r="AB74" i="19"/>
  <c r="AA74" i="19"/>
  <c r="Z5" i="19" s="1"/>
  <c r="Z74" i="19"/>
  <c r="Y74" i="19"/>
  <c r="X5" i="19" s="1"/>
  <c r="X74" i="19"/>
  <c r="W74" i="19"/>
  <c r="V5" i="19" s="1"/>
  <c r="V74" i="19"/>
  <c r="U5" i="19" s="1"/>
  <c r="U74" i="19"/>
  <c r="T74" i="19"/>
  <c r="S74" i="19"/>
  <c r="R5" i="19" s="1"/>
  <c r="R74" i="19"/>
  <c r="Q5" i="19" s="1"/>
  <c r="Q74" i="19"/>
  <c r="P5" i="19" s="1"/>
  <c r="P74" i="19"/>
  <c r="O5" i="19" s="1"/>
  <c r="O74" i="19"/>
  <c r="N74" i="19"/>
  <c r="M5" i="19" s="1"/>
  <c r="M74" i="19"/>
  <c r="L5" i="19" s="1"/>
  <c r="L74" i="19"/>
  <c r="K74" i="19"/>
  <c r="J5" i="19" s="1"/>
  <c r="J74" i="19"/>
  <c r="I5" i="19" s="1"/>
  <c r="I74" i="19"/>
  <c r="H5" i="19" s="1"/>
  <c r="H74" i="19"/>
  <c r="G5" i="19" s="1"/>
  <c r="G74" i="19"/>
  <c r="F5" i="19" s="1"/>
  <c r="F74" i="19"/>
  <c r="E5" i="19" s="1"/>
  <c r="E74" i="19"/>
  <c r="D5" i="19" s="1"/>
  <c r="D74" i="19"/>
  <c r="C74" i="19"/>
  <c r="B5" i="19" s="1"/>
  <c r="B74" i="19"/>
  <c r="AI73" i="19"/>
  <c r="AH73" i="19"/>
  <c r="AI72" i="19"/>
  <c r="AH72" i="19"/>
  <c r="AI71" i="19"/>
  <c r="AH71" i="19"/>
  <c r="AI70" i="19"/>
  <c r="AH70" i="19"/>
  <c r="AI69" i="19"/>
  <c r="AH69" i="19"/>
  <c r="AI68" i="19"/>
  <c r="AH68" i="19"/>
  <c r="AI67" i="19"/>
  <c r="AH67" i="19"/>
  <c r="AI66" i="19"/>
  <c r="AH66" i="19"/>
  <c r="AI65" i="19"/>
  <c r="AH65" i="19"/>
  <c r="AI64" i="19"/>
  <c r="AH64" i="19"/>
  <c r="AI63" i="19"/>
  <c r="AH63" i="19"/>
  <c r="AG62" i="19"/>
  <c r="AG4" i="19" s="1"/>
  <c r="AF62" i="19"/>
  <c r="AE62" i="19"/>
  <c r="AD62" i="19"/>
  <c r="AC62" i="19"/>
  <c r="AB62" i="19"/>
  <c r="AA62" i="19"/>
  <c r="Z62" i="19"/>
  <c r="Y62" i="19"/>
  <c r="X62" i="19"/>
  <c r="W62" i="19"/>
  <c r="V62" i="19"/>
  <c r="U62" i="19"/>
  <c r="T62" i="19"/>
  <c r="S62" i="19"/>
  <c r="R62" i="19"/>
  <c r="Q62" i="19"/>
  <c r="P62" i="19"/>
  <c r="O62" i="19"/>
  <c r="N62" i="19"/>
  <c r="M62" i="19"/>
  <c r="L62" i="19"/>
  <c r="K62" i="19"/>
  <c r="J62" i="19"/>
  <c r="I62" i="19"/>
  <c r="H62" i="19"/>
  <c r="G62" i="19"/>
  <c r="F62" i="19"/>
  <c r="E62" i="19"/>
  <c r="D62" i="19"/>
  <c r="C62" i="19"/>
  <c r="B62" i="19"/>
  <c r="AI61" i="19"/>
  <c r="AH61" i="19"/>
  <c r="AI60" i="19"/>
  <c r="AH60" i="19"/>
  <c r="AI59" i="19"/>
  <c r="AH59" i="19"/>
  <c r="AF58" i="19"/>
  <c r="AE58" i="19"/>
  <c r="AD58" i="19"/>
  <c r="AC58" i="19"/>
  <c r="AB58" i="19"/>
  <c r="AA58" i="19"/>
  <c r="Z58" i="19"/>
  <c r="Y58" i="19"/>
  <c r="W58" i="19"/>
  <c r="V58" i="19"/>
  <c r="U58" i="19"/>
  <c r="T58" i="19"/>
  <c r="S58" i="19"/>
  <c r="R58" i="19"/>
  <c r="Q58" i="19"/>
  <c r="P58" i="19"/>
  <c r="O58" i="19"/>
  <c r="N58" i="19"/>
  <c r="M58" i="19"/>
  <c r="L58" i="19"/>
  <c r="K58" i="19"/>
  <c r="J58" i="19"/>
  <c r="I58" i="19"/>
  <c r="H58" i="19"/>
  <c r="G58" i="19"/>
  <c r="F58" i="19"/>
  <c r="E58" i="19"/>
  <c r="D58" i="19"/>
  <c r="C58" i="19"/>
  <c r="B58" i="19"/>
  <c r="AI57" i="19"/>
  <c r="AH57" i="19"/>
  <c r="AI56" i="19"/>
  <c r="AH56" i="19"/>
  <c r="AI55" i="19"/>
  <c r="AH55" i="19"/>
  <c r="AI54" i="19"/>
  <c r="AH54" i="19"/>
  <c r="AI53" i="19"/>
  <c r="AH53" i="19"/>
  <c r="AI52" i="19"/>
  <c r="AH52" i="19"/>
  <c r="AI51" i="19"/>
  <c r="AH51" i="19"/>
  <c r="AI50" i="19"/>
  <c r="AH50" i="19"/>
  <c r="AI49" i="19"/>
  <c r="AH49" i="19"/>
  <c r="AI48" i="19"/>
  <c r="AH48" i="19"/>
  <c r="AI47" i="19"/>
  <c r="AH47" i="19"/>
  <c r="AI46" i="19"/>
  <c r="AH46" i="19"/>
  <c r="AI45" i="19"/>
  <c r="AH45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AI43" i="19"/>
  <c r="AH43" i="19"/>
  <c r="AI42" i="19"/>
  <c r="AH42" i="19"/>
  <c r="AI41" i="19"/>
  <c r="AH41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AI38" i="19"/>
  <c r="AH38" i="19"/>
  <c r="AI37" i="19"/>
  <c r="AH37" i="19"/>
  <c r="AI36" i="19"/>
  <c r="AH36" i="19"/>
  <c r="AI35" i="19"/>
  <c r="AH35" i="19"/>
  <c r="AI34" i="19"/>
  <c r="AH34" i="19"/>
  <c r="AI33" i="19"/>
  <c r="AH33" i="19"/>
  <c r="AI32" i="19"/>
  <c r="AH32" i="19"/>
  <c r="AI31" i="19"/>
  <c r="AH31" i="19"/>
  <c r="AI30" i="19"/>
  <c r="AH30" i="19"/>
  <c r="AI29" i="19"/>
  <c r="AH29" i="19"/>
  <c r="AI28" i="19"/>
  <c r="AH28" i="19"/>
  <c r="AI27" i="19"/>
  <c r="AH27" i="19"/>
  <c r="AI26" i="19"/>
  <c r="AH26" i="19"/>
  <c r="AI25" i="19"/>
  <c r="AH25" i="19"/>
  <c r="AI24" i="19"/>
  <c r="AH24" i="19"/>
  <c r="AI23" i="19"/>
  <c r="AH23" i="19"/>
  <c r="AI22" i="19"/>
  <c r="AH22" i="19"/>
  <c r="AI21" i="19"/>
  <c r="AH21" i="19"/>
  <c r="AI20" i="19"/>
  <c r="AH20" i="19"/>
  <c r="AI19" i="19"/>
  <c r="AH19" i="19"/>
  <c r="AI18" i="19"/>
  <c r="AH18" i="19"/>
  <c r="AI17" i="19"/>
  <c r="AH17" i="19"/>
  <c r="AI16" i="19"/>
  <c r="AH16" i="19"/>
  <c r="AI15" i="19"/>
  <c r="AH15" i="19"/>
  <c r="AI14" i="19"/>
  <c r="AH14" i="19"/>
  <c r="AI13" i="19"/>
  <c r="AH13" i="19"/>
  <c r="AI12" i="19"/>
  <c r="AH12" i="19"/>
  <c r="AI11" i="19"/>
  <c r="AH11" i="19"/>
  <c r="Y5" i="19"/>
  <c r="W5" i="19"/>
  <c r="K4" i="19"/>
  <c r="B4" i="19"/>
  <c r="S235" i="19" s="1"/>
  <c r="AD39" i="18"/>
  <c r="AC103" i="18"/>
  <c r="AC39" i="18"/>
  <c r="AB103" i="18"/>
  <c r="AB39" i="18"/>
  <c r="AA103" i="18"/>
  <c r="AA39" i="18"/>
  <c r="Z103" i="18"/>
  <c r="Y103" i="18"/>
  <c r="Y39" i="18"/>
  <c r="X103" i="18"/>
  <c r="X39" i="18"/>
  <c r="W103" i="18"/>
  <c r="W39" i="18"/>
  <c r="V103" i="18"/>
  <c r="V39" i="18"/>
  <c r="E4" i="19"/>
  <c r="E4" i="21"/>
  <c r="E4" i="20"/>
  <c r="E259" i="19" l="1"/>
  <c r="G223" i="19"/>
  <c r="F259" i="19" s="1"/>
  <c r="O89" i="19"/>
  <c r="R82" i="22"/>
  <c r="D224" i="19"/>
  <c r="B224" i="20"/>
  <c r="AE79" i="21"/>
  <c r="AE81" i="21" s="1"/>
  <c r="AI103" i="21"/>
  <c r="AQ238" i="22"/>
  <c r="AU238" i="22"/>
  <c r="X90" i="22"/>
  <c r="D224" i="20"/>
  <c r="AC89" i="19"/>
  <c r="G89" i="20"/>
  <c r="O89" i="20"/>
  <c r="W89" i="20"/>
  <c r="AI103" i="20"/>
  <c r="AG81" i="21"/>
  <c r="Q100" i="21"/>
  <c r="K82" i="22"/>
  <c r="AJ238" i="22"/>
  <c r="AB90" i="22"/>
  <c r="M82" i="22"/>
  <c r="AM238" i="22"/>
  <c r="H82" i="22"/>
  <c r="O259" i="32"/>
  <c r="P100" i="32"/>
  <c r="AH100" i="32" s="1"/>
  <c r="P224" i="32"/>
  <c r="AG79" i="19"/>
  <c r="AG81" i="20"/>
  <c r="E218" i="20"/>
  <c r="F218" i="20" s="1"/>
  <c r="F89" i="19"/>
  <c r="B224" i="19"/>
  <c r="H89" i="20"/>
  <c r="P89" i="20"/>
  <c r="AD89" i="21"/>
  <c r="AD82" i="21" s="1"/>
  <c r="K7" i="22"/>
  <c r="AF238" i="22"/>
  <c r="U7" i="22"/>
  <c r="AJ7" i="23"/>
  <c r="AI39" i="20"/>
  <c r="N89" i="20"/>
  <c r="T79" i="21"/>
  <c r="T81" i="21" s="1"/>
  <c r="T82" i="21" s="1"/>
  <c r="O89" i="21"/>
  <c r="O90" i="21" s="1"/>
  <c r="W89" i="21"/>
  <c r="Q89" i="21"/>
  <c r="Y89" i="21"/>
  <c r="B100" i="21"/>
  <c r="B224" i="21"/>
  <c r="AA82" i="22"/>
  <c r="O7" i="22"/>
  <c r="E82" i="22"/>
  <c r="N7" i="22"/>
  <c r="H89" i="19"/>
  <c r="AH103" i="19"/>
  <c r="D259" i="19"/>
  <c r="P79" i="20"/>
  <c r="P81" i="20" s="1"/>
  <c r="AG79" i="20"/>
  <c r="Y90" i="20"/>
  <c r="AF89" i="21"/>
  <c r="AF90" i="21" s="1"/>
  <c r="AG6" i="21"/>
  <c r="O82" i="22"/>
  <c r="H218" i="27"/>
  <c r="G100" i="27"/>
  <c r="G224" i="27"/>
  <c r="O90" i="19"/>
  <c r="B100" i="19"/>
  <c r="S89" i="20"/>
  <c r="Y89" i="20"/>
  <c r="AD79" i="21"/>
  <c r="AD81" i="21" s="1"/>
  <c r="E218" i="21"/>
  <c r="E224" i="22"/>
  <c r="Z238" i="22"/>
  <c r="J82" i="22"/>
  <c r="H223" i="25"/>
  <c r="F259" i="25"/>
  <c r="G100" i="25"/>
  <c r="G224" i="25"/>
  <c r="F259" i="27"/>
  <c r="H223" i="27"/>
  <c r="P100" i="33"/>
  <c r="P224" i="33"/>
  <c r="I100" i="31"/>
  <c r="I224" i="31"/>
  <c r="J218" i="31"/>
  <c r="H259" i="31"/>
  <c r="J223" i="31"/>
  <c r="H259" i="30"/>
  <c r="J223" i="30"/>
  <c r="I218" i="30"/>
  <c r="H100" i="30"/>
  <c r="H224" i="30"/>
  <c r="H259" i="29"/>
  <c r="J223" i="29"/>
  <c r="I100" i="29"/>
  <c r="I224" i="29"/>
  <c r="L218" i="29"/>
  <c r="I218" i="28"/>
  <c r="H100" i="28"/>
  <c r="H224" i="28"/>
  <c r="G259" i="28"/>
  <c r="I223" i="28"/>
  <c r="A7" i="26"/>
  <c r="AI82" i="26"/>
  <c r="AH82" i="26"/>
  <c r="J259" i="26"/>
  <c r="L223" i="26"/>
  <c r="I100" i="26"/>
  <c r="I224" i="26"/>
  <c r="J218" i="26"/>
  <c r="J218" i="25"/>
  <c r="K6" i="24"/>
  <c r="H218" i="24"/>
  <c r="G100" i="24"/>
  <c r="G224" i="24"/>
  <c r="B7" i="24"/>
  <c r="A7" i="24" s="1"/>
  <c r="T238" i="24"/>
  <c r="AI81" i="24"/>
  <c r="AH81" i="24"/>
  <c r="G259" i="24"/>
  <c r="I223" i="24"/>
  <c r="K6" i="23"/>
  <c r="A7" i="23"/>
  <c r="F259" i="23"/>
  <c r="H223" i="23"/>
  <c r="AI82" i="23"/>
  <c r="AH82" i="23"/>
  <c r="G218" i="23"/>
  <c r="F100" i="23"/>
  <c r="F224" i="23"/>
  <c r="L82" i="22"/>
  <c r="AD238" i="22"/>
  <c r="AB238" i="22"/>
  <c r="J7" i="22"/>
  <c r="I82" i="22"/>
  <c r="AA238" i="22"/>
  <c r="H7" i="22"/>
  <c r="AM8" i="22" s="1"/>
  <c r="B233" i="22"/>
  <c r="C233" i="22"/>
  <c r="G82" i="22"/>
  <c r="Y238" i="22"/>
  <c r="G7" i="22"/>
  <c r="AL8" i="22" s="1"/>
  <c r="F82" i="22"/>
  <c r="W238" i="22"/>
  <c r="D82" i="22"/>
  <c r="C82" i="22"/>
  <c r="U238" i="22"/>
  <c r="AI89" i="22"/>
  <c r="AH89" i="22"/>
  <c r="AI79" i="22"/>
  <c r="AH79" i="22"/>
  <c r="B81" i="22"/>
  <c r="B90" i="22"/>
  <c r="D259" i="22"/>
  <c r="F223" i="22"/>
  <c r="F100" i="22" s="1"/>
  <c r="G218" i="22"/>
  <c r="AE89" i="21"/>
  <c r="AE90" i="21" s="1"/>
  <c r="AC89" i="21"/>
  <c r="AC79" i="21"/>
  <c r="AC81" i="21" s="1"/>
  <c r="AU238" i="21" s="1"/>
  <c r="AC90" i="21"/>
  <c r="AB89" i="21"/>
  <c r="AB90" i="21" s="1"/>
  <c r="AB79" i="21"/>
  <c r="AB81" i="21" s="1"/>
  <c r="AB82" i="21" s="1"/>
  <c r="Z89" i="21"/>
  <c r="Z90" i="21" s="1"/>
  <c r="AA89" i="21"/>
  <c r="AA90" i="21" s="1"/>
  <c r="AA79" i="21"/>
  <c r="AA81" i="21" s="1"/>
  <c r="Z79" i="21"/>
  <c r="Z81" i="21" s="1"/>
  <c r="Z7" i="21" s="1"/>
  <c r="Y79" i="21"/>
  <c r="Y81" i="21" s="1"/>
  <c r="AQ238" i="21" s="1"/>
  <c r="X89" i="21"/>
  <c r="X90" i="21" s="1"/>
  <c r="X79" i="21"/>
  <c r="X81" i="21" s="1"/>
  <c r="X82" i="21" s="1"/>
  <c r="W79" i="21"/>
  <c r="W81" i="21" s="1"/>
  <c r="AO238" i="21" s="1"/>
  <c r="W90" i="21"/>
  <c r="V89" i="21"/>
  <c r="V90" i="21" s="1"/>
  <c r="V79" i="21"/>
  <c r="V81" i="21" s="1"/>
  <c r="V7" i="21" s="1"/>
  <c r="U79" i="21"/>
  <c r="U81" i="21" s="1"/>
  <c r="U90" i="21"/>
  <c r="T89" i="21"/>
  <c r="T90" i="21" s="1"/>
  <c r="S89" i="21"/>
  <c r="S90" i="21" s="1"/>
  <c r="S79" i="21"/>
  <c r="S81" i="21" s="1"/>
  <c r="S7" i="21" s="1"/>
  <c r="R89" i="21"/>
  <c r="R90" i="21"/>
  <c r="R79" i="21"/>
  <c r="R81" i="21" s="1"/>
  <c r="R82" i="21" s="1"/>
  <c r="Q79" i="21"/>
  <c r="Q81" i="21" s="1"/>
  <c r="P89" i="21"/>
  <c r="P90" i="21" s="1"/>
  <c r="P79" i="21"/>
  <c r="P81" i="21" s="1"/>
  <c r="P7" i="21" s="1"/>
  <c r="N89" i="21"/>
  <c r="N79" i="21"/>
  <c r="N81" i="21" s="1"/>
  <c r="N7" i="21" s="1"/>
  <c r="O79" i="21"/>
  <c r="O81" i="21" s="1"/>
  <c r="M89" i="21"/>
  <c r="M90" i="21"/>
  <c r="M79" i="21"/>
  <c r="M81" i="21" s="1"/>
  <c r="M7" i="21" s="1"/>
  <c r="L89" i="21"/>
  <c r="L90" i="21" s="1"/>
  <c r="L79" i="21"/>
  <c r="L81" i="21" s="1"/>
  <c r="L7" i="21" s="1"/>
  <c r="K90" i="21"/>
  <c r="K79" i="21"/>
  <c r="K81" i="21" s="1"/>
  <c r="K7" i="21" s="1"/>
  <c r="J89" i="21"/>
  <c r="J90" i="21" s="1"/>
  <c r="J79" i="21"/>
  <c r="J81" i="21" s="1"/>
  <c r="J7" i="21" s="1"/>
  <c r="I79" i="21"/>
  <c r="I81" i="21" s="1"/>
  <c r="I7" i="21" s="1"/>
  <c r="H89" i="21"/>
  <c r="H79" i="21"/>
  <c r="H81" i="21" s="1"/>
  <c r="Z238" i="21" s="1"/>
  <c r="G89" i="21"/>
  <c r="G90" i="21" s="1"/>
  <c r="G79" i="21"/>
  <c r="G81" i="21" s="1"/>
  <c r="AI58" i="21"/>
  <c r="E89" i="21"/>
  <c r="E90" i="21" s="1"/>
  <c r="D89" i="21"/>
  <c r="AI87" i="21"/>
  <c r="AI83" i="21"/>
  <c r="D90" i="21"/>
  <c r="F89" i="21"/>
  <c r="F90" i="21" s="1"/>
  <c r="I89" i="21"/>
  <c r="F79" i="21"/>
  <c r="F81" i="21" s="1"/>
  <c r="F7" i="21" s="1"/>
  <c r="H90" i="21"/>
  <c r="AI85" i="21"/>
  <c r="E79" i="21"/>
  <c r="E81" i="21" s="1"/>
  <c r="W238" i="21" s="1"/>
  <c r="AH44" i="21"/>
  <c r="D79" i="21"/>
  <c r="D81" i="21" s="1"/>
  <c r="D82" i="21" s="1"/>
  <c r="AI86" i="21"/>
  <c r="AI84" i="21"/>
  <c r="C89" i="21"/>
  <c r="C90" i="21" s="1"/>
  <c r="AI62" i="21"/>
  <c r="C79" i="21"/>
  <c r="C81" i="21" s="1"/>
  <c r="U238" i="21" s="1"/>
  <c r="AI44" i="21"/>
  <c r="B79" i="21"/>
  <c r="AH86" i="21"/>
  <c r="H4" i="21"/>
  <c r="V82" i="21"/>
  <c r="AD7" i="21"/>
  <c r="AV238" i="21"/>
  <c r="AG238" i="21"/>
  <c r="O82" i="21"/>
  <c r="O7" i="21"/>
  <c r="W82" i="21"/>
  <c r="AW238" i="21"/>
  <c r="AE82" i="21"/>
  <c r="AE7" i="21"/>
  <c r="U82" i="21"/>
  <c r="U7" i="21"/>
  <c r="AM238" i="21"/>
  <c r="AH238" i="21"/>
  <c r="X7" i="21"/>
  <c r="AP238" i="21"/>
  <c r="AF7" i="21"/>
  <c r="AX238" i="21"/>
  <c r="Q7" i="21"/>
  <c r="AI238" i="21"/>
  <c r="Q82" i="21"/>
  <c r="N90" i="21"/>
  <c r="AD90" i="21"/>
  <c r="B81" i="21"/>
  <c r="R7" i="21"/>
  <c r="AJ238" i="21"/>
  <c r="AK238" i="21"/>
  <c r="AA7" i="21"/>
  <c r="AS238" i="21"/>
  <c r="AA82" i="21"/>
  <c r="AD238" i="21"/>
  <c r="AB7" i="21"/>
  <c r="AT238" i="21"/>
  <c r="I5" i="21"/>
  <c r="Q5" i="21"/>
  <c r="Y5" i="21"/>
  <c r="D235" i="21"/>
  <c r="AH58" i="21"/>
  <c r="AH62" i="21"/>
  <c r="AH74" i="21"/>
  <c r="AI74" i="21"/>
  <c r="AH83" i="21"/>
  <c r="B89" i="21"/>
  <c r="B90" i="21" s="1"/>
  <c r="Q90" i="21"/>
  <c r="Y90" i="21"/>
  <c r="F223" i="21"/>
  <c r="D5" i="21"/>
  <c r="L5" i="21"/>
  <c r="T5" i="21"/>
  <c r="AB5" i="21"/>
  <c r="AH84" i="21"/>
  <c r="E5" i="21"/>
  <c r="M5" i="21"/>
  <c r="U5" i="21"/>
  <c r="AC5" i="21"/>
  <c r="AH40" i="21"/>
  <c r="AH85" i="21"/>
  <c r="AI40" i="21"/>
  <c r="AH87" i="21"/>
  <c r="AF89" i="20"/>
  <c r="AF79" i="20"/>
  <c r="AF81" i="20" s="1"/>
  <c r="AE89" i="20"/>
  <c r="AE90" i="20" s="1"/>
  <c r="AD5" i="20"/>
  <c r="AD79" i="20"/>
  <c r="AD81" i="20" s="1"/>
  <c r="AD7" i="20" s="1"/>
  <c r="AE79" i="20"/>
  <c r="AE81" i="20" s="1"/>
  <c r="AW238" i="20" s="1"/>
  <c r="AC89" i="20"/>
  <c r="AC90" i="20" s="1"/>
  <c r="AC79" i="20"/>
  <c r="AC81" i="20" s="1"/>
  <c r="AC7" i="20" s="1"/>
  <c r="Z89" i="20"/>
  <c r="Z90" i="20" s="1"/>
  <c r="Z79" i="20"/>
  <c r="Z81" i="20" s="1"/>
  <c r="AA89" i="20"/>
  <c r="AA90" i="20" s="1"/>
  <c r="AA79" i="20"/>
  <c r="AA81" i="20" s="1"/>
  <c r="AA82" i="20" s="1"/>
  <c r="Y79" i="20"/>
  <c r="Y81" i="20" s="1"/>
  <c r="Y82" i="20" s="1"/>
  <c r="X89" i="20"/>
  <c r="X79" i="20"/>
  <c r="X81" i="20" s="1"/>
  <c r="W90" i="20"/>
  <c r="S79" i="20"/>
  <c r="S81" i="20" s="1"/>
  <c r="S82" i="20" s="1"/>
  <c r="W79" i="20"/>
  <c r="W81" i="20" s="1"/>
  <c r="W82" i="20" s="1"/>
  <c r="V89" i="20"/>
  <c r="V79" i="20"/>
  <c r="V81" i="20" s="1"/>
  <c r="V7" i="20" s="1"/>
  <c r="T5" i="20"/>
  <c r="U89" i="20"/>
  <c r="U90" i="20" s="1"/>
  <c r="U79" i="20"/>
  <c r="U81" i="20" s="1"/>
  <c r="T89" i="20"/>
  <c r="T79" i="20"/>
  <c r="T81" i="20" s="1"/>
  <c r="S90" i="20"/>
  <c r="R89" i="20"/>
  <c r="R90" i="20"/>
  <c r="R79" i="20"/>
  <c r="R81" i="20" s="1"/>
  <c r="AJ238" i="20" s="1"/>
  <c r="Q89" i="20"/>
  <c r="Q79" i="20"/>
  <c r="Q81" i="20" s="1"/>
  <c r="O90" i="20"/>
  <c r="N5" i="20"/>
  <c r="O79" i="20"/>
  <c r="O81" i="20" s="1"/>
  <c r="M89" i="20"/>
  <c r="M90" i="20" s="1"/>
  <c r="L5" i="20"/>
  <c r="AI62" i="20"/>
  <c r="N79" i="20"/>
  <c r="N81" i="20" s="1"/>
  <c r="N7" i="20" s="1"/>
  <c r="M79" i="20"/>
  <c r="M81" i="20" s="1"/>
  <c r="M7" i="20" s="1"/>
  <c r="L89" i="20"/>
  <c r="L90" i="20" s="1"/>
  <c r="L79" i="20"/>
  <c r="L81" i="20" s="1"/>
  <c r="L82" i="20" s="1"/>
  <c r="K89" i="20"/>
  <c r="K90" i="20" s="1"/>
  <c r="K79" i="20"/>
  <c r="K81" i="20" s="1"/>
  <c r="AC238" i="20" s="1"/>
  <c r="J89" i="20"/>
  <c r="J90" i="20" s="1"/>
  <c r="J79" i="20"/>
  <c r="J81" i="20" s="1"/>
  <c r="J7" i="20" s="1"/>
  <c r="I89" i="20"/>
  <c r="I79" i="20"/>
  <c r="I81" i="20" s="1"/>
  <c r="AA238" i="20" s="1"/>
  <c r="H79" i="20"/>
  <c r="H81" i="20" s="1"/>
  <c r="H82" i="20" s="1"/>
  <c r="G90" i="20"/>
  <c r="F5" i="20"/>
  <c r="G79" i="20"/>
  <c r="G81" i="20" s="1"/>
  <c r="G7" i="20" s="1"/>
  <c r="F89" i="20"/>
  <c r="F90" i="20" s="1"/>
  <c r="AI86" i="20"/>
  <c r="F79" i="20"/>
  <c r="F81" i="20" s="1"/>
  <c r="X238" i="20" s="1"/>
  <c r="AI83" i="20"/>
  <c r="E89" i="20"/>
  <c r="E90" i="20" s="1"/>
  <c r="AI58" i="20"/>
  <c r="E79" i="20"/>
  <c r="E81" i="20" s="1"/>
  <c r="E7" i="20" s="1"/>
  <c r="D79" i="20"/>
  <c r="D81" i="20" s="1"/>
  <c r="D89" i="20"/>
  <c r="D82" i="20" s="1"/>
  <c r="AI85" i="20"/>
  <c r="C89" i="20"/>
  <c r="C90" i="20" s="1"/>
  <c r="AI84" i="20"/>
  <c r="AI74" i="20"/>
  <c r="AI87" i="20"/>
  <c r="C79" i="20"/>
  <c r="C81" i="20" s="1"/>
  <c r="U238" i="20" s="1"/>
  <c r="AI44" i="20"/>
  <c r="AI40" i="20"/>
  <c r="B79" i="20"/>
  <c r="B81" i="20" s="1"/>
  <c r="AH39" i="20"/>
  <c r="AH84" i="20"/>
  <c r="AF89" i="19"/>
  <c r="AF79" i="19"/>
  <c r="AF81" i="19" s="1"/>
  <c r="AF7" i="19" s="1"/>
  <c r="H4" i="20"/>
  <c r="Z7" i="20"/>
  <c r="AR238" i="20"/>
  <c r="Z82" i="20"/>
  <c r="H7" i="20"/>
  <c r="Z238" i="20"/>
  <c r="P7" i="20"/>
  <c r="AH238" i="20"/>
  <c r="P82" i="20"/>
  <c r="X7" i="20"/>
  <c r="AP238" i="20"/>
  <c r="X82" i="20"/>
  <c r="AF7" i="20"/>
  <c r="AX238" i="20"/>
  <c r="AF82" i="20"/>
  <c r="I7" i="20"/>
  <c r="I82" i="20"/>
  <c r="Q7" i="20"/>
  <c r="AI238" i="20"/>
  <c r="Q82" i="20"/>
  <c r="T90" i="20"/>
  <c r="AB90" i="20"/>
  <c r="G223" i="20"/>
  <c r="E259" i="20"/>
  <c r="S7" i="20"/>
  <c r="AK238" i="20"/>
  <c r="AS238" i="20"/>
  <c r="N90" i="20"/>
  <c r="V90" i="20"/>
  <c r="AD90" i="20"/>
  <c r="G218" i="20"/>
  <c r="F100" i="20"/>
  <c r="F224" i="20"/>
  <c r="D7" i="20"/>
  <c r="V238" i="20"/>
  <c r="L7" i="20"/>
  <c r="AD238" i="20"/>
  <c r="T7" i="20"/>
  <c r="AL238" i="20"/>
  <c r="T82" i="20"/>
  <c r="AB7" i="20"/>
  <c r="AT238" i="20"/>
  <c r="AB82" i="20"/>
  <c r="J82" i="20"/>
  <c r="U7" i="20"/>
  <c r="AM238" i="20"/>
  <c r="U82" i="20"/>
  <c r="AC82" i="20"/>
  <c r="H90" i="20"/>
  <c r="P90" i="20"/>
  <c r="X90" i="20"/>
  <c r="AF90" i="20"/>
  <c r="I90" i="20"/>
  <c r="Q90" i="20"/>
  <c r="G82" i="20"/>
  <c r="AG238" i="20"/>
  <c r="O82" i="20"/>
  <c r="O7" i="20"/>
  <c r="AO238" i="20"/>
  <c r="E224" i="20"/>
  <c r="D235" i="20"/>
  <c r="AH58" i="20"/>
  <c r="AH62" i="20"/>
  <c r="AH74" i="20"/>
  <c r="E100" i="20"/>
  <c r="AG2" i="20"/>
  <c r="AG6" i="20" s="1"/>
  <c r="C5" i="20"/>
  <c r="K5" i="20"/>
  <c r="S5" i="20"/>
  <c r="AA5" i="20"/>
  <c r="AH83" i="20"/>
  <c r="B89" i="20"/>
  <c r="AH40" i="20"/>
  <c r="AH44" i="20"/>
  <c r="AH85" i="20"/>
  <c r="AH86" i="20"/>
  <c r="AH87" i="20"/>
  <c r="B100" i="20"/>
  <c r="AE89" i="19"/>
  <c r="AE90" i="19" s="1"/>
  <c r="AE79" i="19"/>
  <c r="AE81" i="19" s="1"/>
  <c r="AD89" i="19"/>
  <c r="AD79" i="19"/>
  <c r="AD81" i="19" s="1"/>
  <c r="AC90" i="19"/>
  <c r="AB5" i="19"/>
  <c r="AC79" i="19"/>
  <c r="AC81" i="19" s="1"/>
  <c r="AB89" i="19"/>
  <c r="AB90" i="19" s="1"/>
  <c r="AB79" i="19"/>
  <c r="AB81" i="19" s="1"/>
  <c r="AT238" i="19" s="1"/>
  <c r="Z79" i="19"/>
  <c r="Z81" i="19" s="1"/>
  <c r="Z7" i="19" s="1"/>
  <c r="AA79" i="19"/>
  <c r="AA81" i="19" s="1"/>
  <c r="AS238" i="19" s="1"/>
  <c r="AA90" i="19"/>
  <c r="Z89" i="19"/>
  <c r="Z90" i="19" s="1"/>
  <c r="Y89" i="19"/>
  <c r="Y90" i="19" s="1"/>
  <c r="Y79" i="19"/>
  <c r="Y81" i="19" s="1"/>
  <c r="X89" i="19"/>
  <c r="X90" i="19" s="1"/>
  <c r="X79" i="19"/>
  <c r="X81" i="19" s="1"/>
  <c r="X7" i="19" s="1"/>
  <c r="W89" i="19"/>
  <c r="W90" i="19" s="1"/>
  <c r="W79" i="19"/>
  <c r="W81" i="19" s="1"/>
  <c r="AO238" i="19" s="1"/>
  <c r="V79" i="19"/>
  <c r="V81" i="19" s="1"/>
  <c r="V89" i="19"/>
  <c r="V82" i="19" s="1"/>
  <c r="U89" i="19"/>
  <c r="U90" i="19" s="1"/>
  <c r="T5" i="19"/>
  <c r="U79" i="19"/>
  <c r="U81" i="19" s="1"/>
  <c r="U7" i="19" s="1"/>
  <c r="T89" i="19"/>
  <c r="T90" i="19" s="1"/>
  <c r="T79" i="19"/>
  <c r="T81" i="19" s="1"/>
  <c r="S89" i="19"/>
  <c r="S90" i="19" s="1"/>
  <c r="S79" i="19"/>
  <c r="S81" i="19" s="1"/>
  <c r="R89" i="19"/>
  <c r="R90" i="19" s="1"/>
  <c r="R79" i="19"/>
  <c r="R81" i="19" s="1"/>
  <c r="AJ238" i="19" s="1"/>
  <c r="Q89" i="19"/>
  <c r="Q90" i="19" s="1"/>
  <c r="Q79" i="19"/>
  <c r="Q81" i="19" s="1"/>
  <c r="AI238" i="19" s="1"/>
  <c r="P89" i="19"/>
  <c r="P90" i="19" s="1"/>
  <c r="P79" i="19"/>
  <c r="P81" i="19" s="1"/>
  <c r="P82" i="19" s="1"/>
  <c r="N5" i="19"/>
  <c r="O79" i="19"/>
  <c r="O81" i="19" s="1"/>
  <c r="N89" i="19"/>
  <c r="N90" i="19" s="1"/>
  <c r="N79" i="19"/>
  <c r="N81" i="19" s="1"/>
  <c r="AF238" i="19" s="1"/>
  <c r="M89" i="19"/>
  <c r="M90" i="19" s="1"/>
  <c r="M79" i="19"/>
  <c r="M81" i="19" s="1"/>
  <c r="M7" i="19" s="1"/>
  <c r="K89" i="19"/>
  <c r="K90" i="19" s="1"/>
  <c r="L89" i="19"/>
  <c r="L90" i="19" s="1"/>
  <c r="AI85" i="19"/>
  <c r="L79" i="19"/>
  <c r="L81" i="19" s="1"/>
  <c r="L7" i="19" s="1"/>
  <c r="K79" i="19"/>
  <c r="K81" i="19" s="1"/>
  <c r="K7" i="19" s="1"/>
  <c r="AI39" i="19"/>
  <c r="J89" i="19"/>
  <c r="J90" i="19" s="1"/>
  <c r="J79" i="19"/>
  <c r="J81" i="19" s="1"/>
  <c r="J7" i="19" s="1"/>
  <c r="G79" i="19"/>
  <c r="G81" i="19" s="1"/>
  <c r="G7" i="19" s="1"/>
  <c r="G89" i="19"/>
  <c r="G90" i="19" s="1"/>
  <c r="I89" i="19"/>
  <c r="I90" i="19" s="1"/>
  <c r="AI84" i="19"/>
  <c r="AH85" i="19"/>
  <c r="AI83" i="19"/>
  <c r="AI62" i="19"/>
  <c r="F79" i="19"/>
  <c r="F81" i="19" s="1"/>
  <c r="X238" i="19" s="1"/>
  <c r="H79" i="19"/>
  <c r="H81" i="19" s="1"/>
  <c r="H7" i="19" s="1"/>
  <c r="I79" i="19"/>
  <c r="I81" i="19" s="1"/>
  <c r="AH39" i="19"/>
  <c r="E89" i="19"/>
  <c r="E90" i="19" s="1"/>
  <c r="E79" i="19"/>
  <c r="E81" i="19" s="1"/>
  <c r="W238" i="19" s="1"/>
  <c r="AI44" i="19"/>
  <c r="AI87" i="19"/>
  <c r="D89" i="19"/>
  <c r="D90" i="19" s="1"/>
  <c r="D79" i="19"/>
  <c r="D81" i="19" s="1"/>
  <c r="AI40" i="19"/>
  <c r="AI86" i="19"/>
  <c r="C89" i="19"/>
  <c r="C90" i="19" s="1"/>
  <c r="AI74" i="19"/>
  <c r="C79" i="19"/>
  <c r="C81" i="19" s="1"/>
  <c r="U238" i="19" s="1"/>
  <c r="AI58" i="19"/>
  <c r="AH84" i="19"/>
  <c r="AF5" i="19"/>
  <c r="H4" i="19"/>
  <c r="N7" i="19"/>
  <c r="AD7" i="19"/>
  <c r="AV238" i="19"/>
  <c r="AD82" i="19"/>
  <c r="Y238" i="19"/>
  <c r="AW238" i="19"/>
  <c r="AE82" i="19"/>
  <c r="AE7" i="19"/>
  <c r="AN238" i="19"/>
  <c r="V7" i="19"/>
  <c r="AG238" i="19"/>
  <c r="O82" i="19"/>
  <c r="O7" i="19"/>
  <c r="P7" i="19"/>
  <c r="AH238" i="19"/>
  <c r="AX238" i="19"/>
  <c r="AF82" i="19"/>
  <c r="AG81" i="19"/>
  <c r="AG3" i="19"/>
  <c r="Q7" i="19"/>
  <c r="R7" i="19"/>
  <c r="F90" i="19"/>
  <c r="V90" i="19"/>
  <c r="AD90" i="19"/>
  <c r="AC7" i="19"/>
  <c r="AU238" i="19"/>
  <c r="AC82" i="19"/>
  <c r="Y7" i="19"/>
  <c r="AQ238" i="19"/>
  <c r="AB238" i="19"/>
  <c r="S7" i="19"/>
  <c r="AK238" i="19"/>
  <c r="AA7" i="19"/>
  <c r="AA82" i="19"/>
  <c r="G218" i="19"/>
  <c r="F100" i="19"/>
  <c r="AR238" i="19"/>
  <c r="Z82" i="19"/>
  <c r="AC238" i="19"/>
  <c r="AD238" i="19"/>
  <c r="T7" i="19"/>
  <c r="AL238" i="19"/>
  <c r="T82" i="19"/>
  <c r="H90" i="19"/>
  <c r="AF90" i="19"/>
  <c r="E224" i="19"/>
  <c r="D235" i="19"/>
  <c r="AH58" i="19"/>
  <c r="AH62" i="19"/>
  <c r="AH74" i="19"/>
  <c r="E100" i="19"/>
  <c r="AG2" i="19"/>
  <c r="C5" i="19"/>
  <c r="K5" i="19"/>
  <c r="S5" i="19"/>
  <c r="AA5" i="19"/>
  <c r="AH83" i="19"/>
  <c r="B89" i="19"/>
  <c r="AH40" i="19"/>
  <c r="AH44" i="19"/>
  <c r="B79" i="19"/>
  <c r="H223" i="19"/>
  <c r="AH86" i="19"/>
  <c r="E221" i="19"/>
  <c r="F221" i="19" s="1"/>
  <c r="G221" i="19" s="1"/>
  <c r="H221" i="19" s="1"/>
  <c r="I221" i="19" s="1"/>
  <c r="J221" i="19" s="1"/>
  <c r="K221" i="19" s="1"/>
  <c r="L221" i="19" s="1"/>
  <c r="M221" i="19" s="1"/>
  <c r="N221" i="19" s="1"/>
  <c r="O221" i="19" s="1"/>
  <c r="P221" i="19" s="1"/>
  <c r="AH87" i="19"/>
  <c r="AV238" i="20" l="1"/>
  <c r="AB7" i="19"/>
  <c r="K82" i="19"/>
  <c r="F224" i="19"/>
  <c r="G82" i="19"/>
  <c r="F7" i="20"/>
  <c r="AL238" i="21"/>
  <c r="Y7" i="21"/>
  <c r="Q82" i="19"/>
  <c r="D82" i="19"/>
  <c r="AA7" i="20"/>
  <c r="T7" i="21"/>
  <c r="G82" i="21"/>
  <c r="J82" i="19"/>
  <c r="AD82" i="20"/>
  <c r="L82" i="21"/>
  <c r="P82" i="21"/>
  <c r="L82" i="19"/>
  <c r="Y82" i="19"/>
  <c r="W7" i="19"/>
  <c r="AB238" i="20"/>
  <c r="S82" i="21"/>
  <c r="AF82" i="21"/>
  <c r="W7" i="21"/>
  <c r="U82" i="19"/>
  <c r="W82" i="19"/>
  <c r="V82" i="20"/>
  <c r="AC82" i="21"/>
  <c r="H7" i="21"/>
  <c r="G259" i="25"/>
  <c r="I223" i="25"/>
  <c r="H224" i="25"/>
  <c r="H100" i="25"/>
  <c r="X82" i="19"/>
  <c r="D90" i="20"/>
  <c r="S82" i="19"/>
  <c r="N82" i="19"/>
  <c r="W7" i="20"/>
  <c r="R82" i="20"/>
  <c r="AN238" i="20"/>
  <c r="AU238" i="20"/>
  <c r="AQ238" i="20"/>
  <c r="AC7" i="21"/>
  <c r="Y82" i="21"/>
  <c r="AN238" i="21"/>
  <c r="F224" i="22"/>
  <c r="G259" i="27"/>
  <c r="I223" i="27"/>
  <c r="AJ7" i="24"/>
  <c r="R7" i="20"/>
  <c r="V238" i="19"/>
  <c r="AM238" i="19"/>
  <c r="R82" i="19"/>
  <c r="AP238" i="19"/>
  <c r="AB82" i="19"/>
  <c r="D7" i="19"/>
  <c r="K82" i="20"/>
  <c r="Y7" i="20"/>
  <c r="E224" i="21"/>
  <c r="E100" i="21"/>
  <c r="F218" i="21"/>
  <c r="I218" i="27"/>
  <c r="H100" i="27"/>
  <c r="H224" i="27"/>
  <c r="AI100" i="32"/>
  <c r="AH100" i="33"/>
  <c r="AI100" i="33"/>
  <c r="K223" i="31"/>
  <c r="I259" i="31"/>
  <c r="J100" i="31"/>
  <c r="J224" i="31"/>
  <c r="K218" i="31"/>
  <c r="I100" i="30"/>
  <c r="I224" i="30"/>
  <c r="J218" i="30"/>
  <c r="K223" i="30"/>
  <c r="I259" i="30"/>
  <c r="M218" i="29"/>
  <c r="K223" i="29"/>
  <c r="I259" i="29"/>
  <c r="J100" i="29"/>
  <c r="J224" i="29"/>
  <c r="H259" i="28"/>
  <c r="J223" i="28"/>
  <c r="I100" i="28"/>
  <c r="I224" i="28"/>
  <c r="J218" i="28"/>
  <c r="J100" i="26"/>
  <c r="J224" i="26"/>
  <c r="K218" i="26"/>
  <c r="K259" i="26"/>
  <c r="M223" i="26"/>
  <c r="K218" i="25"/>
  <c r="AI82" i="24"/>
  <c r="AH82" i="24"/>
  <c r="H259" i="24"/>
  <c r="J223" i="24"/>
  <c r="I218" i="24"/>
  <c r="H100" i="24"/>
  <c r="H224" i="24"/>
  <c r="H218" i="23"/>
  <c r="G100" i="23"/>
  <c r="G224" i="23"/>
  <c r="G259" i="23"/>
  <c r="I223" i="23"/>
  <c r="K6" i="22"/>
  <c r="AI90" i="22"/>
  <c r="AH90" i="22"/>
  <c r="AH81" i="22"/>
  <c r="B7" i="22"/>
  <c r="T238" i="22"/>
  <c r="B82" i="22"/>
  <c r="AI81" i="22"/>
  <c r="H218" i="22"/>
  <c r="E259" i="22"/>
  <c r="G223" i="22"/>
  <c r="Z82" i="21"/>
  <c r="AR238" i="21"/>
  <c r="K82" i="21"/>
  <c r="AC238" i="21"/>
  <c r="AE7" i="20"/>
  <c r="AE82" i="20"/>
  <c r="N82" i="21"/>
  <c r="AF238" i="21"/>
  <c r="M82" i="21"/>
  <c r="AE238" i="21"/>
  <c r="I82" i="21"/>
  <c r="AA238" i="21"/>
  <c r="G7" i="21"/>
  <c r="Y238" i="21"/>
  <c r="J82" i="21"/>
  <c r="AB238" i="21"/>
  <c r="H82" i="21"/>
  <c r="I90" i="21"/>
  <c r="B233" i="21"/>
  <c r="C233" i="21"/>
  <c r="X238" i="21"/>
  <c r="F82" i="21"/>
  <c r="E7" i="21"/>
  <c r="E82" i="21"/>
  <c r="D7" i="21"/>
  <c r="V238" i="21"/>
  <c r="C7" i="21"/>
  <c r="C82" i="21"/>
  <c r="AH79" i="21"/>
  <c r="AI79" i="21"/>
  <c r="AI90" i="21"/>
  <c r="AH90" i="21"/>
  <c r="B7" i="21"/>
  <c r="T238" i="21"/>
  <c r="B82" i="21"/>
  <c r="AI81" i="21"/>
  <c r="AH81" i="21"/>
  <c r="AI89" i="21"/>
  <c r="AH89" i="21"/>
  <c r="E259" i="21"/>
  <c r="G223" i="21"/>
  <c r="N82" i="20"/>
  <c r="AF238" i="20"/>
  <c r="M82" i="20"/>
  <c r="AE238" i="20"/>
  <c r="K7" i="20"/>
  <c r="C233" i="20"/>
  <c r="Y238" i="20"/>
  <c r="B233" i="20"/>
  <c r="F82" i="20"/>
  <c r="E82" i="20"/>
  <c r="W238" i="20"/>
  <c r="B82" i="20"/>
  <c r="C82" i="20"/>
  <c r="C7" i="20"/>
  <c r="B90" i="20"/>
  <c r="AI89" i="20"/>
  <c r="AH89" i="20"/>
  <c r="F259" i="20"/>
  <c r="H223" i="20"/>
  <c r="H218" i="20"/>
  <c r="G100" i="20"/>
  <c r="G224" i="20"/>
  <c r="AI79" i="20"/>
  <c r="AH79" i="20"/>
  <c r="M82" i="19"/>
  <c r="AE238" i="19"/>
  <c r="I82" i="19"/>
  <c r="I7" i="19"/>
  <c r="E7" i="19"/>
  <c r="C233" i="19"/>
  <c r="H82" i="19"/>
  <c r="B233" i="19"/>
  <c r="Z238" i="19"/>
  <c r="F82" i="19"/>
  <c r="F7" i="19"/>
  <c r="AA238" i="19"/>
  <c r="E82" i="19"/>
  <c r="C7" i="19"/>
  <c r="C82" i="19"/>
  <c r="G259" i="19"/>
  <c r="I223" i="19"/>
  <c r="H218" i="19"/>
  <c r="G224" i="19"/>
  <c r="G100" i="19"/>
  <c r="AG6" i="19"/>
  <c r="AI79" i="19"/>
  <c r="AH79" i="19"/>
  <c r="B81" i="19"/>
  <c r="AI89" i="19"/>
  <c r="B90" i="19"/>
  <c r="AH89" i="19"/>
  <c r="I224" i="27" l="1"/>
  <c r="J218" i="27"/>
  <c r="I100" i="27"/>
  <c r="G218" i="21"/>
  <c r="H218" i="21" s="1"/>
  <c r="I218" i="21" s="1"/>
  <c r="J218" i="21" s="1"/>
  <c r="F100" i="21"/>
  <c r="H259" i="25"/>
  <c r="J223" i="25"/>
  <c r="I100" i="25"/>
  <c r="I224" i="25"/>
  <c r="F224" i="21"/>
  <c r="AJ9" i="21"/>
  <c r="A7" i="22"/>
  <c r="AK8" i="22"/>
  <c r="H259" i="27"/>
  <c r="J223" i="27"/>
  <c r="K100" i="31"/>
  <c r="K224" i="31"/>
  <c r="L218" i="31"/>
  <c r="J259" i="31"/>
  <c r="L223" i="31"/>
  <c r="J259" i="30"/>
  <c r="L223" i="30"/>
  <c r="J100" i="30"/>
  <c r="J224" i="30"/>
  <c r="K218" i="30"/>
  <c r="J259" i="29"/>
  <c r="L223" i="29"/>
  <c r="K100" i="29"/>
  <c r="K224" i="29"/>
  <c r="N218" i="29"/>
  <c r="J100" i="28"/>
  <c r="J224" i="28"/>
  <c r="K218" i="28"/>
  <c r="K223" i="28"/>
  <c r="I259" i="28"/>
  <c r="L259" i="26"/>
  <c r="N223" i="26"/>
  <c r="K100" i="26"/>
  <c r="K224" i="26"/>
  <c r="L218" i="26"/>
  <c r="L218" i="25"/>
  <c r="I100" i="24"/>
  <c r="I224" i="24"/>
  <c r="J218" i="24"/>
  <c r="K223" i="24"/>
  <c r="I259" i="24"/>
  <c r="H259" i="23"/>
  <c r="J223" i="23"/>
  <c r="I218" i="23"/>
  <c r="H100" i="23"/>
  <c r="H224" i="23"/>
  <c r="AI82" i="22"/>
  <c r="AH82" i="22"/>
  <c r="F259" i="22"/>
  <c r="H223" i="22"/>
  <c r="H100" i="22" s="1"/>
  <c r="G224" i="22"/>
  <c r="G100" i="22"/>
  <c r="I218" i="22"/>
  <c r="A7" i="21"/>
  <c r="K6" i="21"/>
  <c r="F259" i="21"/>
  <c r="H223" i="21"/>
  <c r="G100" i="21"/>
  <c r="G224" i="21"/>
  <c r="K218" i="21"/>
  <c r="AI82" i="21"/>
  <c r="AH82" i="21"/>
  <c r="K6" i="20"/>
  <c r="I218" i="20"/>
  <c r="H224" i="20"/>
  <c r="H100" i="20"/>
  <c r="B7" i="20"/>
  <c r="A7" i="20" s="1"/>
  <c r="T238" i="20"/>
  <c r="AI81" i="20"/>
  <c r="AH81" i="20"/>
  <c r="G259" i="20"/>
  <c r="I223" i="20"/>
  <c r="AI90" i="20"/>
  <c r="AH90" i="20"/>
  <c r="K6" i="19"/>
  <c r="AI90" i="19"/>
  <c r="AH90" i="19"/>
  <c r="I218" i="19"/>
  <c r="H100" i="19"/>
  <c r="H224" i="19"/>
  <c r="H259" i="19"/>
  <c r="J223" i="19"/>
  <c r="B7" i="19"/>
  <c r="A7" i="19" s="1"/>
  <c r="T238" i="19"/>
  <c r="B82" i="19"/>
  <c r="AI81" i="19"/>
  <c r="AH81" i="19"/>
  <c r="I259" i="25" l="1"/>
  <c r="K223" i="25"/>
  <c r="J224" i="25"/>
  <c r="J100" i="25"/>
  <c r="I259" i="27"/>
  <c r="K223" i="27"/>
  <c r="J100" i="27"/>
  <c r="J224" i="27"/>
  <c r="K218" i="27"/>
  <c r="K259" i="31"/>
  <c r="M223" i="31"/>
  <c r="L224" i="31"/>
  <c r="M218" i="31"/>
  <c r="L100" i="31"/>
  <c r="K100" i="30"/>
  <c r="K224" i="30"/>
  <c r="L218" i="30"/>
  <c r="K259" i="30"/>
  <c r="M223" i="30"/>
  <c r="O218" i="29"/>
  <c r="K259" i="29"/>
  <c r="M223" i="29"/>
  <c r="L224" i="29"/>
  <c r="L100" i="29"/>
  <c r="J259" i="28"/>
  <c r="L223" i="28"/>
  <c r="K100" i="28"/>
  <c r="K224" i="28"/>
  <c r="L218" i="28"/>
  <c r="M259" i="26"/>
  <c r="O223" i="26"/>
  <c r="L224" i="26"/>
  <c r="M218" i="26"/>
  <c r="L100" i="26"/>
  <c r="M218" i="25"/>
  <c r="J259" i="24"/>
  <c r="L223" i="24"/>
  <c r="J100" i="24"/>
  <c r="J224" i="24"/>
  <c r="K218" i="24"/>
  <c r="I100" i="23"/>
  <c r="I224" i="23"/>
  <c r="J218" i="23"/>
  <c r="K223" i="23"/>
  <c r="I259" i="23"/>
  <c r="J218" i="22"/>
  <c r="G259" i="22"/>
  <c r="I223" i="22"/>
  <c r="H224" i="22"/>
  <c r="L218" i="21"/>
  <c r="I223" i="21"/>
  <c r="G259" i="21"/>
  <c r="H100" i="21"/>
  <c r="H224" i="21"/>
  <c r="AI82" i="20"/>
  <c r="AH82" i="20"/>
  <c r="H259" i="20"/>
  <c r="J223" i="20"/>
  <c r="I100" i="20"/>
  <c r="I224" i="20"/>
  <c r="J218" i="20"/>
  <c r="AI82" i="19"/>
  <c r="AH82" i="19"/>
  <c r="I100" i="19"/>
  <c r="I224" i="19"/>
  <c r="J218" i="19"/>
  <c r="K223" i="19"/>
  <c r="I259" i="19"/>
  <c r="U103" i="18"/>
  <c r="U39" i="18"/>
  <c r="T103" i="18"/>
  <c r="T39" i="18"/>
  <c r="S103" i="18"/>
  <c r="S39" i="18"/>
  <c r="R39" i="18"/>
  <c r="Q39" i="18"/>
  <c r="J259" i="27" l="1"/>
  <c r="L223" i="27"/>
  <c r="J259" i="25"/>
  <c r="L223" i="25"/>
  <c r="K224" i="25"/>
  <c r="K100" i="25"/>
  <c r="K224" i="27"/>
  <c r="K100" i="27"/>
  <c r="L218" i="27"/>
  <c r="N218" i="31"/>
  <c r="M100" i="31"/>
  <c r="M224" i="31"/>
  <c r="L259" i="31"/>
  <c r="N223" i="31"/>
  <c r="L259" i="30"/>
  <c r="N223" i="30"/>
  <c r="L224" i="30"/>
  <c r="M218" i="30"/>
  <c r="L100" i="30"/>
  <c r="L259" i="29"/>
  <c r="N223" i="29"/>
  <c r="M100" i="29"/>
  <c r="M224" i="29"/>
  <c r="P218" i="29"/>
  <c r="L224" i="28"/>
  <c r="M218" i="28"/>
  <c r="L100" i="28"/>
  <c r="K259" i="28"/>
  <c r="M223" i="28"/>
  <c r="N218" i="26"/>
  <c r="M100" i="26"/>
  <c r="M224" i="26"/>
  <c r="P223" i="26"/>
  <c r="O259" i="26" s="1"/>
  <c r="N259" i="26"/>
  <c r="N218" i="25"/>
  <c r="K100" i="24"/>
  <c r="K224" i="24"/>
  <c r="L218" i="24"/>
  <c r="K259" i="24"/>
  <c r="M223" i="24"/>
  <c r="J259" i="23"/>
  <c r="L223" i="23"/>
  <c r="J100" i="23"/>
  <c r="J224" i="23"/>
  <c r="K218" i="23"/>
  <c r="H259" i="22"/>
  <c r="J223" i="22"/>
  <c r="I100" i="22"/>
  <c r="I224" i="22"/>
  <c r="J100" i="22"/>
  <c r="J224" i="22"/>
  <c r="K218" i="22"/>
  <c r="H259" i="21"/>
  <c r="J223" i="21"/>
  <c r="I100" i="21"/>
  <c r="I224" i="21"/>
  <c r="M218" i="21"/>
  <c r="K223" i="20"/>
  <c r="I259" i="20"/>
  <c r="J100" i="20"/>
  <c r="J224" i="20"/>
  <c r="K218" i="20"/>
  <c r="J100" i="19"/>
  <c r="J224" i="19"/>
  <c r="K218" i="19"/>
  <c r="K100" i="19" s="1"/>
  <c r="J259" i="19"/>
  <c r="L223" i="19"/>
  <c r="P103" i="18"/>
  <c r="P39" i="18"/>
  <c r="O103" i="18"/>
  <c r="O39" i="18"/>
  <c r="N103" i="18"/>
  <c r="N39" i="18"/>
  <c r="M103" i="18"/>
  <c r="M39" i="18"/>
  <c r="L103" i="18"/>
  <c r="L39" i="18"/>
  <c r="K103" i="18"/>
  <c r="K39" i="18"/>
  <c r="J103" i="18"/>
  <c r="J39" i="18"/>
  <c r="M223" i="25" l="1"/>
  <c r="K259" i="25"/>
  <c r="L224" i="25"/>
  <c r="L100" i="25"/>
  <c r="K259" i="27"/>
  <c r="M223" i="27"/>
  <c r="L224" i="27"/>
  <c r="M218" i="27"/>
  <c r="L100" i="27"/>
  <c r="M259" i="31"/>
  <c r="O223" i="31"/>
  <c r="O218" i="31"/>
  <c r="N100" i="31"/>
  <c r="N224" i="31"/>
  <c r="N218" i="30"/>
  <c r="M100" i="30"/>
  <c r="M224" i="30"/>
  <c r="M259" i="30"/>
  <c r="O223" i="30"/>
  <c r="M259" i="29"/>
  <c r="O223" i="29"/>
  <c r="N100" i="29"/>
  <c r="N224" i="29"/>
  <c r="L259" i="28"/>
  <c r="N223" i="28"/>
  <c r="N218" i="28"/>
  <c r="M100" i="28"/>
  <c r="M224" i="28"/>
  <c r="O218" i="26"/>
  <c r="N100" i="26"/>
  <c r="N224" i="26"/>
  <c r="O218" i="25"/>
  <c r="L259" i="24"/>
  <c r="N223" i="24"/>
  <c r="L224" i="24"/>
  <c r="M218" i="24"/>
  <c r="L100" i="24"/>
  <c r="K100" i="23"/>
  <c r="K224" i="23"/>
  <c r="L218" i="23"/>
  <c r="K259" i="23"/>
  <c r="M223" i="23"/>
  <c r="L218" i="22"/>
  <c r="K223" i="22"/>
  <c r="I259" i="22"/>
  <c r="N218" i="21"/>
  <c r="K223" i="21"/>
  <c r="I259" i="21"/>
  <c r="J224" i="21"/>
  <c r="J100" i="21"/>
  <c r="K100" i="20"/>
  <c r="K224" i="20"/>
  <c r="L218" i="20"/>
  <c r="J259" i="20"/>
  <c r="L223" i="20"/>
  <c r="K259" i="19"/>
  <c r="M223" i="19"/>
  <c r="K224" i="19"/>
  <c r="L218" i="19"/>
  <c r="L100" i="19" s="1"/>
  <c r="M100" i="27" l="1"/>
  <c r="M224" i="27"/>
  <c r="N218" i="27"/>
  <c r="N223" i="27"/>
  <c r="L259" i="27"/>
  <c r="L259" i="25"/>
  <c r="N223" i="25"/>
  <c r="M100" i="25"/>
  <c r="M224" i="25"/>
  <c r="N259" i="31"/>
  <c r="P223" i="31"/>
  <c r="O259" i="31" s="1"/>
  <c r="P218" i="31"/>
  <c r="O100" i="31"/>
  <c r="O224" i="31"/>
  <c r="N259" i="30"/>
  <c r="P223" i="30"/>
  <c r="O259" i="30" s="1"/>
  <c r="O218" i="30"/>
  <c r="N100" i="30"/>
  <c r="N224" i="30"/>
  <c r="N259" i="29"/>
  <c r="P223" i="29"/>
  <c r="O100" i="29"/>
  <c r="O224" i="29"/>
  <c r="M259" i="28"/>
  <c r="O223" i="28"/>
  <c r="O218" i="28"/>
  <c r="N100" i="28"/>
  <c r="N224" i="28"/>
  <c r="P218" i="26"/>
  <c r="O100" i="26"/>
  <c r="O224" i="26"/>
  <c r="P218" i="25"/>
  <c r="N218" i="24"/>
  <c r="M100" i="24"/>
  <c r="M224" i="24"/>
  <c r="M259" i="24"/>
  <c r="O223" i="24"/>
  <c r="L259" i="23"/>
  <c r="N223" i="23"/>
  <c r="L224" i="23"/>
  <c r="M218" i="23"/>
  <c r="L100" i="23"/>
  <c r="L223" i="22"/>
  <c r="L100" i="22" s="1"/>
  <c r="J259" i="22"/>
  <c r="L224" i="22"/>
  <c r="M218" i="22"/>
  <c r="K224" i="22"/>
  <c r="K100" i="22"/>
  <c r="J259" i="21"/>
  <c r="L223" i="21"/>
  <c r="K100" i="21"/>
  <c r="K224" i="21"/>
  <c r="O218" i="21"/>
  <c r="K259" i="20"/>
  <c r="M223" i="20"/>
  <c r="L224" i="20"/>
  <c r="M218" i="20"/>
  <c r="L100" i="20"/>
  <c r="L224" i="19"/>
  <c r="M218" i="19"/>
  <c r="L259" i="19"/>
  <c r="N223" i="19"/>
  <c r="O223" i="25" l="1"/>
  <c r="M259" i="25"/>
  <c r="N100" i="25"/>
  <c r="N224" i="25"/>
  <c r="M259" i="27"/>
  <c r="O223" i="27"/>
  <c r="N100" i="27"/>
  <c r="N224" i="27"/>
  <c r="O218" i="27"/>
  <c r="P100" i="31"/>
  <c r="P224" i="31"/>
  <c r="P218" i="30"/>
  <c r="O100" i="30"/>
  <c r="O224" i="30"/>
  <c r="O259" i="29"/>
  <c r="P100" i="29"/>
  <c r="AH100" i="29" s="1"/>
  <c r="P224" i="29"/>
  <c r="N259" i="28"/>
  <c r="P223" i="28"/>
  <c r="O259" i="28" s="1"/>
  <c r="P218" i="28"/>
  <c r="O100" i="28"/>
  <c r="O224" i="28"/>
  <c r="P100" i="26"/>
  <c r="P224" i="26"/>
  <c r="N259" i="24"/>
  <c r="P223" i="24"/>
  <c r="O259" i="24" s="1"/>
  <c r="O218" i="24"/>
  <c r="N100" i="24"/>
  <c r="N224" i="24"/>
  <c r="N218" i="23"/>
  <c r="M100" i="23"/>
  <c r="M224" i="23"/>
  <c r="M259" i="23"/>
  <c r="O223" i="23"/>
  <c r="N218" i="22"/>
  <c r="M100" i="22"/>
  <c r="K259" i="22"/>
  <c r="M223" i="22"/>
  <c r="P218" i="21"/>
  <c r="K259" i="21"/>
  <c r="M223" i="21"/>
  <c r="L100" i="21"/>
  <c r="L224" i="21"/>
  <c r="N218" i="20"/>
  <c r="M100" i="20"/>
  <c r="M224" i="20"/>
  <c r="L259" i="20"/>
  <c r="N223" i="20"/>
  <c r="O223" i="19"/>
  <c r="M259" i="19"/>
  <c r="N218" i="19"/>
  <c r="M100" i="19"/>
  <c r="M224" i="19"/>
  <c r="P223" i="27" l="1"/>
  <c r="O259" i="27" s="1"/>
  <c r="N259" i="27"/>
  <c r="P218" i="27"/>
  <c r="O224" i="27"/>
  <c r="O100" i="27"/>
  <c r="N259" i="25"/>
  <c r="P223" i="25"/>
  <c r="O224" i="25"/>
  <c r="O100" i="25"/>
  <c r="AI100" i="31"/>
  <c r="AH100" i="31"/>
  <c r="P100" i="30"/>
  <c r="P224" i="30"/>
  <c r="AI100" i="29"/>
  <c r="P100" i="28"/>
  <c r="P224" i="28"/>
  <c r="AI100" i="26"/>
  <c r="AH100" i="26"/>
  <c r="P218" i="24"/>
  <c r="O100" i="24"/>
  <c r="O224" i="24"/>
  <c r="N259" i="23"/>
  <c r="P223" i="23"/>
  <c r="O259" i="23" s="1"/>
  <c r="O218" i="23"/>
  <c r="N100" i="23"/>
  <c r="N224" i="23"/>
  <c r="L259" i="22"/>
  <c r="N223" i="22"/>
  <c r="O218" i="22"/>
  <c r="N100" i="22"/>
  <c r="N224" i="22"/>
  <c r="M224" i="22"/>
  <c r="L259" i="21"/>
  <c r="N223" i="21"/>
  <c r="M100" i="21"/>
  <c r="M224" i="21"/>
  <c r="M259" i="20"/>
  <c r="O223" i="20"/>
  <c r="O218" i="20"/>
  <c r="N100" i="20"/>
  <c r="N224" i="20"/>
  <c r="O218" i="19"/>
  <c r="N100" i="19"/>
  <c r="N224" i="19"/>
  <c r="N259" i="19"/>
  <c r="P223" i="19"/>
  <c r="O259" i="19" s="1"/>
  <c r="P100" i="27" l="1"/>
  <c r="AI100" i="27" s="1"/>
  <c r="P224" i="27"/>
  <c r="AH100" i="27"/>
  <c r="O259" i="25"/>
  <c r="P224" i="25"/>
  <c r="P100" i="25"/>
  <c r="AH100" i="25" s="1"/>
  <c r="AI100" i="30"/>
  <c r="AH100" i="30"/>
  <c r="AH100" i="28"/>
  <c r="AI100" i="28"/>
  <c r="P100" i="24"/>
  <c r="P224" i="24"/>
  <c r="P218" i="23"/>
  <c r="O100" i="23"/>
  <c r="O224" i="23"/>
  <c r="P218" i="22"/>
  <c r="M259" i="22"/>
  <c r="O223" i="22"/>
  <c r="M259" i="21"/>
  <c r="O223" i="21"/>
  <c r="N100" i="21"/>
  <c r="N224" i="21"/>
  <c r="P218" i="20"/>
  <c r="O224" i="20"/>
  <c r="O100" i="20"/>
  <c r="N259" i="20"/>
  <c r="P223" i="20"/>
  <c r="O259" i="20" s="1"/>
  <c r="P218" i="19"/>
  <c r="O224" i="19"/>
  <c r="O100" i="19"/>
  <c r="AI100" i="25" l="1"/>
  <c r="AI100" i="24"/>
  <c r="AH100" i="24"/>
  <c r="P100" i="23"/>
  <c r="P224" i="23"/>
  <c r="N259" i="22"/>
  <c r="P223" i="22"/>
  <c r="O259" i="22" s="1"/>
  <c r="O224" i="22"/>
  <c r="O100" i="22"/>
  <c r="P100" i="22"/>
  <c r="N259" i="21"/>
  <c r="P223" i="21"/>
  <c r="O100" i="21"/>
  <c r="O224" i="21"/>
  <c r="P100" i="20"/>
  <c r="P224" i="20"/>
  <c r="P100" i="19"/>
  <c r="P224" i="19"/>
  <c r="P224" i="22" l="1"/>
  <c r="AH100" i="23"/>
  <c r="AI100" i="23"/>
  <c r="AI100" i="22"/>
  <c r="AH100" i="22"/>
  <c r="O259" i="21"/>
  <c r="P100" i="21"/>
  <c r="P224" i="21"/>
  <c r="AI100" i="20"/>
  <c r="AH100" i="20"/>
  <c r="AH100" i="19"/>
  <c r="AI100" i="19"/>
  <c r="AI100" i="21" l="1"/>
  <c r="AH100" i="21"/>
  <c r="I103" i="18"/>
  <c r="I39" i="18"/>
  <c r="H103" i="18"/>
  <c r="H39" i="18"/>
  <c r="G103" i="18"/>
  <c r="G39" i="18"/>
  <c r="F103" i="18"/>
  <c r="F39" i="18"/>
  <c r="E103" i="18"/>
  <c r="E39" i="18"/>
  <c r="D103" i="18"/>
  <c r="D39" i="18"/>
  <c r="AI39" i="18" s="1"/>
  <c r="C103" i="18"/>
  <c r="C100" i="18" s="1"/>
  <c r="C39" i="18"/>
  <c r="B103" i="18"/>
  <c r="AF263" i="18"/>
  <c r="AE263" i="18"/>
  <c r="AD263" i="18"/>
  <c r="AC263" i="18"/>
  <c r="AB263" i="18"/>
  <c r="AA263" i="18"/>
  <c r="Z263" i="18"/>
  <c r="Y263" i="18"/>
  <c r="X263" i="18"/>
  <c r="W263" i="18"/>
  <c r="V263" i="18"/>
  <c r="U263" i="18"/>
  <c r="T263" i="18"/>
  <c r="S263" i="18"/>
  <c r="R263" i="18"/>
  <c r="Q263" i="18"/>
  <c r="P263" i="18"/>
  <c r="O263" i="18"/>
  <c r="N263" i="18"/>
  <c r="M263" i="18"/>
  <c r="L263" i="18"/>
  <c r="K263" i="18"/>
  <c r="J263" i="18"/>
  <c r="I263" i="18"/>
  <c r="H263" i="18"/>
  <c r="G263" i="18"/>
  <c r="F263" i="18"/>
  <c r="E263" i="18"/>
  <c r="D263" i="18"/>
  <c r="C263" i="18"/>
  <c r="B263" i="18"/>
  <c r="A263" i="18"/>
  <c r="AF262" i="18"/>
  <c r="AE262" i="18"/>
  <c r="AD262" i="18"/>
  <c r="AC262" i="18"/>
  <c r="AB262" i="18"/>
  <c r="AA262" i="18"/>
  <c r="Z262" i="18"/>
  <c r="Y262" i="18"/>
  <c r="X262" i="18"/>
  <c r="W262" i="18"/>
  <c r="V262" i="18"/>
  <c r="U262" i="18"/>
  <c r="T262" i="18"/>
  <c r="S262" i="18"/>
  <c r="R262" i="18"/>
  <c r="Q262" i="18"/>
  <c r="P262" i="18"/>
  <c r="O262" i="18"/>
  <c r="N262" i="18"/>
  <c r="M262" i="18"/>
  <c r="L262" i="18"/>
  <c r="K262" i="18"/>
  <c r="J262" i="18"/>
  <c r="I262" i="18"/>
  <c r="H262" i="18"/>
  <c r="G262" i="18"/>
  <c r="F262" i="18"/>
  <c r="E262" i="18"/>
  <c r="D262" i="18"/>
  <c r="C262" i="18"/>
  <c r="B262" i="18"/>
  <c r="A262" i="18"/>
  <c r="AF261" i="18"/>
  <c r="AE261" i="18"/>
  <c r="AD261" i="18"/>
  <c r="AC261" i="18"/>
  <c r="AB261" i="18"/>
  <c r="AA261" i="18"/>
  <c r="Z261" i="18"/>
  <c r="Y261" i="18"/>
  <c r="X261" i="18"/>
  <c r="W261" i="18"/>
  <c r="V261" i="18"/>
  <c r="U261" i="18"/>
  <c r="T261" i="18"/>
  <c r="S261" i="18"/>
  <c r="R261" i="18"/>
  <c r="Q261" i="18"/>
  <c r="P261" i="18"/>
  <c r="O261" i="18"/>
  <c r="N261" i="18"/>
  <c r="M261" i="18"/>
  <c r="L261" i="18"/>
  <c r="K261" i="18"/>
  <c r="J261" i="18"/>
  <c r="I261" i="18"/>
  <c r="H261" i="18"/>
  <c r="G261" i="18"/>
  <c r="F261" i="18"/>
  <c r="E261" i="18"/>
  <c r="D261" i="18"/>
  <c r="C261" i="18"/>
  <c r="B261" i="18"/>
  <c r="A261" i="18"/>
  <c r="AF260" i="18"/>
  <c r="AE260" i="18"/>
  <c r="AD260" i="18"/>
  <c r="AC260" i="18"/>
  <c r="AB260" i="18"/>
  <c r="AA260" i="18"/>
  <c r="Z260" i="18"/>
  <c r="Y260" i="18"/>
  <c r="X260" i="18"/>
  <c r="W260" i="18"/>
  <c r="V260" i="18"/>
  <c r="U260" i="18"/>
  <c r="T260" i="18"/>
  <c r="S260" i="18"/>
  <c r="R260" i="18"/>
  <c r="Q260" i="18"/>
  <c r="P260" i="18"/>
  <c r="O260" i="18"/>
  <c r="N260" i="18"/>
  <c r="M260" i="18"/>
  <c r="L260" i="18"/>
  <c r="K260" i="18"/>
  <c r="J260" i="18"/>
  <c r="I260" i="18"/>
  <c r="H260" i="18"/>
  <c r="G260" i="18"/>
  <c r="F260" i="18"/>
  <c r="E260" i="18"/>
  <c r="D260" i="18"/>
  <c r="C260" i="18"/>
  <c r="B260" i="18"/>
  <c r="A260" i="18"/>
  <c r="AE259" i="18"/>
  <c r="AD259" i="18"/>
  <c r="AC259" i="18"/>
  <c r="AB259" i="18"/>
  <c r="AA259" i="18"/>
  <c r="Z259" i="18"/>
  <c r="Y259" i="18"/>
  <c r="X259" i="18"/>
  <c r="W259" i="18"/>
  <c r="V259" i="18"/>
  <c r="U259" i="18"/>
  <c r="T259" i="18"/>
  <c r="S259" i="18"/>
  <c r="R259" i="18"/>
  <c r="Q259" i="18"/>
  <c r="P259" i="18"/>
  <c r="B259" i="18"/>
  <c r="S234" i="18"/>
  <c r="AG224" i="18"/>
  <c r="AF224" i="18"/>
  <c r="AE224" i="18"/>
  <c r="AD224" i="18"/>
  <c r="AC224" i="18"/>
  <c r="AB224" i="18"/>
  <c r="AA224" i="18"/>
  <c r="Z224" i="18"/>
  <c r="Y224" i="18"/>
  <c r="X224" i="18"/>
  <c r="W224" i="18"/>
  <c r="V224" i="18"/>
  <c r="U224" i="18"/>
  <c r="T224" i="18"/>
  <c r="S224" i="18"/>
  <c r="R224" i="18"/>
  <c r="Q224" i="18"/>
  <c r="C224" i="18"/>
  <c r="D223" i="18"/>
  <c r="C259" i="18" s="1"/>
  <c r="B223" i="18"/>
  <c r="AF259" i="18" s="1"/>
  <c r="E222" i="18"/>
  <c r="F222" i="18" s="1"/>
  <c r="G222" i="18" s="1"/>
  <c r="H222" i="18" s="1"/>
  <c r="I222" i="18" s="1"/>
  <c r="J222" i="18" s="1"/>
  <c r="K222" i="18" s="1"/>
  <c r="L222" i="18" s="1"/>
  <c r="M222" i="18" s="1"/>
  <c r="N222" i="18" s="1"/>
  <c r="O222" i="18" s="1"/>
  <c r="P222" i="18" s="1"/>
  <c r="D222" i="18"/>
  <c r="B222" i="18"/>
  <c r="E221" i="18"/>
  <c r="F221" i="18" s="1"/>
  <c r="G221" i="18" s="1"/>
  <c r="H221" i="18" s="1"/>
  <c r="I221" i="18" s="1"/>
  <c r="J221" i="18" s="1"/>
  <c r="K221" i="18" s="1"/>
  <c r="L221" i="18" s="1"/>
  <c r="M221" i="18" s="1"/>
  <c r="N221" i="18" s="1"/>
  <c r="O221" i="18" s="1"/>
  <c r="P221" i="18" s="1"/>
  <c r="D221" i="18"/>
  <c r="B221" i="18"/>
  <c r="E220" i="18"/>
  <c r="F220" i="18" s="1"/>
  <c r="G220" i="18" s="1"/>
  <c r="H220" i="18" s="1"/>
  <c r="I220" i="18" s="1"/>
  <c r="J220" i="18" s="1"/>
  <c r="K220" i="18" s="1"/>
  <c r="L220" i="18" s="1"/>
  <c r="M220" i="18" s="1"/>
  <c r="N220" i="18" s="1"/>
  <c r="O220" i="18" s="1"/>
  <c r="P220" i="18" s="1"/>
  <c r="D220" i="18"/>
  <c r="B220" i="18"/>
  <c r="D219" i="18"/>
  <c r="B219" i="18"/>
  <c r="E218" i="18"/>
  <c r="F218" i="18" s="1"/>
  <c r="D218" i="18"/>
  <c r="B218" i="18"/>
  <c r="B100" i="18" s="1"/>
  <c r="AG216" i="18"/>
  <c r="AF216" i="18"/>
  <c r="AE216" i="18"/>
  <c r="AD216" i="18"/>
  <c r="AC216" i="18"/>
  <c r="AB216" i="18"/>
  <c r="AA216" i="18"/>
  <c r="Z216" i="18"/>
  <c r="Y216" i="18"/>
  <c r="X216" i="18"/>
  <c r="W216" i="18"/>
  <c r="V216" i="18"/>
  <c r="U216" i="18"/>
  <c r="T216" i="18"/>
  <c r="S216" i="18"/>
  <c r="R216" i="18"/>
  <c r="Q216" i="18"/>
  <c r="P216" i="18"/>
  <c r="O216" i="18"/>
  <c r="N216" i="18"/>
  <c r="M216" i="18"/>
  <c r="L216" i="18"/>
  <c r="K216" i="18"/>
  <c r="J216" i="18"/>
  <c r="I216" i="18"/>
  <c r="H216" i="18"/>
  <c r="G216" i="18"/>
  <c r="F216" i="18"/>
  <c r="E216" i="18"/>
  <c r="D216" i="18"/>
  <c r="C216" i="18"/>
  <c r="B216" i="18"/>
  <c r="AI109" i="18"/>
  <c r="AH109" i="18"/>
  <c r="AI108" i="18"/>
  <c r="AH108" i="18"/>
  <c r="AI107" i="18"/>
  <c r="AH107" i="18"/>
  <c r="AI106" i="18"/>
  <c r="AH106" i="18"/>
  <c r="AI105" i="18"/>
  <c r="AH105" i="18"/>
  <c r="AI104" i="18"/>
  <c r="AH104" i="18"/>
  <c r="AI102" i="18"/>
  <c r="AH102" i="18"/>
  <c r="AI101" i="18"/>
  <c r="AH101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AI99" i="18"/>
  <c r="AH99" i="18"/>
  <c r="AI98" i="18"/>
  <c r="AH98" i="18"/>
  <c r="AI97" i="18"/>
  <c r="AH97" i="18"/>
  <c r="AI96" i="18"/>
  <c r="AH96" i="18"/>
  <c r="AI95" i="18"/>
  <c r="AH95" i="18"/>
  <c r="AI94" i="18"/>
  <c r="AH94" i="18"/>
  <c r="AI93" i="18"/>
  <c r="AH93" i="18"/>
  <c r="AI92" i="18"/>
  <c r="AH92" i="18"/>
  <c r="AI91" i="18"/>
  <c r="AH91" i="18"/>
  <c r="U89" i="18"/>
  <c r="AI88" i="18"/>
  <c r="AH88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AI80" i="18"/>
  <c r="AH80" i="18"/>
  <c r="AI78" i="18"/>
  <c r="AH78" i="18"/>
  <c r="AG78" i="18"/>
  <c r="AI77" i="18"/>
  <c r="AH77" i="18"/>
  <c r="AI76" i="18"/>
  <c r="AH76" i="18"/>
  <c r="AI75" i="18"/>
  <c r="AH75" i="18"/>
  <c r="AG74" i="18"/>
  <c r="AF74" i="18"/>
  <c r="AE5" i="18" s="1"/>
  <c r="AE74" i="18"/>
  <c r="AD74" i="18"/>
  <c r="AC5" i="18" s="1"/>
  <c r="AC74" i="18"/>
  <c r="AB5" i="18" s="1"/>
  <c r="AB74" i="18"/>
  <c r="AA5" i="18" s="1"/>
  <c r="AA74" i="18"/>
  <c r="Z5" i="18" s="1"/>
  <c r="Z74" i="18"/>
  <c r="Y5" i="18" s="1"/>
  <c r="Y74" i="18"/>
  <c r="X74" i="18"/>
  <c r="W5" i="18" s="1"/>
  <c r="W74" i="18"/>
  <c r="V5" i="18" s="1"/>
  <c r="V74" i="18"/>
  <c r="U5" i="18" s="1"/>
  <c r="U74" i="18"/>
  <c r="T74" i="18"/>
  <c r="S74" i="18"/>
  <c r="R5" i="18" s="1"/>
  <c r="R74" i="18"/>
  <c r="Q5" i="18" s="1"/>
  <c r="Q74" i="18"/>
  <c r="P5" i="18" s="1"/>
  <c r="P74" i="18"/>
  <c r="O5" i="18" s="1"/>
  <c r="O74" i="18"/>
  <c r="N5" i="18" s="1"/>
  <c r="N74" i="18"/>
  <c r="M74" i="18"/>
  <c r="L74" i="18"/>
  <c r="K5" i="18" s="1"/>
  <c r="K74" i="18"/>
  <c r="J5" i="18" s="1"/>
  <c r="J74" i="18"/>
  <c r="I5" i="18" s="1"/>
  <c r="I74" i="18"/>
  <c r="H5" i="18" s="1"/>
  <c r="H74" i="18"/>
  <c r="G5" i="18" s="1"/>
  <c r="G74" i="18"/>
  <c r="F74" i="18"/>
  <c r="E5" i="18" s="1"/>
  <c r="E74" i="18"/>
  <c r="D5" i="18" s="1"/>
  <c r="D74" i="18"/>
  <c r="C5" i="18" s="1"/>
  <c r="C74" i="18"/>
  <c r="B5" i="18" s="1"/>
  <c r="B74" i="18"/>
  <c r="AI73" i="18"/>
  <c r="AH73" i="18"/>
  <c r="AI72" i="18"/>
  <c r="AH72" i="18"/>
  <c r="AI71" i="18"/>
  <c r="AH71" i="18"/>
  <c r="AI70" i="18"/>
  <c r="AH70" i="18"/>
  <c r="AI69" i="18"/>
  <c r="AH69" i="18"/>
  <c r="AI68" i="18"/>
  <c r="AH68" i="18"/>
  <c r="AI67" i="18"/>
  <c r="AH67" i="18"/>
  <c r="AI66" i="18"/>
  <c r="AH66" i="18"/>
  <c r="AI65" i="18"/>
  <c r="AH65" i="18"/>
  <c r="AI64" i="18"/>
  <c r="AH64" i="18"/>
  <c r="AI63" i="18"/>
  <c r="AH63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I61" i="18"/>
  <c r="AH61" i="18"/>
  <c r="AI60" i="18"/>
  <c r="AH60" i="18"/>
  <c r="AI59" i="18"/>
  <c r="AH59" i="18"/>
  <c r="AF58" i="18"/>
  <c r="AE58" i="18"/>
  <c r="AD58" i="18"/>
  <c r="AC58" i="18"/>
  <c r="AB58" i="18"/>
  <c r="AA58" i="18"/>
  <c r="Z58" i="18"/>
  <c r="Y58" i="18"/>
  <c r="X58" i="18"/>
  <c r="W58" i="18"/>
  <c r="V58" i="18"/>
  <c r="U58" i="18"/>
  <c r="T58" i="18"/>
  <c r="S58" i="18"/>
  <c r="R58" i="18"/>
  <c r="Q58" i="18"/>
  <c r="P58" i="18"/>
  <c r="O58" i="18"/>
  <c r="N58" i="18"/>
  <c r="M58" i="18"/>
  <c r="L58" i="18"/>
  <c r="K58" i="18"/>
  <c r="J58" i="18"/>
  <c r="I58" i="18"/>
  <c r="H58" i="18"/>
  <c r="G58" i="18"/>
  <c r="F58" i="18"/>
  <c r="E58" i="18"/>
  <c r="D58" i="18"/>
  <c r="C58" i="18"/>
  <c r="B58" i="18"/>
  <c r="AI57" i="18"/>
  <c r="AH57" i="18"/>
  <c r="AG57" i="18"/>
  <c r="AG58" i="18" s="1"/>
  <c r="AG3" i="18" s="1"/>
  <c r="AI56" i="18"/>
  <c r="AH56" i="18"/>
  <c r="AI55" i="18"/>
  <c r="AH55" i="18"/>
  <c r="AI54" i="18"/>
  <c r="AH54" i="18"/>
  <c r="AI53" i="18"/>
  <c r="AH53" i="18"/>
  <c r="AI52" i="18"/>
  <c r="AH52" i="18"/>
  <c r="AI51" i="18"/>
  <c r="AH51" i="18"/>
  <c r="AI50" i="18"/>
  <c r="AH50" i="18"/>
  <c r="AI49" i="18"/>
  <c r="AH49" i="18"/>
  <c r="AI48" i="18"/>
  <c r="AH48" i="18"/>
  <c r="AI47" i="18"/>
  <c r="AH47" i="18"/>
  <c r="AI46" i="18"/>
  <c r="AH46" i="18"/>
  <c r="AI45" i="18"/>
  <c r="AH45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AI43" i="18"/>
  <c r="AH43" i="18"/>
  <c r="AI42" i="18"/>
  <c r="AH42" i="18"/>
  <c r="AI41" i="18"/>
  <c r="AH41" i="18"/>
  <c r="AG40" i="18"/>
  <c r="AG2" i="18" s="1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AI38" i="18"/>
  <c r="AH38" i="18"/>
  <c r="AI37" i="18"/>
  <c r="AH37" i="18"/>
  <c r="AI36" i="18"/>
  <c r="AH36" i="18"/>
  <c r="AI35" i="18"/>
  <c r="AH35" i="18"/>
  <c r="AI34" i="18"/>
  <c r="AH34" i="18"/>
  <c r="AI33" i="18"/>
  <c r="AH33" i="18"/>
  <c r="AI32" i="18"/>
  <c r="AH32" i="18"/>
  <c r="AI31" i="18"/>
  <c r="AH31" i="18"/>
  <c r="AI30" i="18"/>
  <c r="AH30" i="18"/>
  <c r="AI29" i="18"/>
  <c r="AH29" i="18"/>
  <c r="AI28" i="18"/>
  <c r="AH28" i="18"/>
  <c r="AI27" i="18"/>
  <c r="AH27" i="18"/>
  <c r="AI26" i="18"/>
  <c r="AH26" i="18"/>
  <c r="AI25" i="18"/>
  <c r="AH25" i="18"/>
  <c r="AI24" i="18"/>
  <c r="AH24" i="18"/>
  <c r="AI23" i="18"/>
  <c r="AH23" i="18"/>
  <c r="AI22" i="18"/>
  <c r="AH22" i="18"/>
  <c r="AI21" i="18"/>
  <c r="AH21" i="18"/>
  <c r="AI20" i="18"/>
  <c r="AH20" i="18"/>
  <c r="AI19" i="18"/>
  <c r="AH19" i="18"/>
  <c r="AI18" i="18"/>
  <c r="AH18" i="18"/>
  <c r="AI17" i="18"/>
  <c r="AH17" i="18"/>
  <c r="AI16" i="18"/>
  <c r="AH16" i="18"/>
  <c r="AI15" i="18"/>
  <c r="AH15" i="18"/>
  <c r="AI14" i="18"/>
  <c r="AH14" i="18"/>
  <c r="AI13" i="18"/>
  <c r="AH13" i="18"/>
  <c r="AI12" i="18"/>
  <c r="AH12" i="18"/>
  <c r="AI11" i="18"/>
  <c r="AH11" i="18"/>
  <c r="AG4" i="18"/>
  <c r="K4" i="18"/>
  <c r="B4" i="18"/>
  <c r="S235" i="18" s="1"/>
  <c r="AF103" i="17"/>
  <c r="AF39" i="17"/>
  <c r="AE103" i="17"/>
  <c r="AE39" i="17"/>
  <c r="AD103" i="17"/>
  <c r="AD39" i="17"/>
  <c r="AC103" i="17"/>
  <c r="AC39" i="17"/>
  <c r="AB103" i="17"/>
  <c r="AB39" i="17"/>
  <c r="AA103" i="17"/>
  <c r="AA39" i="17"/>
  <c r="Z103" i="17"/>
  <c r="Z39" i="17"/>
  <c r="Y103" i="17"/>
  <c r="Y39" i="17"/>
  <c r="X103" i="17"/>
  <c r="X39" i="17"/>
  <c r="V103" i="17"/>
  <c r="V39" i="17"/>
  <c r="U103" i="17"/>
  <c r="U39" i="17"/>
  <c r="T103" i="17"/>
  <c r="T39" i="17"/>
  <c r="S103" i="17"/>
  <c r="R39" i="17"/>
  <c r="S39" i="17"/>
  <c r="R103" i="17"/>
  <c r="E4" i="18"/>
  <c r="G89" i="18" l="1"/>
  <c r="O79" i="18"/>
  <c r="O81" i="18" s="1"/>
  <c r="P89" i="18"/>
  <c r="AH39" i="18"/>
  <c r="AH103" i="18"/>
  <c r="J89" i="18"/>
  <c r="J90" i="18" s="1"/>
  <c r="AI103" i="18"/>
  <c r="D224" i="18"/>
  <c r="T89" i="18"/>
  <c r="AB89" i="18"/>
  <c r="D100" i="18"/>
  <c r="B224" i="18"/>
  <c r="AF89" i="18"/>
  <c r="AD5" i="18"/>
  <c r="AE89" i="18"/>
  <c r="AE90" i="18" s="1"/>
  <c r="AE79" i="18"/>
  <c r="AE81" i="18" s="1"/>
  <c r="AD89" i="18"/>
  <c r="AD90" i="18" s="1"/>
  <c r="AD79" i="18"/>
  <c r="AD81" i="18" s="1"/>
  <c r="AV238" i="18" s="1"/>
  <c r="AF79" i="18"/>
  <c r="AF81" i="18" s="1"/>
  <c r="AF82" i="18" s="1"/>
  <c r="AC89" i="18"/>
  <c r="AC90" i="18"/>
  <c r="AC79" i="18"/>
  <c r="AC81" i="18" s="1"/>
  <c r="AC7" i="18" s="1"/>
  <c r="AB79" i="18"/>
  <c r="AB81" i="18" s="1"/>
  <c r="AB82" i="18" s="1"/>
  <c r="AA89" i="18"/>
  <c r="AA90" i="18" s="1"/>
  <c r="AA79" i="18"/>
  <c r="AA81" i="18" s="1"/>
  <c r="AS238" i="18" s="1"/>
  <c r="Z89" i="18"/>
  <c r="Z90" i="18" s="1"/>
  <c r="Z79" i="18"/>
  <c r="Z81" i="18" s="1"/>
  <c r="Y89" i="18"/>
  <c r="Y90" i="18" s="1"/>
  <c r="X5" i="18"/>
  <c r="Y79" i="18"/>
  <c r="Y81" i="18" s="1"/>
  <c r="Y7" i="18" s="1"/>
  <c r="X89" i="18"/>
  <c r="X79" i="18"/>
  <c r="X81" i="18" s="1"/>
  <c r="X7" i="18" s="1"/>
  <c r="W89" i="18"/>
  <c r="W79" i="18"/>
  <c r="W81" i="18" s="1"/>
  <c r="AO238" i="18" s="1"/>
  <c r="W90" i="18"/>
  <c r="V89" i="18"/>
  <c r="V90" i="18"/>
  <c r="V79" i="18"/>
  <c r="V81" i="18" s="1"/>
  <c r="V82" i="18" s="1"/>
  <c r="U90" i="18"/>
  <c r="T5" i="18"/>
  <c r="U79" i="18"/>
  <c r="U81" i="18" s="1"/>
  <c r="U7" i="18" s="1"/>
  <c r="T79" i="18"/>
  <c r="T81" i="18" s="1"/>
  <c r="S89" i="18"/>
  <c r="S90" i="18" s="1"/>
  <c r="S79" i="18"/>
  <c r="S81" i="18" s="1"/>
  <c r="S7" i="18" s="1"/>
  <c r="R89" i="18"/>
  <c r="R90" i="18" s="1"/>
  <c r="R79" i="18"/>
  <c r="R81" i="18" s="1"/>
  <c r="R7" i="18" s="1"/>
  <c r="Q89" i="18"/>
  <c r="Q90" i="18" s="1"/>
  <c r="Q79" i="18"/>
  <c r="Q81" i="18" s="1"/>
  <c r="Q7" i="18" s="1"/>
  <c r="P79" i="18"/>
  <c r="P81" i="18" s="1"/>
  <c r="O89" i="18"/>
  <c r="O90" i="18" s="1"/>
  <c r="N89" i="18"/>
  <c r="N90" i="18" s="1"/>
  <c r="M5" i="18"/>
  <c r="N79" i="18"/>
  <c r="N81" i="18" s="1"/>
  <c r="AF238" i="18" s="1"/>
  <c r="M89" i="18"/>
  <c r="M90" i="18" s="1"/>
  <c r="M79" i="18"/>
  <c r="M81" i="18" s="1"/>
  <c r="L5" i="18"/>
  <c r="L89" i="18"/>
  <c r="L79" i="18"/>
  <c r="L81" i="18" s="1"/>
  <c r="L7" i="18" s="1"/>
  <c r="K89" i="18"/>
  <c r="K90" i="18" s="1"/>
  <c r="K79" i="18"/>
  <c r="K81" i="18" s="1"/>
  <c r="K82" i="18" s="1"/>
  <c r="J79" i="18"/>
  <c r="J81" i="18" s="1"/>
  <c r="I89" i="18"/>
  <c r="I90" i="18" s="1"/>
  <c r="I79" i="18"/>
  <c r="I81" i="18" s="1"/>
  <c r="I7" i="18" s="1"/>
  <c r="H89" i="18"/>
  <c r="H79" i="18"/>
  <c r="H81" i="18" s="1"/>
  <c r="Z238" i="18" s="1"/>
  <c r="AI44" i="18"/>
  <c r="AI83" i="18"/>
  <c r="G90" i="18"/>
  <c r="F5" i="18"/>
  <c r="G79" i="18"/>
  <c r="G81" i="18" s="1"/>
  <c r="G7" i="18" s="1"/>
  <c r="F79" i="18"/>
  <c r="F81" i="18" s="1"/>
  <c r="F7" i="18" s="1"/>
  <c r="F89" i="18"/>
  <c r="F90" i="18" s="1"/>
  <c r="E89" i="18"/>
  <c r="E90" i="18"/>
  <c r="E79" i="18"/>
  <c r="E81" i="18" s="1"/>
  <c r="E7" i="18" s="1"/>
  <c r="AI84" i="18"/>
  <c r="D89" i="18"/>
  <c r="AH86" i="18"/>
  <c r="AI62" i="18"/>
  <c r="D79" i="18"/>
  <c r="D81" i="18" s="1"/>
  <c r="D82" i="18" s="1"/>
  <c r="AI86" i="18"/>
  <c r="C89" i="18"/>
  <c r="C90" i="18"/>
  <c r="AI87" i="18"/>
  <c r="AH85" i="18"/>
  <c r="AI74" i="18"/>
  <c r="C79" i="18"/>
  <c r="C81" i="18" s="1"/>
  <c r="C7" i="18" s="1"/>
  <c r="AI58" i="18"/>
  <c r="AH40" i="18"/>
  <c r="AF5" i="18"/>
  <c r="AH84" i="18"/>
  <c r="H4" i="18"/>
  <c r="J7" i="18"/>
  <c r="AB238" i="18"/>
  <c r="D7" i="18"/>
  <c r="V238" i="18"/>
  <c r="AL238" i="18"/>
  <c r="T82" i="18"/>
  <c r="T7" i="18"/>
  <c r="AT238" i="18"/>
  <c r="H90" i="18"/>
  <c r="P90" i="18"/>
  <c r="X90" i="18"/>
  <c r="AF90" i="18"/>
  <c r="AG81" i="18"/>
  <c r="AU238" i="18"/>
  <c r="AD82" i="18"/>
  <c r="G218" i="18"/>
  <c r="AG238" i="18"/>
  <c r="O82" i="18"/>
  <c r="O7" i="18"/>
  <c r="W82" i="18"/>
  <c r="W7" i="18"/>
  <c r="H7" i="18"/>
  <c r="P7" i="18"/>
  <c r="AH238" i="18"/>
  <c r="P82" i="18"/>
  <c r="AP238" i="18"/>
  <c r="X82" i="18"/>
  <c r="T90" i="18"/>
  <c r="AR238" i="18"/>
  <c r="Z82" i="18"/>
  <c r="Z7" i="18"/>
  <c r="AW238" i="18"/>
  <c r="I82" i="18"/>
  <c r="AG6" i="18"/>
  <c r="L90" i="18"/>
  <c r="D235" i="18"/>
  <c r="B79" i="18"/>
  <c r="AI40" i="18"/>
  <c r="AI85" i="18"/>
  <c r="D90" i="18"/>
  <c r="AH58" i="18"/>
  <c r="AH62" i="18"/>
  <c r="AH74" i="18"/>
  <c r="E100" i="18"/>
  <c r="E219" i="18"/>
  <c r="F219" i="18" s="1"/>
  <c r="G219" i="18" s="1"/>
  <c r="H219" i="18" s="1"/>
  <c r="I219" i="18" s="1"/>
  <c r="J219" i="18" s="1"/>
  <c r="K219" i="18" s="1"/>
  <c r="L219" i="18" s="1"/>
  <c r="M219" i="18" s="1"/>
  <c r="N219" i="18" s="1"/>
  <c r="O219" i="18" s="1"/>
  <c r="P219" i="18" s="1"/>
  <c r="E223" i="18"/>
  <c r="AG79" i="18"/>
  <c r="AB90" i="18"/>
  <c r="S5" i="18"/>
  <c r="AH83" i="18"/>
  <c r="B89" i="18"/>
  <c r="AH44" i="18"/>
  <c r="AH87" i="18"/>
  <c r="AE82" i="18" l="1"/>
  <c r="AB7" i="18"/>
  <c r="H82" i="18"/>
  <c r="J82" i="18"/>
  <c r="M82" i="18"/>
  <c r="AD7" i="18"/>
  <c r="AE7" i="18"/>
  <c r="AX238" i="18"/>
  <c r="AF7" i="18"/>
  <c r="AC82" i="18"/>
  <c r="AA82" i="18"/>
  <c r="AA7" i="18"/>
  <c r="AM238" i="18"/>
  <c r="U82" i="18"/>
  <c r="Y82" i="18"/>
  <c r="AQ238" i="18"/>
  <c r="S82" i="18"/>
  <c r="N7" i="18"/>
  <c r="K7" i="18"/>
  <c r="AN238" i="18"/>
  <c r="V7" i="18"/>
  <c r="AK238" i="18"/>
  <c r="R82" i="18"/>
  <c r="AJ238" i="18"/>
  <c r="Q82" i="18"/>
  <c r="AI238" i="18"/>
  <c r="G82" i="18"/>
  <c r="Y238" i="18"/>
  <c r="AE238" i="18"/>
  <c r="M7" i="18"/>
  <c r="N82" i="18"/>
  <c r="F82" i="18"/>
  <c r="X238" i="18"/>
  <c r="W238" i="18"/>
  <c r="L82" i="18"/>
  <c r="AD238" i="18"/>
  <c r="AC238" i="18"/>
  <c r="AA238" i="18"/>
  <c r="B233" i="18"/>
  <c r="C233" i="18"/>
  <c r="E82" i="18"/>
  <c r="C82" i="18"/>
  <c r="U238" i="18"/>
  <c r="F223" i="18"/>
  <c r="F224" i="18" s="1"/>
  <c r="D259" i="18"/>
  <c r="AH79" i="18"/>
  <c r="AI79" i="18"/>
  <c r="B81" i="18"/>
  <c r="AI89" i="18"/>
  <c r="AH89" i="18"/>
  <c r="B90" i="18"/>
  <c r="E224" i="18"/>
  <c r="H218" i="18"/>
  <c r="K6" i="18" l="1"/>
  <c r="I218" i="18"/>
  <c r="T238" i="18"/>
  <c r="B82" i="18"/>
  <c r="AI81" i="18"/>
  <c r="B7" i="18"/>
  <c r="A7" i="18" s="1"/>
  <c r="AH81" i="18"/>
  <c r="AI90" i="18"/>
  <c r="AH90" i="18"/>
  <c r="G223" i="18"/>
  <c r="E259" i="18"/>
  <c r="F100" i="18"/>
  <c r="Q103" i="17"/>
  <c r="Q39" i="17"/>
  <c r="P103" i="17"/>
  <c r="P39" i="17"/>
  <c r="O103" i="17"/>
  <c r="O39" i="17"/>
  <c r="N103" i="17"/>
  <c r="N39" i="17"/>
  <c r="M103" i="17"/>
  <c r="M39" i="17"/>
  <c r="L103" i="17"/>
  <c r="L39" i="17"/>
  <c r="K103" i="17"/>
  <c r="K39" i="17"/>
  <c r="J103" i="17"/>
  <c r="J39" i="17"/>
  <c r="I103" i="17"/>
  <c r="I39" i="17"/>
  <c r="H103" i="17"/>
  <c r="AH103" i="17" s="1"/>
  <c r="G103" i="17"/>
  <c r="H39" i="17"/>
  <c r="G39" i="17"/>
  <c r="F103" i="17"/>
  <c r="F39" i="17"/>
  <c r="E103" i="17"/>
  <c r="E39" i="17"/>
  <c r="D39" i="17"/>
  <c r="AH39" i="17" s="1"/>
  <c r="C39" i="17"/>
  <c r="B39" i="17"/>
  <c r="AF263" i="17"/>
  <c r="AE263" i="17"/>
  <c r="AD263" i="17"/>
  <c r="AC263" i="17"/>
  <c r="AB263" i="17"/>
  <c r="AA263" i="17"/>
  <c r="Z263" i="17"/>
  <c r="Y263" i="17"/>
  <c r="X263" i="17"/>
  <c r="W263" i="17"/>
  <c r="V263" i="17"/>
  <c r="U263" i="17"/>
  <c r="T263" i="17"/>
  <c r="S263" i="17"/>
  <c r="R263" i="17"/>
  <c r="Q263" i="17"/>
  <c r="P263" i="17"/>
  <c r="O263" i="17"/>
  <c r="N263" i="17"/>
  <c r="M263" i="17"/>
  <c r="L263" i="17"/>
  <c r="K263" i="17"/>
  <c r="J263" i="17"/>
  <c r="I263" i="17"/>
  <c r="H263" i="17"/>
  <c r="G263" i="17"/>
  <c r="F263" i="17"/>
  <c r="E263" i="17"/>
  <c r="D263" i="17"/>
  <c r="C263" i="17"/>
  <c r="B263" i="17"/>
  <c r="A263" i="17"/>
  <c r="AF262" i="17"/>
  <c r="AE262" i="17"/>
  <c r="AD262" i="17"/>
  <c r="AC262" i="17"/>
  <c r="AB262" i="17"/>
  <c r="AA262" i="17"/>
  <c r="Z262" i="17"/>
  <c r="Y262" i="17"/>
  <c r="X262" i="17"/>
  <c r="W262" i="17"/>
  <c r="V262" i="17"/>
  <c r="U262" i="17"/>
  <c r="T262" i="17"/>
  <c r="S262" i="17"/>
  <c r="R262" i="17"/>
  <c r="Q262" i="17"/>
  <c r="P262" i="17"/>
  <c r="O262" i="17"/>
  <c r="N262" i="17"/>
  <c r="M262" i="17"/>
  <c r="L262" i="17"/>
  <c r="K262" i="17"/>
  <c r="J262" i="17"/>
  <c r="I262" i="17"/>
  <c r="H262" i="17"/>
  <c r="G262" i="17"/>
  <c r="F262" i="17"/>
  <c r="E262" i="17"/>
  <c r="D262" i="17"/>
  <c r="C262" i="17"/>
  <c r="B262" i="17"/>
  <c r="A262" i="17"/>
  <c r="AF261" i="17"/>
  <c r="AE261" i="17"/>
  <c r="AD261" i="17"/>
  <c r="AC261" i="17"/>
  <c r="AB261" i="17"/>
  <c r="AA261" i="17"/>
  <c r="Z261" i="17"/>
  <c r="Y261" i="17"/>
  <c r="X261" i="17"/>
  <c r="W261" i="17"/>
  <c r="V261" i="17"/>
  <c r="U261" i="17"/>
  <c r="T261" i="17"/>
  <c r="S261" i="17"/>
  <c r="R261" i="17"/>
  <c r="Q261" i="17"/>
  <c r="P261" i="17"/>
  <c r="O261" i="17"/>
  <c r="N261" i="17"/>
  <c r="M261" i="17"/>
  <c r="L261" i="17"/>
  <c r="K261" i="17"/>
  <c r="J261" i="17"/>
  <c r="I261" i="17"/>
  <c r="H261" i="17"/>
  <c r="G261" i="17"/>
  <c r="F261" i="17"/>
  <c r="E261" i="17"/>
  <c r="D261" i="17"/>
  <c r="C261" i="17"/>
  <c r="B261" i="17"/>
  <c r="A261" i="17"/>
  <c r="AF260" i="17"/>
  <c r="AE260" i="17"/>
  <c r="AD260" i="17"/>
  <c r="AC260" i="17"/>
  <c r="AB260" i="17"/>
  <c r="AA260" i="17"/>
  <c r="Z260" i="17"/>
  <c r="Y260" i="17"/>
  <c r="X260" i="17"/>
  <c r="W260" i="17"/>
  <c r="V260" i="17"/>
  <c r="U260" i="17"/>
  <c r="T260" i="17"/>
  <c r="S260" i="17"/>
  <c r="R260" i="17"/>
  <c r="Q260" i="17"/>
  <c r="P260" i="17"/>
  <c r="O260" i="17"/>
  <c r="N260" i="17"/>
  <c r="M260" i="17"/>
  <c r="L260" i="17"/>
  <c r="K260" i="17"/>
  <c r="J260" i="17"/>
  <c r="I260" i="17"/>
  <c r="H260" i="17"/>
  <c r="G260" i="17"/>
  <c r="F260" i="17"/>
  <c r="E260" i="17"/>
  <c r="D260" i="17"/>
  <c r="C260" i="17"/>
  <c r="B260" i="17"/>
  <c r="A260" i="17"/>
  <c r="AE259" i="17"/>
  <c r="AD259" i="17"/>
  <c r="AC259" i="17"/>
  <c r="AB259" i="17"/>
  <c r="AA259" i="17"/>
  <c r="Z259" i="17"/>
  <c r="Y259" i="17"/>
  <c r="X259" i="17"/>
  <c r="W259" i="17"/>
  <c r="V259" i="17"/>
  <c r="U259" i="17"/>
  <c r="T259" i="17"/>
  <c r="S259" i="17"/>
  <c r="R259" i="17"/>
  <c r="Q259" i="17"/>
  <c r="P259" i="17"/>
  <c r="B259" i="17"/>
  <c r="S234" i="17"/>
  <c r="AG224" i="17"/>
  <c r="AF224" i="17"/>
  <c r="AE224" i="17"/>
  <c r="AD224" i="17"/>
  <c r="AC224" i="17"/>
  <c r="AB224" i="17"/>
  <c r="AA224" i="17"/>
  <c r="Z224" i="17"/>
  <c r="Y224" i="17"/>
  <c r="X224" i="17"/>
  <c r="W224" i="17"/>
  <c r="V224" i="17"/>
  <c r="U224" i="17"/>
  <c r="T224" i="17"/>
  <c r="S224" i="17"/>
  <c r="R224" i="17"/>
  <c r="Q224" i="17"/>
  <c r="C224" i="17"/>
  <c r="D223" i="17"/>
  <c r="C259" i="17" s="1"/>
  <c r="B223" i="17"/>
  <c r="AF259" i="17" s="1"/>
  <c r="D222" i="17"/>
  <c r="E222" i="17" s="1"/>
  <c r="F222" i="17" s="1"/>
  <c r="G222" i="17" s="1"/>
  <c r="H222" i="17" s="1"/>
  <c r="I222" i="17" s="1"/>
  <c r="J222" i="17" s="1"/>
  <c r="K222" i="17" s="1"/>
  <c r="L222" i="17" s="1"/>
  <c r="M222" i="17" s="1"/>
  <c r="N222" i="17" s="1"/>
  <c r="O222" i="17" s="1"/>
  <c r="P222" i="17" s="1"/>
  <c r="B222" i="17"/>
  <c r="D221" i="17"/>
  <c r="E221" i="17" s="1"/>
  <c r="F221" i="17" s="1"/>
  <c r="G221" i="17" s="1"/>
  <c r="H221" i="17" s="1"/>
  <c r="I221" i="17" s="1"/>
  <c r="J221" i="17" s="1"/>
  <c r="K221" i="17" s="1"/>
  <c r="L221" i="17" s="1"/>
  <c r="M221" i="17" s="1"/>
  <c r="N221" i="17" s="1"/>
  <c r="O221" i="17" s="1"/>
  <c r="P221" i="17" s="1"/>
  <c r="B221" i="17"/>
  <c r="D220" i="17"/>
  <c r="E220" i="17" s="1"/>
  <c r="F220" i="17" s="1"/>
  <c r="G220" i="17" s="1"/>
  <c r="H220" i="17" s="1"/>
  <c r="I220" i="17" s="1"/>
  <c r="J220" i="17" s="1"/>
  <c r="K220" i="17" s="1"/>
  <c r="L220" i="17" s="1"/>
  <c r="M220" i="17" s="1"/>
  <c r="N220" i="17" s="1"/>
  <c r="O220" i="17" s="1"/>
  <c r="P220" i="17" s="1"/>
  <c r="B220" i="17"/>
  <c r="D219" i="17"/>
  <c r="E219" i="17" s="1"/>
  <c r="F219" i="17" s="1"/>
  <c r="G219" i="17" s="1"/>
  <c r="H219" i="17" s="1"/>
  <c r="I219" i="17" s="1"/>
  <c r="J219" i="17" s="1"/>
  <c r="K219" i="17" s="1"/>
  <c r="L219" i="17" s="1"/>
  <c r="M219" i="17" s="1"/>
  <c r="N219" i="17" s="1"/>
  <c r="O219" i="17" s="1"/>
  <c r="P219" i="17" s="1"/>
  <c r="B219" i="17"/>
  <c r="D218" i="17"/>
  <c r="B218" i="17"/>
  <c r="AG216" i="17"/>
  <c r="AF216" i="17"/>
  <c r="AE216" i="17"/>
  <c r="AD216" i="17"/>
  <c r="AC216" i="17"/>
  <c r="AB216" i="17"/>
  <c r="AA216" i="17"/>
  <c r="Z216" i="17"/>
  <c r="Y216" i="17"/>
  <c r="X216" i="17"/>
  <c r="W216" i="17"/>
  <c r="V216" i="17"/>
  <c r="U216" i="17"/>
  <c r="T216" i="17"/>
  <c r="S216" i="17"/>
  <c r="R216" i="17"/>
  <c r="Q216" i="17"/>
  <c r="P216" i="17"/>
  <c r="O216" i="17"/>
  <c r="N216" i="17"/>
  <c r="M216" i="17"/>
  <c r="L216" i="17"/>
  <c r="K216" i="17"/>
  <c r="J216" i="17"/>
  <c r="I216" i="17"/>
  <c r="H216" i="17"/>
  <c r="G216" i="17"/>
  <c r="F216" i="17"/>
  <c r="E216" i="17"/>
  <c r="D216" i="17"/>
  <c r="C216" i="17"/>
  <c r="B216" i="17"/>
  <c r="AI109" i="17"/>
  <c r="AH109" i="17"/>
  <c r="AI108" i="17"/>
  <c r="AH108" i="17"/>
  <c r="AI107" i="17"/>
  <c r="AH107" i="17"/>
  <c r="AI106" i="17"/>
  <c r="AH106" i="17"/>
  <c r="AI105" i="17"/>
  <c r="AH105" i="17"/>
  <c r="AI104" i="17"/>
  <c r="AH104" i="17"/>
  <c r="AI102" i="17"/>
  <c r="AH102" i="17"/>
  <c r="AI101" i="17"/>
  <c r="AH101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D100" i="17"/>
  <c r="C100" i="17"/>
  <c r="AI99" i="17"/>
  <c r="AH99" i="17"/>
  <c r="AI98" i="17"/>
  <c r="AH98" i="17"/>
  <c r="AI97" i="17"/>
  <c r="AH97" i="17"/>
  <c r="AI96" i="17"/>
  <c r="AH96" i="17"/>
  <c r="AI95" i="17"/>
  <c r="AH95" i="17"/>
  <c r="AI94" i="17"/>
  <c r="AH94" i="17"/>
  <c r="AI93" i="17"/>
  <c r="AH93" i="17"/>
  <c r="AI92" i="17"/>
  <c r="AH92" i="17"/>
  <c r="AI91" i="17"/>
  <c r="AH91" i="17"/>
  <c r="AI88" i="17"/>
  <c r="AH88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F86" i="17"/>
  <c r="AE86" i="17"/>
  <c r="AD86" i="17"/>
  <c r="AC86" i="17"/>
  <c r="AB86" i="17"/>
  <c r="AA86" i="17"/>
  <c r="Z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F84" i="17"/>
  <c r="AE84" i="17"/>
  <c r="AD84" i="17"/>
  <c r="AC84" i="17"/>
  <c r="AB84" i="17"/>
  <c r="AA84" i="17"/>
  <c r="Z84" i="17"/>
  <c r="Y84" i="17"/>
  <c r="X84" i="17"/>
  <c r="X89" i="17" s="1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I89" i="17" s="1"/>
  <c r="H83" i="17"/>
  <c r="G83" i="17"/>
  <c r="F83" i="17"/>
  <c r="E83" i="17"/>
  <c r="D83" i="17"/>
  <c r="C83" i="17"/>
  <c r="B83" i="17"/>
  <c r="AI80" i="17"/>
  <c r="AH80" i="17"/>
  <c r="AI78" i="17"/>
  <c r="AH78" i="17"/>
  <c r="AG78" i="17"/>
  <c r="AI77" i="17"/>
  <c r="AH77" i="17"/>
  <c r="AI76" i="17"/>
  <c r="AH76" i="17"/>
  <c r="AI75" i="17"/>
  <c r="AH75" i="17"/>
  <c r="AG74" i="17"/>
  <c r="AF74" i="17"/>
  <c r="AE5" i="17" s="1"/>
  <c r="AE74" i="17"/>
  <c r="AD5" i="17" s="1"/>
  <c r="AD74" i="17"/>
  <c r="AC5" i="17" s="1"/>
  <c r="AC74" i="17"/>
  <c r="AB5" i="17" s="1"/>
  <c r="AB74" i="17"/>
  <c r="AA74" i="17"/>
  <c r="Z74" i="17"/>
  <c r="Y5" i="17" s="1"/>
  <c r="Y74" i="17"/>
  <c r="X5" i="17" s="1"/>
  <c r="X74" i="17"/>
  <c r="W74" i="17"/>
  <c r="V74" i="17"/>
  <c r="U5" i="17" s="1"/>
  <c r="U74" i="17"/>
  <c r="T5" i="17" s="1"/>
  <c r="T74" i="17"/>
  <c r="S74" i="17"/>
  <c r="R5" i="17" s="1"/>
  <c r="R74" i="17"/>
  <c r="Q74" i="17"/>
  <c r="P5" i="17" s="1"/>
  <c r="P74" i="17"/>
  <c r="O5" i="17" s="1"/>
  <c r="O74" i="17"/>
  <c r="N5" i="17" s="1"/>
  <c r="N74" i="17"/>
  <c r="M5" i="17" s="1"/>
  <c r="M74" i="17"/>
  <c r="L5" i="17" s="1"/>
  <c r="L74" i="17"/>
  <c r="K5" i="17" s="1"/>
  <c r="K74" i="17"/>
  <c r="J5" i="17" s="1"/>
  <c r="J74" i="17"/>
  <c r="I74" i="17"/>
  <c r="H5" i="17" s="1"/>
  <c r="H74" i="17"/>
  <c r="G74" i="17"/>
  <c r="F5" i="17" s="1"/>
  <c r="F74" i="17"/>
  <c r="E5" i="17" s="1"/>
  <c r="E74" i="17"/>
  <c r="D5" i="17" s="1"/>
  <c r="D74" i="17"/>
  <c r="C74" i="17"/>
  <c r="B74" i="17"/>
  <c r="AF5" i="17" s="1"/>
  <c r="AI73" i="17"/>
  <c r="AH73" i="17"/>
  <c r="AI72" i="17"/>
  <c r="AH72" i="17"/>
  <c r="AI71" i="17"/>
  <c r="AH71" i="17"/>
  <c r="AI70" i="17"/>
  <c r="AH70" i="17"/>
  <c r="AI69" i="17"/>
  <c r="AH69" i="17"/>
  <c r="AI68" i="17"/>
  <c r="AH68" i="17"/>
  <c r="AI67" i="17"/>
  <c r="AH67" i="17"/>
  <c r="AI66" i="17"/>
  <c r="AH66" i="17"/>
  <c r="AI65" i="17"/>
  <c r="AH65" i="17"/>
  <c r="AI64" i="17"/>
  <c r="AH64" i="17"/>
  <c r="AI63" i="17"/>
  <c r="AH63" i="17"/>
  <c r="AG62" i="17"/>
  <c r="AF62" i="17"/>
  <c r="AE62" i="17"/>
  <c r="AD62" i="17"/>
  <c r="AC62" i="17"/>
  <c r="AB62" i="17"/>
  <c r="AA62" i="17"/>
  <c r="Z62" i="17"/>
  <c r="Y62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I61" i="17"/>
  <c r="AH61" i="17"/>
  <c r="AI60" i="17"/>
  <c r="AH60" i="17"/>
  <c r="AI59" i="17"/>
  <c r="AH59" i="17"/>
  <c r="AG58" i="17"/>
  <c r="AG3" i="17" s="1"/>
  <c r="AF58" i="17"/>
  <c r="AE58" i="17"/>
  <c r="AD58" i="17"/>
  <c r="AC58" i="17"/>
  <c r="AB58" i="17"/>
  <c r="AA58" i="17"/>
  <c r="Z58" i="17"/>
  <c r="Y58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I57" i="17"/>
  <c r="AH57" i="17"/>
  <c r="AG57" i="17"/>
  <c r="AI56" i="17"/>
  <c r="AH56" i="17"/>
  <c r="AI55" i="17"/>
  <c r="AH55" i="17"/>
  <c r="AI54" i="17"/>
  <c r="AH54" i="17"/>
  <c r="AI53" i="17"/>
  <c r="AH53" i="17"/>
  <c r="AI52" i="17"/>
  <c r="AH52" i="17"/>
  <c r="AI51" i="17"/>
  <c r="AH51" i="17"/>
  <c r="AI50" i="17"/>
  <c r="AH50" i="17"/>
  <c r="AI49" i="17"/>
  <c r="AH49" i="17"/>
  <c r="AI48" i="17"/>
  <c r="AH48" i="17"/>
  <c r="AI47" i="17"/>
  <c r="AH47" i="17"/>
  <c r="AI46" i="17"/>
  <c r="AH46" i="17"/>
  <c r="AI45" i="17"/>
  <c r="AH45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I43" i="17"/>
  <c r="AH43" i="17"/>
  <c r="AI42" i="17"/>
  <c r="AH42" i="17"/>
  <c r="AI41" i="17"/>
  <c r="AH41" i="17"/>
  <c r="AG40" i="17"/>
  <c r="AG79" i="17" s="1"/>
  <c r="AF40" i="17"/>
  <c r="AE40" i="17"/>
  <c r="AD40" i="17"/>
  <c r="AC40" i="17"/>
  <c r="AB40" i="17"/>
  <c r="AA40" i="17"/>
  <c r="Z40" i="17"/>
  <c r="Y40" i="17"/>
  <c r="X40" i="17"/>
  <c r="W40" i="17"/>
  <c r="W79" i="17" s="1"/>
  <c r="W81" i="17" s="1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I39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V5" i="17"/>
  <c r="AG4" i="17"/>
  <c r="K4" i="17"/>
  <c r="B4" i="17"/>
  <c r="D235" i="17" s="1"/>
  <c r="AF39" i="16"/>
  <c r="AE39" i="16"/>
  <c r="AB103" i="16"/>
  <c r="AC103" i="16"/>
  <c r="AD39" i="16"/>
  <c r="AB39" i="16"/>
  <c r="E4" i="17"/>
  <c r="B100" i="17" l="1"/>
  <c r="AI103" i="17"/>
  <c r="AG2" i="17"/>
  <c r="AG6" i="17" s="1"/>
  <c r="B224" i="17"/>
  <c r="AG81" i="17"/>
  <c r="AD89" i="17"/>
  <c r="D224" i="17"/>
  <c r="AD79" i="17"/>
  <c r="AD81" i="17" s="1"/>
  <c r="AI82" i="18"/>
  <c r="AH82" i="18"/>
  <c r="H223" i="18"/>
  <c r="F259" i="18"/>
  <c r="G100" i="18"/>
  <c r="G224" i="18"/>
  <c r="J218" i="18"/>
  <c r="AF89" i="17"/>
  <c r="AF90" i="17" s="1"/>
  <c r="AF79" i="17"/>
  <c r="AF81" i="17" s="1"/>
  <c r="AE89" i="17"/>
  <c r="AE90" i="17" s="1"/>
  <c r="AE79" i="17"/>
  <c r="AE81" i="17" s="1"/>
  <c r="AC89" i="17"/>
  <c r="AC79" i="17"/>
  <c r="AC81" i="17" s="1"/>
  <c r="AC7" i="17" s="1"/>
  <c r="AB89" i="17"/>
  <c r="AB82" i="17" s="1"/>
  <c r="AA5" i="17"/>
  <c r="AB79" i="17"/>
  <c r="AB81" i="17" s="1"/>
  <c r="Z5" i="17"/>
  <c r="AA89" i="17"/>
  <c r="AA90" i="17" s="1"/>
  <c r="AA79" i="17"/>
  <c r="AA81" i="17" s="1"/>
  <c r="Z89" i="17"/>
  <c r="Z90" i="17" s="1"/>
  <c r="Z79" i="17"/>
  <c r="Z81" i="17" s="1"/>
  <c r="Z7" i="17" s="1"/>
  <c r="Y89" i="17"/>
  <c r="Y79" i="17"/>
  <c r="Y81" i="17" s="1"/>
  <c r="X90" i="17"/>
  <c r="W5" i="17"/>
  <c r="X79" i="17"/>
  <c r="X81" i="17" s="1"/>
  <c r="W89" i="17"/>
  <c r="W90" i="17" s="1"/>
  <c r="V89" i="17"/>
  <c r="V79" i="17"/>
  <c r="V81" i="17" s="1"/>
  <c r="V7" i="17" s="1"/>
  <c r="U89" i="17"/>
  <c r="U79" i="17"/>
  <c r="U81" i="17" s="1"/>
  <c r="T89" i="17"/>
  <c r="T90" i="17" s="1"/>
  <c r="S5" i="17"/>
  <c r="T79" i="17"/>
  <c r="T81" i="17" s="1"/>
  <c r="S79" i="17"/>
  <c r="S81" i="17" s="1"/>
  <c r="S89" i="17"/>
  <c r="S90" i="17" s="1"/>
  <c r="Q5" i="17"/>
  <c r="R89" i="17"/>
  <c r="R90" i="17" s="1"/>
  <c r="R79" i="17"/>
  <c r="R81" i="17" s="1"/>
  <c r="Q89" i="17"/>
  <c r="Q79" i="17"/>
  <c r="Q81" i="17" s="1"/>
  <c r="P79" i="17"/>
  <c r="P81" i="17" s="1"/>
  <c r="P89" i="17"/>
  <c r="P90" i="17" s="1"/>
  <c r="O89" i="17"/>
  <c r="O90" i="17"/>
  <c r="O79" i="17"/>
  <c r="O81" i="17" s="1"/>
  <c r="M79" i="17"/>
  <c r="M81" i="17" s="1"/>
  <c r="M82" i="17" s="1"/>
  <c r="M89" i="17"/>
  <c r="N79" i="17"/>
  <c r="N81" i="17" s="1"/>
  <c r="AF238" i="17" s="1"/>
  <c r="N89" i="17"/>
  <c r="N90" i="17" s="1"/>
  <c r="L89" i="17"/>
  <c r="L90" i="17" s="1"/>
  <c r="L79" i="17"/>
  <c r="L81" i="17" s="1"/>
  <c r="L82" i="17" s="1"/>
  <c r="K89" i="17"/>
  <c r="K90" i="17" s="1"/>
  <c r="K79" i="17"/>
  <c r="K81" i="17" s="1"/>
  <c r="J89" i="17"/>
  <c r="J90" i="17" s="1"/>
  <c r="I5" i="17"/>
  <c r="J79" i="17"/>
  <c r="J81" i="17" s="1"/>
  <c r="AB238" i="17" s="1"/>
  <c r="AI83" i="17"/>
  <c r="I79" i="17"/>
  <c r="I81" i="17" s="1"/>
  <c r="I7" i="17" s="1"/>
  <c r="AI62" i="17"/>
  <c r="H89" i="17"/>
  <c r="H90" i="17" s="1"/>
  <c r="G5" i="17"/>
  <c r="H79" i="17"/>
  <c r="H81" i="17" s="1"/>
  <c r="H7" i="17" s="1"/>
  <c r="G89" i="17"/>
  <c r="G90" i="17" s="1"/>
  <c r="G79" i="17"/>
  <c r="G81" i="17" s="1"/>
  <c r="Y238" i="17" s="1"/>
  <c r="AI85" i="17"/>
  <c r="F89" i="17"/>
  <c r="F79" i="17"/>
  <c r="F81" i="17" s="1"/>
  <c r="X238" i="17" s="1"/>
  <c r="AI86" i="17"/>
  <c r="E89" i="17"/>
  <c r="E79" i="17"/>
  <c r="E81" i="17" s="1"/>
  <c r="W238" i="17" s="1"/>
  <c r="AH85" i="17"/>
  <c r="D89" i="17"/>
  <c r="D90" i="17" s="1"/>
  <c r="C5" i="17"/>
  <c r="AI87" i="17"/>
  <c r="AI84" i="17"/>
  <c r="C89" i="17"/>
  <c r="C90" i="17" s="1"/>
  <c r="B5" i="17"/>
  <c r="AH62" i="17"/>
  <c r="C79" i="17"/>
  <c r="C81" i="17" s="1"/>
  <c r="U238" i="17" s="1"/>
  <c r="AH58" i="17"/>
  <c r="AI44" i="17"/>
  <c r="D79" i="17"/>
  <c r="D81" i="17" s="1"/>
  <c r="D7" i="17" s="1"/>
  <c r="AI40" i="17"/>
  <c r="AI58" i="17"/>
  <c r="H4" i="17"/>
  <c r="AB7" i="17"/>
  <c r="AT238" i="17"/>
  <c r="V82" i="17"/>
  <c r="AD7" i="17"/>
  <c r="AV238" i="17"/>
  <c r="AD82" i="17"/>
  <c r="AG238" i="17"/>
  <c r="O82" i="17"/>
  <c r="O7" i="17"/>
  <c r="AO238" i="17"/>
  <c r="W82" i="17"/>
  <c r="W7" i="17"/>
  <c r="AW238" i="17"/>
  <c r="AE82" i="17"/>
  <c r="AE7" i="17"/>
  <c r="H82" i="17"/>
  <c r="AH238" i="17"/>
  <c r="P7" i="17"/>
  <c r="P82" i="17"/>
  <c r="AP238" i="17"/>
  <c r="X82" i="17"/>
  <c r="X7" i="17"/>
  <c r="AF82" i="17"/>
  <c r="AX238" i="17"/>
  <c r="AF7" i="17"/>
  <c r="Y7" i="17"/>
  <c r="AQ238" i="17"/>
  <c r="Y82" i="17"/>
  <c r="T7" i="17"/>
  <c r="AL238" i="17"/>
  <c r="T82" i="17"/>
  <c r="Q7" i="17"/>
  <c r="AI238" i="17"/>
  <c r="Q82" i="17"/>
  <c r="R7" i="17"/>
  <c r="AJ238" i="17"/>
  <c r="R82" i="17"/>
  <c r="E90" i="17"/>
  <c r="M90" i="17"/>
  <c r="U90" i="17"/>
  <c r="AC90" i="17"/>
  <c r="U7" i="17"/>
  <c r="AM238" i="17"/>
  <c r="U82" i="17"/>
  <c r="C7" i="17"/>
  <c r="K7" i="17"/>
  <c r="AC238" i="17"/>
  <c r="K82" i="17"/>
  <c r="S7" i="17"/>
  <c r="AK238" i="17"/>
  <c r="S82" i="17"/>
  <c r="AA7" i="17"/>
  <c r="AS238" i="17"/>
  <c r="AA82" i="17"/>
  <c r="F90" i="17"/>
  <c r="V90" i="17"/>
  <c r="AD90" i="17"/>
  <c r="AH74" i="17"/>
  <c r="E223" i="17"/>
  <c r="S235" i="17"/>
  <c r="AI74" i="17"/>
  <c r="AH83" i="17"/>
  <c r="B89" i="17"/>
  <c r="I90" i="17"/>
  <c r="Q90" i="17"/>
  <c r="Y90" i="17"/>
  <c r="AH84" i="17"/>
  <c r="E218" i="17"/>
  <c r="AH40" i="17"/>
  <c r="AH44" i="17"/>
  <c r="B79" i="17"/>
  <c r="AH86" i="17"/>
  <c r="AH87" i="17"/>
  <c r="AB90" i="17" l="1"/>
  <c r="AN238" i="17"/>
  <c r="Z82" i="17"/>
  <c r="AR238" i="17"/>
  <c r="AC82" i="17"/>
  <c r="AU238" i="17"/>
  <c r="I223" i="18"/>
  <c r="G259" i="18"/>
  <c r="H224" i="18"/>
  <c r="H100" i="18"/>
  <c r="K218" i="18"/>
  <c r="AE238" i="17"/>
  <c r="N7" i="17"/>
  <c r="M7" i="17"/>
  <c r="N82" i="17"/>
  <c r="AD238" i="17"/>
  <c r="L7" i="17"/>
  <c r="G7" i="17"/>
  <c r="B233" i="17"/>
  <c r="J82" i="17"/>
  <c r="J7" i="17"/>
  <c r="I82" i="17"/>
  <c r="AA238" i="17"/>
  <c r="G82" i="17"/>
  <c r="Z238" i="17"/>
  <c r="E7" i="17"/>
  <c r="C233" i="17"/>
  <c r="K6" i="17" s="1"/>
  <c r="F7" i="17"/>
  <c r="F82" i="17"/>
  <c r="E82" i="17"/>
  <c r="D82" i="17"/>
  <c r="V238" i="17"/>
  <c r="C82" i="17"/>
  <c r="B81" i="17"/>
  <c r="AI79" i="17"/>
  <c r="AH79" i="17"/>
  <c r="AI89" i="17"/>
  <c r="AH89" i="17"/>
  <c r="B90" i="17"/>
  <c r="E224" i="17"/>
  <c r="F218" i="17"/>
  <c r="E100" i="17"/>
  <c r="D259" i="17"/>
  <c r="F223" i="17"/>
  <c r="L218" i="18" l="1"/>
  <c r="H259" i="18"/>
  <c r="J223" i="18"/>
  <c r="I224" i="18"/>
  <c r="I100" i="18"/>
  <c r="G218" i="17"/>
  <c r="F100" i="17"/>
  <c r="F224" i="17"/>
  <c r="E259" i="17"/>
  <c r="G223" i="17"/>
  <c r="AI90" i="17"/>
  <c r="AH90" i="17"/>
  <c r="B7" i="17"/>
  <c r="A7" i="17" s="1"/>
  <c r="T238" i="17"/>
  <c r="B82" i="17"/>
  <c r="AH81" i="17"/>
  <c r="AI81" i="17"/>
  <c r="K223" i="18" l="1"/>
  <c r="I259" i="18"/>
  <c r="J224" i="18"/>
  <c r="J100" i="18"/>
  <c r="M218" i="18"/>
  <c r="F259" i="17"/>
  <c r="H223" i="17"/>
  <c r="AI82" i="17"/>
  <c r="AH82" i="17"/>
  <c r="H218" i="17"/>
  <c r="G100" i="17"/>
  <c r="G224" i="17"/>
  <c r="N218" i="18" l="1"/>
  <c r="J259" i="18"/>
  <c r="L223" i="18"/>
  <c r="K100" i="18"/>
  <c r="K224" i="18"/>
  <c r="I218" i="17"/>
  <c r="H100" i="17"/>
  <c r="H224" i="17"/>
  <c r="G259" i="17"/>
  <c r="I223" i="17"/>
  <c r="K259" i="18" l="1"/>
  <c r="M223" i="18"/>
  <c r="L100" i="18"/>
  <c r="L224" i="18"/>
  <c r="O218" i="18"/>
  <c r="H259" i="17"/>
  <c r="J223" i="17"/>
  <c r="J218" i="17"/>
  <c r="I100" i="17"/>
  <c r="I224" i="17"/>
  <c r="P218" i="18" l="1"/>
  <c r="L259" i="18"/>
  <c r="N223" i="18"/>
  <c r="M100" i="18"/>
  <c r="M224" i="18"/>
  <c r="J100" i="17"/>
  <c r="J224" i="17"/>
  <c r="K218" i="17"/>
  <c r="K223" i="17"/>
  <c r="I259" i="17"/>
  <c r="M259" i="18" l="1"/>
  <c r="O223" i="18"/>
  <c r="N100" i="18"/>
  <c r="N224" i="18"/>
  <c r="L223" i="17"/>
  <c r="J259" i="17"/>
  <c r="K100" i="17"/>
  <c r="K224" i="17"/>
  <c r="L218" i="17"/>
  <c r="N259" i="18" l="1"/>
  <c r="P223" i="18"/>
  <c r="O224" i="18"/>
  <c r="O100" i="18"/>
  <c r="L224" i="17"/>
  <c r="L100" i="17"/>
  <c r="M218" i="17"/>
  <c r="K259" i="17"/>
  <c r="M223" i="17"/>
  <c r="O259" i="18" l="1"/>
  <c r="P224" i="18"/>
  <c r="P100" i="18"/>
  <c r="L259" i="17"/>
  <c r="N223" i="17"/>
  <c r="N218" i="17"/>
  <c r="M100" i="17"/>
  <c r="M224" i="17"/>
  <c r="AH100" i="18" l="1"/>
  <c r="AI100" i="18"/>
  <c r="O218" i="17"/>
  <c r="N100" i="17"/>
  <c r="N224" i="17"/>
  <c r="M259" i="17"/>
  <c r="O223" i="17"/>
  <c r="N259" i="17" l="1"/>
  <c r="P223" i="17"/>
  <c r="O259" i="17" s="1"/>
  <c r="P218" i="17"/>
  <c r="O100" i="17"/>
  <c r="O224" i="17"/>
  <c r="P100" i="17" l="1"/>
  <c r="P224" i="17"/>
  <c r="AI100" i="17" l="1"/>
  <c r="AH100" i="17"/>
  <c r="AA103" i="16" l="1"/>
  <c r="AA39" i="16"/>
  <c r="Z103" i="16"/>
  <c r="Z40" i="16" l="1"/>
  <c r="Z44" i="16"/>
  <c r="Z58" i="16"/>
  <c r="X103" i="16"/>
  <c r="X39" i="16"/>
  <c r="W103" i="16" l="1"/>
  <c r="W39" i="16"/>
  <c r="V103" i="16"/>
  <c r="V39" i="16"/>
  <c r="U103" i="16"/>
  <c r="U39" i="16"/>
  <c r="T103" i="16"/>
  <c r="AI103" i="16" s="1"/>
  <c r="T39" i="16"/>
  <c r="S103" i="16"/>
  <c r="S39" i="16"/>
  <c r="R39" i="16"/>
  <c r="Q103" i="16"/>
  <c r="Q39" i="16"/>
  <c r="P103" i="16"/>
  <c r="P39" i="16"/>
  <c r="AI39" i="16" s="1"/>
  <c r="N103" i="16"/>
  <c r="N39" i="16"/>
  <c r="M103" i="16"/>
  <c r="M39" i="16"/>
  <c r="AF263" i="16"/>
  <c r="AE263" i="16"/>
  <c r="AD263" i="16"/>
  <c r="AC263" i="16"/>
  <c r="AB263" i="16"/>
  <c r="AA263" i="16"/>
  <c r="Z263" i="16"/>
  <c r="Y263" i="16"/>
  <c r="X263" i="16"/>
  <c r="W263" i="16"/>
  <c r="V263" i="16"/>
  <c r="U263" i="16"/>
  <c r="T263" i="16"/>
  <c r="S263" i="16"/>
  <c r="R263" i="16"/>
  <c r="Q263" i="16"/>
  <c r="P263" i="16"/>
  <c r="O263" i="16"/>
  <c r="N263" i="16"/>
  <c r="M263" i="16"/>
  <c r="L263" i="16"/>
  <c r="K263" i="16"/>
  <c r="J263" i="16"/>
  <c r="I263" i="16"/>
  <c r="H263" i="16"/>
  <c r="G263" i="16"/>
  <c r="F263" i="16"/>
  <c r="E263" i="16"/>
  <c r="D263" i="16"/>
  <c r="C263" i="16"/>
  <c r="B263" i="16"/>
  <c r="A263" i="16"/>
  <c r="AF262" i="16"/>
  <c r="AE262" i="16"/>
  <c r="AD262" i="16"/>
  <c r="AC262" i="16"/>
  <c r="AB262" i="16"/>
  <c r="AA262" i="16"/>
  <c r="Z262" i="16"/>
  <c r="Y262" i="16"/>
  <c r="X262" i="16"/>
  <c r="W262" i="16"/>
  <c r="V262" i="16"/>
  <c r="U262" i="16"/>
  <c r="T262" i="16"/>
  <c r="S262" i="16"/>
  <c r="R262" i="16"/>
  <c r="Q262" i="16"/>
  <c r="P262" i="16"/>
  <c r="O262" i="16"/>
  <c r="N262" i="16"/>
  <c r="M262" i="16"/>
  <c r="L262" i="16"/>
  <c r="K262" i="16"/>
  <c r="J262" i="16"/>
  <c r="I262" i="16"/>
  <c r="H262" i="16"/>
  <c r="G262" i="16"/>
  <c r="F262" i="16"/>
  <c r="E262" i="16"/>
  <c r="D262" i="16"/>
  <c r="C262" i="16"/>
  <c r="B262" i="16"/>
  <c r="A262" i="16"/>
  <c r="AF261" i="16"/>
  <c r="AE261" i="16"/>
  <c r="AD261" i="16"/>
  <c r="AC261" i="16"/>
  <c r="AB261" i="16"/>
  <c r="AA261" i="16"/>
  <c r="Z261" i="16"/>
  <c r="Y261" i="16"/>
  <c r="X261" i="16"/>
  <c r="W261" i="16"/>
  <c r="V261" i="16"/>
  <c r="U261" i="16"/>
  <c r="T261" i="16"/>
  <c r="S261" i="16"/>
  <c r="R261" i="16"/>
  <c r="Q261" i="16"/>
  <c r="P261" i="16"/>
  <c r="O261" i="16"/>
  <c r="N261" i="16"/>
  <c r="M261" i="16"/>
  <c r="L261" i="16"/>
  <c r="K261" i="16"/>
  <c r="J261" i="16"/>
  <c r="I261" i="16"/>
  <c r="H261" i="16"/>
  <c r="G261" i="16"/>
  <c r="F261" i="16"/>
  <c r="E261" i="16"/>
  <c r="D261" i="16"/>
  <c r="C261" i="16"/>
  <c r="B261" i="16"/>
  <c r="A261" i="16"/>
  <c r="AF260" i="16"/>
  <c r="AE260" i="16"/>
  <c r="AD260" i="16"/>
  <c r="AC260" i="16"/>
  <c r="AB260" i="16"/>
  <c r="AA260" i="16"/>
  <c r="Z260" i="16"/>
  <c r="Y260" i="16"/>
  <c r="X260" i="16"/>
  <c r="W260" i="16"/>
  <c r="V260" i="16"/>
  <c r="U260" i="16"/>
  <c r="T260" i="16"/>
  <c r="S260" i="16"/>
  <c r="R260" i="16"/>
  <c r="Q260" i="16"/>
  <c r="P260" i="16"/>
  <c r="O260" i="16"/>
  <c r="N260" i="16"/>
  <c r="M260" i="16"/>
  <c r="L260" i="16"/>
  <c r="K260" i="16"/>
  <c r="J260" i="16"/>
  <c r="I260" i="16"/>
  <c r="H260" i="16"/>
  <c r="G260" i="16"/>
  <c r="F260" i="16"/>
  <c r="E260" i="16"/>
  <c r="D260" i="16"/>
  <c r="C260" i="16"/>
  <c r="B260" i="16"/>
  <c r="A260" i="16"/>
  <c r="AE259" i="16"/>
  <c r="AD259" i="16"/>
  <c r="AC259" i="16"/>
  <c r="AB259" i="16"/>
  <c r="AA259" i="16"/>
  <c r="Z259" i="16"/>
  <c r="Y259" i="16"/>
  <c r="X259" i="16"/>
  <c r="W259" i="16"/>
  <c r="V259" i="16"/>
  <c r="U259" i="16"/>
  <c r="T259" i="16"/>
  <c r="S259" i="16"/>
  <c r="R259" i="16"/>
  <c r="Q259" i="16"/>
  <c r="P259" i="16"/>
  <c r="B259" i="16"/>
  <c r="S234" i="16"/>
  <c r="AG224" i="16"/>
  <c r="AF224" i="16"/>
  <c r="AE224" i="16"/>
  <c r="AD224" i="16"/>
  <c r="AC224" i="16"/>
  <c r="AB224" i="16"/>
  <c r="AA224" i="16"/>
  <c r="Z224" i="16"/>
  <c r="Y224" i="16"/>
  <c r="X224" i="16"/>
  <c r="W224" i="16"/>
  <c r="V224" i="16"/>
  <c r="U224" i="16"/>
  <c r="T224" i="16"/>
  <c r="S224" i="16"/>
  <c r="R224" i="16"/>
  <c r="Q224" i="16"/>
  <c r="C224" i="16"/>
  <c r="D223" i="16"/>
  <c r="C259" i="16" s="1"/>
  <c r="B223" i="16"/>
  <c r="AF259" i="16" s="1"/>
  <c r="E222" i="16"/>
  <c r="F222" i="16" s="1"/>
  <c r="G222" i="16" s="1"/>
  <c r="H222" i="16" s="1"/>
  <c r="I222" i="16" s="1"/>
  <c r="J222" i="16" s="1"/>
  <c r="K222" i="16" s="1"/>
  <c r="L222" i="16" s="1"/>
  <c r="M222" i="16" s="1"/>
  <c r="N222" i="16" s="1"/>
  <c r="O222" i="16" s="1"/>
  <c r="P222" i="16" s="1"/>
  <c r="D222" i="16"/>
  <c r="B222" i="16"/>
  <c r="D221" i="16"/>
  <c r="E221" i="16" s="1"/>
  <c r="F221" i="16" s="1"/>
  <c r="G221" i="16" s="1"/>
  <c r="H221" i="16" s="1"/>
  <c r="I221" i="16" s="1"/>
  <c r="J221" i="16" s="1"/>
  <c r="K221" i="16" s="1"/>
  <c r="L221" i="16" s="1"/>
  <c r="M221" i="16" s="1"/>
  <c r="N221" i="16" s="1"/>
  <c r="O221" i="16" s="1"/>
  <c r="P221" i="16" s="1"/>
  <c r="B221" i="16"/>
  <c r="D220" i="16"/>
  <c r="E220" i="16" s="1"/>
  <c r="F220" i="16" s="1"/>
  <c r="G220" i="16" s="1"/>
  <c r="H220" i="16" s="1"/>
  <c r="I220" i="16" s="1"/>
  <c r="J220" i="16" s="1"/>
  <c r="K220" i="16" s="1"/>
  <c r="L220" i="16" s="1"/>
  <c r="M220" i="16" s="1"/>
  <c r="N220" i="16" s="1"/>
  <c r="O220" i="16" s="1"/>
  <c r="P220" i="16" s="1"/>
  <c r="B220" i="16"/>
  <c r="D219" i="16"/>
  <c r="E219" i="16" s="1"/>
  <c r="F219" i="16" s="1"/>
  <c r="G219" i="16" s="1"/>
  <c r="H219" i="16" s="1"/>
  <c r="I219" i="16" s="1"/>
  <c r="J219" i="16" s="1"/>
  <c r="K219" i="16" s="1"/>
  <c r="L219" i="16" s="1"/>
  <c r="M219" i="16" s="1"/>
  <c r="N219" i="16" s="1"/>
  <c r="O219" i="16" s="1"/>
  <c r="P219" i="16" s="1"/>
  <c r="B219" i="16"/>
  <c r="E218" i="16"/>
  <c r="F218" i="16" s="1"/>
  <c r="D218" i="16"/>
  <c r="D224" i="16" s="1"/>
  <c r="B218" i="16"/>
  <c r="AG216" i="16"/>
  <c r="AF216" i="16"/>
  <c r="AE216" i="16"/>
  <c r="AD216" i="16"/>
  <c r="AC216" i="16"/>
  <c r="AB216" i="16"/>
  <c r="AA216" i="16"/>
  <c r="Z216" i="16"/>
  <c r="Y216" i="16"/>
  <c r="X216" i="16"/>
  <c r="W216" i="16"/>
  <c r="V216" i="16"/>
  <c r="U216" i="16"/>
  <c r="T216" i="16"/>
  <c r="S216" i="16"/>
  <c r="R216" i="16"/>
  <c r="Q216" i="16"/>
  <c r="P216" i="16"/>
  <c r="O216" i="16"/>
  <c r="N216" i="16"/>
  <c r="M216" i="16"/>
  <c r="L216" i="16"/>
  <c r="K216" i="16"/>
  <c r="J216" i="16"/>
  <c r="I216" i="16"/>
  <c r="H216" i="16"/>
  <c r="G216" i="16"/>
  <c r="F216" i="16"/>
  <c r="E216" i="16"/>
  <c r="D216" i="16"/>
  <c r="C216" i="16"/>
  <c r="B216" i="16"/>
  <c r="AI109" i="16"/>
  <c r="AH109" i="16"/>
  <c r="AI108" i="16"/>
  <c r="AH108" i="16"/>
  <c r="AI107" i="16"/>
  <c r="AH107" i="16"/>
  <c r="AI106" i="16"/>
  <c r="AH106" i="16"/>
  <c r="AI105" i="16"/>
  <c r="AH105" i="16"/>
  <c r="AI104" i="16"/>
  <c r="AH104" i="16"/>
  <c r="AI102" i="16"/>
  <c r="AH102" i="16"/>
  <c r="AI101" i="16"/>
  <c r="AH101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S100" i="16"/>
  <c r="R100" i="16"/>
  <c r="Q100" i="16"/>
  <c r="D100" i="16"/>
  <c r="C100" i="16"/>
  <c r="AI99" i="16"/>
  <c r="AH99" i="16"/>
  <c r="AI98" i="16"/>
  <c r="AH98" i="16"/>
  <c r="AI97" i="16"/>
  <c r="AH97" i="16"/>
  <c r="AI96" i="16"/>
  <c r="AH96" i="16"/>
  <c r="AI95" i="16"/>
  <c r="AH95" i="16"/>
  <c r="AI94" i="16"/>
  <c r="AH94" i="16"/>
  <c r="AI93" i="16"/>
  <c r="AH93" i="16"/>
  <c r="AI92" i="16"/>
  <c r="AH92" i="16"/>
  <c r="AI91" i="16"/>
  <c r="AH91" i="16"/>
  <c r="AI88" i="16"/>
  <c r="AH88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AF83" i="16"/>
  <c r="AE83" i="16"/>
  <c r="AE89" i="16" s="1"/>
  <c r="AD83" i="16"/>
  <c r="AC83" i="16"/>
  <c r="AB83" i="16"/>
  <c r="AA83" i="16"/>
  <c r="Z83" i="16"/>
  <c r="Y83" i="16"/>
  <c r="X83" i="16"/>
  <c r="W83" i="16"/>
  <c r="W89" i="16" s="1"/>
  <c r="V83" i="16"/>
  <c r="U83" i="16"/>
  <c r="T83" i="16"/>
  <c r="S83" i="16"/>
  <c r="R83" i="16"/>
  <c r="Q83" i="16"/>
  <c r="P83" i="16"/>
  <c r="O83" i="16"/>
  <c r="O89" i="16" s="1"/>
  <c r="N83" i="16"/>
  <c r="M83" i="16"/>
  <c r="L83" i="16"/>
  <c r="K83" i="16"/>
  <c r="J83" i="16"/>
  <c r="J89" i="16" s="1"/>
  <c r="I83" i="16"/>
  <c r="H83" i="16"/>
  <c r="G83" i="16"/>
  <c r="G89" i="16" s="1"/>
  <c r="F83" i="16"/>
  <c r="E83" i="16"/>
  <c r="D83" i="16"/>
  <c r="C83" i="16"/>
  <c r="B83" i="16"/>
  <c r="AI80" i="16"/>
  <c r="AH80" i="16"/>
  <c r="AI78" i="16"/>
  <c r="AH78" i="16"/>
  <c r="AG78" i="16"/>
  <c r="AI77" i="16"/>
  <c r="AH77" i="16"/>
  <c r="AI76" i="16"/>
  <c r="AH76" i="16"/>
  <c r="AI75" i="16"/>
  <c r="AH75" i="16"/>
  <c r="AG74" i="16"/>
  <c r="AF74" i="16"/>
  <c r="AE5" i="16" s="1"/>
  <c r="AE74" i="16"/>
  <c r="AD74" i="16"/>
  <c r="AC74" i="16"/>
  <c r="AB74" i="16"/>
  <c r="AA5" i="16" s="1"/>
  <c r="AA74" i="16"/>
  <c r="Z74" i="16"/>
  <c r="Y74" i="16"/>
  <c r="X5" i="16" s="1"/>
  <c r="X74" i="16"/>
  <c r="W5" i="16" s="1"/>
  <c r="W74" i="16"/>
  <c r="V74" i="16"/>
  <c r="U74" i="16"/>
  <c r="T74" i="16"/>
  <c r="S74" i="16"/>
  <c r="R5" i="16" s="1"/>
  <c r="R74" i="16"/>
  <c r="Q74" i="16"/>
  <c r="P5" i="16" s="1"/>
  <c r="P74" i="16"/>
  <c r="O5" i="16" s="1"/>
  <c r="O74" i="16"/>
  <c r="N74" i="16"/>
  <c r="M5" i="16" s="1"/>
  <c r="M74" i="16"/>
  <c r="L74" i="16"/>
  <c r="K74" i="16"/>
  <c r="J5" i="16" s="1"/>
  <c r="J74" i="16"/>
  <c r="I74" i="16"/>
  <c r="H5" i="16" s="1"/>
  <c r="H74" i="16"/>
  <c r="G5" i="16" s="1"/>
  <c r="G74" i="16"/>
  <c r="F5" i="16" s="1"/>
  <c r="F74" i="16"/>
  <c r="E74" i="16"/>
  <c r="D74" i="16"/>
  <c r="C74" i="16"/>
  <c r="B74" i="16"/>
  <c r="AF5" i="16" s="1"/>
  <c r="AI73" i="16"/>
  <c r="AH73" i="16"/>
  <c r="AI72" i="16"/>
  <c r="AH72" i="16"/>
  <c r="AI71" i="16"/>
  <c r="AH71" i="16"/>
  <c r="AI70" i="16"/>
  <c r="AH70" i="16"/>
  <c r="AI69" i="16"/>
  <c r="AH69" i="16"/>
  <c r="AI68" i="16"/>
  <c r="AH68" i="16"/>
  <c r="AI67" i="16"/>
  <c r="AH67" i="16"/>
  <c r="AI66" i="16"/>
  <c r="AH66" i="16"/>
  <c r="AI65" i="16"/>
  <c r="AH65" i="16"/>
  <c r="AI64" i="16"/>
  <c r="AH64" i="16"/>
  <c r="AI63" i="16"/>
  <c r="AH63" i="16"/>
  <c r="AG62" i="16"/>
  <c r="AF62" i="16"/>
  <c r="AE62" i="16"/>
  <c r="AD62" i="16"/>
  <c r="AC62" i="16"/>
  <c r="AB62" i="16"/>
  <c r="AA62" i="16"/>
  <c r="Z62" i="16"/>
  <c r="Z79" i="16" s="1"/>
  <c r="Z81" i="16" s="1"/>
  <c r="X62" i="16"/>
  <c r="W62" i="16"/>
  <c r="V62" i="16"/>
  <c r="U62" i="16"/>
  <c r="T62" i="16"/>
  <c r="S62" i="16"/>
  <c r="R62" i="16"/>
  <c r="Q62" i="16"/>
  <c r="P62" i="16"/>
  <c r="O62" i="16"/>
  <c r="N62" i="16"/>
  <c r="M62" i="16"/>
  <c r="L62" i="16"/>
  <c r="K62" i="16"/>
  <c r="J62" i="16"/>
  <c r="I62" i="16"/>
  <c r="H62" i="16"/>
  <c r="G62" i="16"/>
  <c r="F62" i="16"/>
  <c r="E62" i="16"/>
  <c r="D62" i="16"/>
  <c r="C62" i="16"/>
  <c r="B62" i="16"/>
  <c r="AI61" i="16"/>
  <c r="AH61" i="16"/>
  <c r="AI60" i="16"/>
  <c r="AH60" i="16"/>
  <c r="AI59" i="16"/>
  <c r="AH59" i="16"/>
  <c r="AF58" i="16"/>
  <c r="AE58" i="16"/>
  <c r="AD58" i="16"/>
  <c r="AC58" i="16"/>
  <c r="AB58" i="16"/>
  <c r="AA58" i="16"/>
  <c r="Y58" i="16"/>
  <c r="X58" i="16"/>
  <c r="W58" i="16"/>
  <c r="V58" i="16"/>
  <c r="U58" i="16"/>
  <c r="T58" i="16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D58" i="16"/>
  <c r="C58" i="16"/>
  <c r="B58" i="16"/>
  <c r="AI57" i="16"/>
  <c r="AH57" i="16"/>
  <c r="AG57" i="16"/>
  <c r="AG58" i="16" s="1"/>
  <c r="AG3" i="16" s="1"/>
  <c r="AI56" i="16"/>
  <c r="AH56" i="16"/>
  <c r="AI55" i="16"/>
  <c r="AH55" i="16"/>
  <c r="AI54" i="16"/>
  <c r="AH54" i="16"/>
  <c r="AI53" i="16"/>
  <c r="AH53" i="16"/>
  <c r="AI52" i="16"/>
  <c r="AH52" i="16"/>
  <c r="AI51" i="16"/>
  <c r="AH51" i="16"/>
  <c r="AI50" i="16"/>
  <c r="AH50" i="16"/>
  <c r="AI49" i="16"/>
  <c r="AH49" i="16"/>
  <c r="AI48" i="16"/>
  <c r="AH48" i="16"/>
  <c r="AI47" i="16"/>
  <c r="AH47" i="16"/>
  <c r="AI46" i="16"/>
  <c r="AH46" i="16"/>
  <c r="AI45" i="16"/>
  <c r="AH45" i="16"/>
  <c r="AG44" i="16"/>
  <c r="AF44" i="16"/>
  <c r="AE44" i="16"/>
  <c r="AD44" i="16"/>
  <c r="AC44" i="16"/>
  <c r="AB44" i="16"/>
  <c r="AA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AI43" i="16"/>
  <c r="AH43" i="16"/>
  <c r="AI42" i="16"/>
  <c r="AH42" i="16"/>
  <c r="AI41" i="16"/>
  <c r="AH41" i="16"/>
  <c r="AG40" i="16"/>
  <c r="AF40" i="16"/>
  <c r="AE40" i="16"/>
  <c r="AD40" i="16"/>
  <c r="AC40" i="16"/>
  <c r="AB40" i="16"/>
  <c r="AA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AI38" i="16"/>
  <c r="AH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Z5" i="16"/>
  <c r="Y5" i="16"/>
  <c r="Q5" i="16"/>
  <c r="N5" i="16"/>
  <c r="AG4" i="16"/>
  <c r="K4" i="16"/>
  <c r="B4" i="16"/>
  <c r="S235" i="16" s="1"/>
  <c r="AG2" i="16"/>
  <c r="AA103" i="15"/>
  <c r="AA39" i="15"/>
  <c r="Z103" i="15"/>
  <c r="Z39" i="15"/>
  <c r="X103" i="15"/>
  <c r="X39" i="15"/>
  <c r="W103" i="15"/>
  <c r="W39" i="15"/>
  <c r="V103" i="15"/>
  <c r="V39" i="15"/>
  <c r="U103" i="15"/>
  <c r="U39" i="15"/>
  <c r="T103" i="15"/>
  <c r="T39" i="15"/>
  <c r="S103" i="15"/>
  <c r="S39" i="15"/>
  <c r="R39" i="15"/>
  <c r="Q103" i="15"/>
  <c r="Q39" i="15"/>
  <c r="P39" i="15"/>
  <c r="E4" i="16"/>
  <c r="AA89" i="16" l="1"/>
  <c r="B224" i="16"/>
  <c r="T100" i="16"/>
  <c r="O90" i="16"/>
  <c r="W90" i="16"/>
  <c r="D89" i="16"/>
  <c r="D90" i="16" s="1"/>
  <c r="B100" i="16"/>
  <c r="AH103" i="16"/>
  <c r="E223" i="16"/>
  <c r="O79" i="16"/>
  <c r="O81" i="16" s="1"/>
  <c r="J90" i="16"/>
  <c r="AH39" i="16"/>
  <c r="X89" i="16"/>
  <c r="AF89" i="16"/>
  <c r="AF90" i="16" s="1"/>
  <c r="AE90" i="16"/>
  <c r="AD5" i="16"/>
  <c r="AE79" i="16"/>
  <c r="AE81" i="16" s="1"/>
  <c r="AW238" i="16" s="1"/>
  <c r="AC5" i="16"/>
  <c r="AD89" i="16"/>
  <c r="AD90" i="16" s="1"/>
  <c r="AD79" i="16"/>
  <c r="AD81" i="16" s="1"/>
  <c r="AD7" i="16" s="1"/>
  <c r="AF79" i="16"/>
  <c r="AF81" i="16" s="1"/>
  <c r="AX238" i="16" s="1"/>
  <c r="AB79" i="16"/>
  <c r="AB81" i="16" s="1"/>
  <c r="AT238" i="16" s="1"/>
  <c r="AB89" i="16"/>
  <c r="AB90" i="16" s="1"/>
  <c r="AC79" i="16"/>
  <c r="AC81" i="16" s="1"/>
  <c r="AC7" i="16" s="1"/>
  <c r="AB5" i="16"/>
  <c r="AC89" i="16"/>
  <c r="AC90" i="16" s="1"/>
  <c r="AA79" i="16"/>
  <c r="AA81" i="16" s="1"/>
  <c r="AS238" i="16" s="1"/>
  <c r="Z89" i="16"/>
  <c r="Z90" i="16" s="1"/>
  <c r="Y89" i="16"/>
  <c r="Y79" i="16"/>
  <c r="Y81" i="16" s="1"/>
  <c r="AQ238" i="16" s="1"/>
  <c r="X79" i="16"/>
  <c r="X81" i="16" s="1"/>
  <c r="V5" i="16"/>
  <c r="W79" i="16"/>
  <c r="W81" i="16" s="1"/>
  <c r="W82" i="16" s="1"/>
  <c r="V89" i="16"/>
  <c r="V90" i="16" s="1"/>
  <c r="U5" i="16"/>
  <c r="V79" i="16"/>
  <c r="V81" i="16" s="1"/>
  <c r="V82" i="16" s="1"/>
  <c r="U89" i="16"/>
  <c r="U90" i="16" s="1"/>
  <c r="T5" i="16"/>
  <c r="U79" i="16"/>
  <c r="U81" i="16" s="1"/>
  <c r="U7" i="16" s="1"/>
  <c r="T89" i="16"/>
  <c r="T90" i="16" s="1"/>
  <c r="S5" i="16"/>
  <c r="T79" i="16"/>
  <c r="T81" i="16" s="1"/>
  <c r="T82" i="16" s="1"/>
  <c r="S79" i="16"/>
  <c r="S81" i="16" s="1"/>
  <c r="AK238" i="16" s="1"/>
  <c r="S89" i="16"/>
  <c r="S82" i="16" s="1"/>
  <c r="R89" i="16"/>
  <c r="R90" i="16"/>
  <c r="R79" i="16"/>
  <c r="R81" i="16" s="1"/>
  <c r="R82" i="16" s="1"/>
  <c r="Q89" i="16"/>
  <c r="AI84" i="16"/>
  <c r="Q79" i="16"/>
  <c r="Q81" i="16" s="1"/>
  <c r="AI238" i="16" s="1"/>
  <c r="P89" i="16"/>
  <c r="P90" i="16" s="1"/>
  <c r="P79" i="16"/>
  <c r="P81" i="16" s="1"/>
  <c r="AH238" i="16" s="1"/>
  <c r="N89" i="16"/>
  <c r="N90" i="16" s="1"/>
  <c r="N79" i="16"/>
  <c r="N81" i="16" s="1"/>
  <c r="AF238" i="16" s="1"/>
  <c r="M89" i="16"/>
  <c r="M90" i="16" s="1"/>
  <c r="L5" i="16"/>
  <c r="M79" i="16"/>
  <c r="M81" i="16" s="1"/>
  <c r="M7" i="16" s="1"/>
  <c r="K5" i="16"/>
  <c r="L89" i="16"/>
  <c r="L90" i="16" s="1"/>
  <c r="L79" i="16"/>
  <c r="L81" i="16" s="1"/>
  <c r="AD238" i="16" s="1"/>
  <c r="K89" i="16"/>
  <c r="I5" i="16"/>
  <c r="J79" i="16"/>
  <c r="J81" i="16" s="1"/>
  <c r="J82" i="16" s="1"/>
  <c r="K79" i="16"/>
  <c r="K81" i="16" s="1"/>
  <c r="I89" i="16"/>
  <c r="I79" i="16"/>
  <c r="I81" i="16" s="1"/>
  <c r="I7" i="16" s="1"/>
  <c r="H89" i="16"/>
  <c r="AH62" i="16"/>
  <c r="H79" i="16"/>
  <c r="H81" i="16" s="1"/>
  <c r="Z238" i="16" s="1"/>
  <c r="G90" i="16"/>
  <c r="G79" i="16"/>
  <c r="G81" i="16" s="1"/>
  <c r="G7" i="16" s="1"/>
  <c r="AI86" i="16"/>
  <c r="F79" i="16"/>
  <c r="F81" i="16" s="1"/>
  <c r="X238" i="16" s="1"/>
  <c r="AI85" i="16"/>
  <c r="C5" i="16"/>
  <c r="F90" i="16"/>
  <c r="D5" i="16"/>
  <c r="E89" i="16"/>
  <c r="E90" i="16" s="1"/>
  <c r="E5" i="16"/>
  <c r="F89" i="16"/>
  <c r="AI58" i="16"/>
  <c r="E79" i="16"/>
  <c r="E81" i="16" s="1"/>
  <c r="E7" i="16" s="1"/>
  <c r="AI44" i="16"/>
  <c r="D79" i="16"/>
  <c r="D81" i="16" s="1"/>
  <c r="D7" i="16" s="1"/>
  <c r="AI40" i="16"/>
  <c r="C89" i="16"/>
  <c r="C90" i="16" s="1"/>
  <c r="AI83" i="16"/>
  <c r="C79" i="16"/>
  <c r="C81" i="16" s="1"/>
  <c r="C7" i="16" s="1"/>
  <c r="B5" i="16"/>
  <c r="AI87" i="16"/>
  <c r="AH85" i="16"/>
  <c r="AH84" i="16"/>
  <c r="AI62" i="16"/>
  <c r="H4" i="16"/>
  <c r="AG238" i="16"/>
  <c r="O82" i="16"/>
  <c r="O7" i="16"/>
  <c r="AO238" i="16"/>
  <c r="AG81" i="16"/>
  <c r="K90" i="16"/>
  <c r="AA90" i="16"/>
  <c r="X7" i="16"/>
  <c r="AP238" i="16"/>
  <c r="X82" i="16"/>
  <c r="Q82" i="16"/>
  <c r="J7" i="16"/>
  <c r="AJ238" i="16"/>
  <c r="Z7" i="16"/>
  <c r="AR238" i="16"/>
  <c r="Z82" i="16"/>
  <c r="U238" i="16"/>
  <c r="C82" i="16"/>
  <c r="AA7" i="16"/>
  <c r="T7" i="16"/>
  <c r="AL238" i="16"/>
  <c r="H90" i="16"/>
  <c r="X90" i="16"/>
  <c r="G218" i="16"/>
  <c r="H7" i="16"/>
  <c r="H82" i="16"/>
  <c r="AG79" i="16"/>
  <c r="AG6" i="16"/>
  <c r="AM238" i="16"/>
  <c r="I90" i="16"/>
  <c r="Q90" i="16"/>
  <c r="Y90" i="16"/>
  <c r="E224" i="16"/>
  <c r="D235" i="16"/>
  <c r="AH58" i="16"/>
  <c r="AH74" i="16"/>
  <c r="AI74" i="16"/>
  <c r="AH83" i="16"/>
  <c r="B89" i="16"/>
  <c r="AH40" i="16"/>
  <c r="AH44" i="16"/>
  <c r="B79" i="16"/>
  <c r="AH86" i="16"/>
  <c r="AH87" i="16"/>
  <c r="N7" i="16" l="1"/>
  <c r="Y82" i="16"/>
  <c r="Y7" i="16"/>
  <c r="G82" i="16"/>
  <c r="R7" i="16"/>
  <c r="S90" i="16"/>
  <c r="N82" i="16"/>
  <c r="E100" i="16"/>
  <c r="D259" i="16"/>
  <c r="F223" i="16"/>
  <c r="AB238" i="16"/>
  <c r="AF7" i="16"/>
  <c r="AE7" i="16"/>
  <c r="AE82" i="16"/>
  <c r="AF82" i="16"/>
  <c r="AD82" i="16"/>
  <c r="AV238" i="16"/>
  <c r="AB7" i="16"/>
  <c r="AN238" i="16"/>
  <c r="V7" i="16"/>
  <c r="S7" i="16"/>
  <c r="Q7" i="16"/>
  <c r="AA82" i="16"/>
  <c r="W7" i="16"/>
  <c r="P7" i="16"/>
  <c r="P82" i="16"/>
  <c r="AE238" i="16"/>
  <c r="L82" i="16"/>
  <c r="L7" i="16"/>
  <c r="I82" i="16"/>
  <c r="AA238" i="16"/>
  <c r="AB82" i="16"/>
  <c r="AC82" i="16"/>
  <c r="AU238" i="16"/>
  <c r="U82" i="16"/>
  <c r="M82" i="16"/>
  <c r="C233" i="16"/>
  <c r="K7" i="16"/>
  <c r="K82" i="16"/>
  <c r="AC238" i="16"/>
  <c r="Y238" i="16"/>
  <c r="B233" i="16"/>
  <c r="F7" i="16"/>
  <c r="F82" i="16"/>
  <c r="E82" i="16"/>
  <c r="W238" i="16"/>
  <c r="D82" i="16"/>
  <c r="V238" i="16"/>
  <c r="AI89" i="16"/>
  <c r="AH89" i="16"/>
  <c r="B90" i="16"/>
  <c r="AI79" i="16"/>
  <c r="AH79" i="16"/>
  <c r="B81" i="16"/>
  <c r="H218" i="16"/>
  <c r="E259" i="16" l="1"/>
  <c r="G223" i="16"/>
  <c r="F100" i="16"/>
  <c r="F224" i="16"/>
  <c r="K6" i="16"/>
  <c r="B7" i="16"/>
  <c r="A7" i="16" s="1"/>
  <c r="T238" i="16"/>
  <c r="B82" i="16"/>
  <c r="AI81" i="16"/>
  <c r="AH81" i="16"/>
  <c r="AI90" i="16"/>
  <c r="AH90" i="16"/>
  <c r="I218" i="16"/>
  <c r="F259" i="16" l="1"/>
  <c r="H223" i="16"/>
  <c r="G224" i="16"/>
  <c r="G100" i="16"/>
  <c r="AI82" i="16"/>
  <c r="AH82" i="16"/>
  <c r="J218" i="16"/>
  <c r="G259" i="16" l="1"/>
  <c r="I223" i="16"/>
  <c r="H224" i="16"/>
  <c r="H100" i="16"/>
  <c r="K218" i="16"/>
  <c r="J223" i="16" l="1"/>
  <c r="H259" i="16"/>
  <c r="I100" i="16"/>
  <c r="I224" i="16"/>
  <c r="L218" i="16"/>
  <c r="K223" i="16" l="1"/>
  <c r="I259" i="16"/>
  <c r="J224" i="16"/>
  <c r="J100" i="16"/>
  <c r="M218" i="16"/>
  <c r="O39" i="15"/>
  <c r="J259" i="16" l="1"/>
  <c r="L223" i="16"/>
  <c r="K100" i="16"/>
  <c r="K224" i="16"/>
  <c r="N218" i="16"/>
  <c r="N39" i="15"/>
  <c r="M39" i="15"/>
  <c r="L39" i="15"/>
  <c r="K39" i="15"/>
  <c r="J39" i="15"/>
  <c r="I39" i="15"/>
  <c r="H39" i="15"/>
  <c r="G39" i="15"/>
  <c r="F39" i="15"/>
  <c r="E39" i="15"/>
  <c r="D103" i="15"/>
  <c r="D39" i="15"/>
  <c r="C103" i="15"/>
  <c r="C39" i="15"/>
  <c r="AI39" i="15" s="1"/>
  <c r="B103" i="15"/>
  <c r="B39" i="15"/>
  <c r="B87" i="15"/>
  <c r="B86" i="15"/>
  <c r="B85" i="15"/>
  <c r="B84" i="15"/>
  <c r="B83" i="15"/>
  <c r="B74" i="15"/>
  <c r="AF5" i="15" s="1"/>
  <c r="B62" i="15"/>
  <c r="B58" i="15"/>
  <c r="B44" i="15"/>
  <c r="B40" i="15"/>
  <c r="AF263" i="15"/>
  <c r="AE263" i="15"/>
  <c r="AD263" i="15"/>
  <c r="AC263" i="15"/>
  <c r="AB263" i="15"/>
  <c r="AA263" i="15"/>
  <c r="Z263" i="15"/>
  <c r="Y263" i="15"/>
  <c r="X263" i="15"/>
  <c r="W263" i="15"/>
  <c r="V263" i="15"/>
  <c r="U263" i="15"/>
  <c r="T263" i="15"/>
  <c r="S263" i="15"/>
  <c r="R263" i="15"/>
  <c r="Q263" i="15"/>
  <c r="P263" i="15"/>
  <c r="O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AF262" i="15"/>
  <c r="AE262" i="15"/>
  <c r="AD262" i="15"/>
  <c r="AC262" i="15"/>
  <c r="AB262" i="15"/>
  <c r="AA262" i="15"/>
  <c r="Z262" i="15"/>
  <c r="Y262" i="15"/>
  <c r="X262" i="15"/>
  <c r="W262" i="15"/>
  <c r="V262" i="15"/>
  <c r="U262" i="15"/>
  <c r="T262" i="15"/>
  <c r="S262" i="15"/>
  <c r="R262" i="15"/>
  <c r="Q262" i="15"/>
  <c r="P262" i="15"/>
  <c r="O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AF261" i="15"/>
  <c r="AE261" i="15"/>
  <c r="AD261" i="15"/>
  <c r="AC261" i="15"/>
  <c r="AB261" i="15"/>
  <c r="AA261" i="15"/>
  <c r="Z261" i="15"/>
  <c r="Y261" i="15"/>
  <c r="X261" i="15"/>
  <c r="W261" i="15"/>
  <c r="V261" i="15"/>
  <c r="U261" i="15"/>
  <c r="T261" i="15"/>
  <c r="S261" i="15"/>
  <c r="R261" i="15"/>
  <c r="Q261" i="15"/>
  <c r="P261" i="15"/>
  <c r="O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AF260" i="15"/>
  <c r="AE260" i="15"/>
  <c r="AD260" i="15"/>
  <c r="AC260" i="15"/>
  <c r="AB260" i="15"/>
  <c r="AA260" i="15"/>
  <c r="Z260" i="15"/>
  <c r="Y260" i="15"/>
  <c r="X260" i="15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AE259" i="15"/>
  <c r="AD259" i="15"/>
  <c r="AC259" i="15"/>
  <c r="AB259" i="15"/>
  <c r="AA259" i="15"/>
  <c r="Z259" i="15"/>
  <c r="Y259" i="15"/>
  <c r="X259" i="15"/>
  <c r="W259" i="15"/>
  <c r="V259" i="15"/>
  <c r="U259" i="15"/>
  <c r="T259" i="15"/>
  <c r="S259" i="15"/>
  <c r="R259" i="15"/>
  <c r="Q259" i="15"/>
  <c r="P259" i="15"/>
  <c r="C259" i="15"/>
  <c r="B259" i="15"/>
  <c r="S234" i="15"/>
  <c r="AG224" i="15"/>
  <c r="AF224" i="15"/>
  <c r="AE224" i="15"/>
  <c r="AD224" i="15"/>
  <c r="AC224" i="15"/>
  <c r="AB224" i="15"/>
  <c r="AA224" i="15"/>
  <c r="Z224" i="15"/>
  <c r="Y224" i="15"/>
  <c r="X224" i="15"/>
  <c r="W224" i="15"/>
  <c r="V224" i="15"/>
  <c r="U224" i="15"/>
  <c r="T224" i="15"/>
  <c r="S224" i="15"/>
  <c r="R224" i="15"/>
  <c r="Q224" i="15"/>
  <c r="C224" i="15"/>
  <c r="E223" i="15"/>
  <c r="D259" i="15" s="1"/>
  <c r="D223" i="15"/>
  <c r="B223" i="15"/>
  <c r="AF259" i="15" s="1"/>
  <c r="E222" i="15"/>
  <c r="F222" i="15" s="1"/>
  <c r="G222" i="15" s="1"/>
  <c r="H222" i="15" s="1"/>
  <c r="I222" i="15" s="1"/>
  <c r="J222" i="15" s="1"/>
  <c r="K222" i="15" s="1"/>
  <c r="L222" i="15" s="1"/>
  <c r="M222" i="15" s="1"/>
  <c r="N222" i="15" s="1"/>
  <c r="O222" i="15" s="1"/>
  <c r="P222" i="15" s="1"/>
  <c r="D222" i="15"/>
  <c r="B222" i="15"/>
  <c r="E221" i="15"/>
  <c r="F221" i="15" s="1"/>
  <c r="G221" i="15" s="1"/>
  <c r="H221" i="15" s="1"/>
  <c r="I221" i="15" s="1"/>
  <c r="J221" i="15" s="1"/>
  <c r="K221" i="15" s="1"/>
  <c r="L221" i="15" s="1"/>
  <c r="M221" i="15" s="1"/>
  <c r="N221" i="15" s="1"/>
  <c r="O221" i="15" s="1"/>
  <c r="P221" i="15" s="1"/>
  <c r="D221" i="15"/>
  <c r="B221" i="15"/>
  <c r="E220" i="15"/>
  <c r="F220" i="15" s="1"/>
  <c r="G220" i="15" s="1"/>
  <c r="H220" i="15" s="1"/>
  <c r="I220" i="15" s="1"/>
  <c r="J220" i="15" s="1"/>
  <c r="K220" i="15" s="1"/>
  <c r="L220" i="15" s="1"/>
  <c r="M220" i="15" s="1"/>
  <c r="N220" i="15" s="1"/>
  <c r="O220" i="15" s="1"/>
  <c r="P220" i="15" s="1"/>
  <c r="D220" i="15"/>
  <c r="B220" i="15"/>
  <c r="E219" i="15"/>
  <c r="F219" i="15" s="1"/>
  <c r="G219" i="15" s="1"/>
  <c r="H219" i="15" s="1"/>
  <c r="I219" i="15" s="1"/>
  <c r="J219" i="15" s="1"/>
  <c r="K219" i="15" s="1"/>
  <c r="L219" i="15" s="1"/>
  <c r="M219" i="15" s="1"/>
  <c r="N219" i="15" s="1"/>
  <c r="O219" i="15" s="1"/>
  <c r="P219" i="15" s="1"/>
  <c r="D219" i="15"/>
  <c r="B219" i="15"/>
  <c r="E218" i="15"/>
  <c r="F218" i="15" s="1"/>
  <c r="D218" i="15"/>
  <c r="D224" i="15" s="1"/>
  <c r="B218" i="15"/>
  <c r="AG216" i="15"/>
  <c r="AF216" i="15"/>
  <c r="AE216" i="15"/>
  <c r="AD216" i="15"/>
  <c r="AC216" i="15"/>
  <c r="AB216" i="15"/>
  <c r="AA216" i="15"/>
  <c r="Z216" i="15"/>
  <c r="Y216" i="15"/>
  <c r="X216" i="15"/>
  <c r="W216" i="15"/>
  <c r="V216" i="15"/>
  <c r="U216" i="15"/>
  <c r="T216" i="15"/>
  <c r="S216" i="15"/>
  <c r="R216" i="15"/>
  <c r="Q216" i="15"/>
  <c r="P216" i="15"/>
  <c r="O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I109" i="15"/>
  <c r="AH109" i="15"/>
  <c r="AI108" i="15"/>
  <c r="AH108" i="15"/>
  <c r="AI107" i="15"/>
  <c r="AH107" i="15"/>
  <c r="AI106" i="15"/>
  <c r="AH106" i="15"/>
  <c r="AI105" i="15"/>
  <c r="AH105" i="15"/>
  <c r="AI104" i="15"/>
  <c r="AH104" i="15"/>
  <c r="AI103" i="15"/>
  <c r="AH103" i="15"/>
  <c r="AI102" i="15"/>
  <c r="AH102" i="15"/>
  <c r="AI101" i="15"/>
  <c r="AH101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D100" i="15"/>
  <c r="C100" i="15"/>
  <c r="B100" i="15"/>
  <c r="AI99" i="15"/>
  <c r="AH99" i="15"/>
  <c r="AI98" i="15"/>
  <c r="AH98" i="15"/>
  <c r="AI97" i="15"/>
  <c r="AH97" i="15"/>
  <c r="AI96" i="15"/>
  <c r="AH96" i="15"/>
  <c r="AI95" i="15"/>
  <c r="AH95" i="15"/>
  <c r="AI94" i="15"/>
  <c r="AH94" i="15"/>
  <c r="AI93" i="15"/>
  <c r="AH93" i="15"/>
  <c r="AI92" i="15"/>
  <c r="AH92" i="15"/>
  <c r="AI91" i="15"/>
  <c r="AH91" i="15"/>
  <c r="AI88" i="15"/>
  <c r="AH88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AF83" i="15"/>
  <c r="AE83" i="15"/>
  <c r="AD83" i="15"/>
  <c r="AD89" i="15" s="1"/>
  <c r="AC83" i="15"/>
  <c r="AB83" i="15"/>
  <c r="AA83" i="15"/>
  <c r="Z83" i="15"/>
  <c r="Z89" i="15" s="1"/>
  <c r="Y83" i="15"/>
  <c r="X83" i="15"/>
  <c r="W83" i="15"/>
  <c r="V83" i="15"/>
  <c r="V89" i="15" s="1"/>
  <c r="U83" i="15"/>
  <c r="U89" i="15" s="1"/>
  <c r="T83" i="15"/>
  <c r="S83" i="15"/>
  <c r="R83" i="15"/>
  <c r="R89" i="15" s="1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D89" i="15" s="1"/>
  <c r="C83" i="15"/>
  <c r="AI80" i="15"/>
  <c r="AH80" i="15"/>
  <c r="AI78" i="15"/>
  <c r="AH78" i="15"/>
  <c r="AG78" i="15"/>
  <c r="AI77" i="15"/>
  <c r="AH77" i="15"/>
  <c r="AI76" i="15"/>
  <c r="AH76" i="15"/>
  <c r="AI75" i="15"/>
  <c r="AH75" i="15"/>
  <c r="AG74" i="15"/>
  <c r="AF74" i="15"/>
  <c r="AE5" i="15" s="1"/>
  <c r="AE74" i="15"/>
  <c r="AD5" i="15" s="1"/>
  <c r="AD74" i="15"/>
  <c r="AC5" i="15" s="1"/>
  <c r="AC74" i="15"/>
  <c r="AB74" i="15"/>
  <c r="AA74" i="15"/>
  <c r="Z74" i="15"/>
  <c r="Y5" i="15" s="1"/>
  <c r="Y74" i="15"/>
  <c r="X5" i="15" s="1"/>
  <c r="X74" i="15"/>
  <c r="W5" i="15" s="1"/>
  <c r="W74" i="15"/>
  <c r="V5" i="15" s="1"/>
  <c r="V74" i="15"/>
  <c r="U5" i="15" s="1"/>
  <c r="U74" i="15"/>
  <c r="T5" i="15" s="1"/>
  <c r="T74" i="15"/>
  <c r="S5" i="15" s="1"/>
  <c r="S74" i="15"/>
  <c r="R5" i="15" s="1"/>
  <c r="R74" i="15"/>
  <c r="Q5" i="15" s="1"/>
  <c r="Q74" i="15"/>
  <c r="P74" i="15"/>
  <c r="O74" i="15"/>
  <c r="N5" i="15" s="1"/>
  <c r="N74" i="15"/>
  <c r="M5" i="15" s="1"/>
  <c r="M74" i="15"/>
  <c r="L5" i="15" s="1"/>
  <c r="L74" i="15"/>
  <c r="K74" i="15"/>
  <c r="J5" i="15" s="1"/>
  <c r="J74" i="15"/>
  <c r="I5" i="15" s="1"/>
  <c r="I74" i="15"/>
  <c r="H74" i="15"/>
  <c r="G74" i="15"/>
  <c r="F5" i="15" s="1"/>
  <c r="F74" i="15"/>
  <c r="E5" i="15" s="1"/>
  <c r="E74" i="15"/>
  <c r="D5" i="15" s="1"/>
  <c r="D74" i="15"/>
  <c r="C74" i="15"/>
  <c r="AI73" i="15"/>
  <c r="AH73" i="15"/>
  <c r="AI72" i="15"/>
  <c r="AH72" i="15"/>
  <c r="AI71" i="15"/>
  <c r="AH71" i="15"/>
  <c r="AI70" i="15"/>
  <c r="AH70" i="15"/>
  <c r="AI69" i="15"/>
  <c r="AH69" i="15"/>
  <c r="AI68" i="15"/>
  <c r="AH68" i="15"/>
  <c r="AI67" i="15"/>
  <c r="AH67" i="15"/>
  <c r="AI66" i="15"/>
  <c r="AH66" i="15"/>
  <c r="AI65" i="15"/>
  <c r="AH65" i="15"/>
  <c r="AI64" i="15"/>
  <c r="AH64" i="15"/>
  <c r="AI63" i="15"/>
  <c r="AH63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AI61" i="15"/>
  <c r="AH61" i="15"/>
  <c r="AI60" i="15"/>
  <c r="AH60" i="15"/>
  <c r="AI59" i="15"/>
  <c r="AH59" i="15"/>
  <c r="AF58" i="15"/>
  <c r="AE58" i="15"/>
  <c r="AD58" i="15"/>
  <c r="AC58" i="15"/>
  <c r="AB58" i="15"/>
  <c r="AA58" i="15"/>
  <c r="Z58" i="15"/>
  <c r="Y58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AI57" i="15"/>
  <c r="AH57" i="15"/>
  <c r="AG57" i="15"/>
  <c r="AG58" i="15" s="1"/>
  <c r="AG3" i="15" s="1"/>
  <c r="AI56" i="15"/>
  <c r="AH56" i="15"/>
  <c r="AI55" i="15"/>
  <c r="AH55" i="15"/>
  <c r="AI54" i="15"/>
  <c r="AH54" i="15"/>
  <c r="AI53" i="15"/>
  <c r="AH53" i="15"/>
  <c r="AI52" i="15"/>
  <c r="AH52" i="15"/>
  <c r="AI51" i="15"/>
  <c r="AH51" i="15"/>
  <c r="AI50" i="15"/>
  <c r="AH50" i="15"/>
  <c r="AI49" i="15"/>
  <c r="AH49" i="15"/>
  <c r="AI48" i="15"/>
  <c r="AH48" i="15"/>
  <c r="AI47" i="15"/>
  <c r="AH47" i="15"/>
  <c r="AI46" i="15"/>
  <c r="AH46" i="15"/>
  <c r="AI45" i="15"/>
  <c r="AH45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AI43" i="15"/>
  <c r="AH43" i="15"/>
  <c r="AI42" i="15"/>
  <c r="AH42" i="15"/>
  <c r="AI41" i="15"/>
  <c r="AH41" i="15"/>
  <c r="AG40" i="15"/>
  <c r="AF40" i="15"/>
  <c r="AE40" i="15"/>
  <c r="AD40" i="15"/>
  <c r="AD79" i="15" s="1"/>
  <c r="AD81" i="15" s="1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AI38" i="15"/>
  <c r="AH38" i="15"/>
  <c r="AI37" i="15"/>
  <c r="AH37" i="15"/>
  <c r="AI36" i="15"/>
  <c r="AH36" i="15"/>
  <c r="AI35" i="15"/>
  <c r="AH35" i="15"/>
  <c r="AI34" i="15"/>
  <c r="AH34" i="15"/>
  <c r="AI33" i="15"/>
  <c r="AH33" i="15"/>
  <c r="AI32" i="15"/>
  <c r="AH32" i="15"/>
  <c r="AI31" i="15"/>
  <c r="AH31" i="15"/>
  <c r="AI30" i="15"/>
  <c r="AH30" i="15"/>
  <c r="AI29" i="15"/>
  <c r="AH29" i="15"/>
  <c r="AI28" i="15"/>
  <c r="AH28" i="15"/>
  <c r="AI27" i="15"/>
  <c r="AH27" i="15"/>
  <c r="AI26" i="15"/>
  <c r="AH26" i="15"/>
  <c r="AI25" i="15"/>
  <c r="AH25" i="15"/>
  <c r="AI24" i="15"/>
  <c r="AH24" i="15"/>
  <c r="AI23" i="15"/>
  <c r="AH23" i="15"/>
  <c r="AI22" i="15"/>
  <c r="AH22" i="15"/>
  <c r="AI21" i="15"/>
  <c r="AH21" i="15"/>
  <c r="AI20" i="15"/>
  <c r="AH20" i="15"/>
  <c r="AI19" i="15"/>
  <c r="AH19" i="15"/>
  <c r="AI18" i="15"/>
  <c r="AH18" i="15"/>
  <c r="AI17" i="15"/>
  <c r="AH17" i="15"/>
  <c r="AI16" i="15"/>
  <c r="AH16" i="15"/>
  <c r="AI15" i="15"/>
  <c r="AH15" i="15"/>
  <c r="AI14" i="15"/>
  <c r="AH14" i="15"/>
  <c r="AI13" i="15"/>
  <c r="AH13" i="15"/>
  <c r="AI12" i="15"/>
  <c r="AH12" i="15"/>
  <c r="AI11" i="15"/>
  <c r="AH11" i="15"/>
  <c r="AB5" i="15"/>
  <c r="O5" i="15"/>
  <c r="H5" i="15"/>
  <c r="AG4" i="15"/>
  <c r="K4" i="15"/>
  <c r="B4" i="15"/>
  <c r="S235" i="15" s="1"/>
  <c r="AG2" i="15"/>
  <c r="AF103" i="14"/>
  <c r="AF39" i="14"/>
  <c r="AE103" i="14"/>
  <c r="AD103" i="14"/>
  <c r="AD39" i="14"/>
  <c r="AC103" i="14"/>
  <c r="AC39" i="14"/>
  <c r="AB39" i="14"/>
  <c r="Z39" i="14"/>
  <c r="Y103" i="14"/>
  <c r="Y39" i="14"/>
  <c r="X39" i="14"/>
  <c r="U39" i="14"/>
  <c r="V39" i="14"/>
  <c r="W39" i="14"/>
  <c r="T39" i="14"/>
  <c r="S39" i="14"/>
  <c r="R39" i="14"/>
  <c r="Q39" i="14"/>
  <c r="AH88" i="6"/>
  <c r="AI88" i="6"/>
  <c r="AH91" i="6"/>
  <c r="AI91" i="6"/>
  <c r="AH92" i="6"/>
  <c r="AI92" i="6"/>
  <c r="AH93" i="6"/>
  <c r="AI93" i="6"/>
  <c r="AH94" i="6"/>
  <c r="AI94" i="6"/>
  <c r="AH95" i="6"/>
  <c r="AI95" i="6"/>
  <c r="AH96" i="6"/>
  <c r="AI96" i="6"/>
  <c r="AH97" i="6"/>
  <c r="AI97" i="6"/>
  <c r="AH98" i="6"/>
  <c r="AI98" i="6"/>
  <c r="AH99" i="6"/>
  <c r="AI99" i="6"/>
  <c r="AH101" i="6"/>
  <c r="AI101" i="6"/>
  <c r="AH102" i="6"/>
  <c r="AI102" i="6"/>
  <c r="AH103" i="6"/>
  <c r="AI103" i="6"/>
  <c r="AH104" i="6"/>
  <c r="AI104" i="6"/>
  <c r="AH105" i="6"/>
  <c r="AI105" i="6"/>
  <c r="AH106" i="6"/>
  <c r="AI106" i="6"/>
  <c r="AH107" i="6"/>
  <c r="AI107" i="6"/>
  <c r="AH108" i="6"/>
  <c r="AI108" i="6"/>
  <c r="AH109" i="6"/>
  <c r="AI109" i="6"/>
  <c r="AH12" i="6"/>
  <c r="AI12" i="6"/>
  <c r="AH13" i="6"/>
  <c r="AI13" i="6"/>
  <c r="AH14" i="6"/>
  <c r="AI14" i="6"/>
  <c r="AH15" i="6"/>
  <c r="AI15" i="6"/>
  <c r="AH16" i="6"/>
  <c r="AI16" i="6"/>
  <c r="AH17" i="6"/>
  <c r="AI17" i="6"/>
  <c r="AH18" i="6"/>
  <c r="AI18" i="6"/>
  <c r="AH19" i="6"/>
  <c r="AI19" i="6"/>
  <c r="AH20" i="6"/>
  <c r="AI20" i="6"/>
  <c r="AH21" i="6"/>
  <c r="AI21" i="6"/>
  <c r="AH22" i="6"/>
  <c r="AI22" i="6"/>
  <c r="AH23" i="6"/>
  <c r="AI23" i="6"/>
  <c r="AH24" i="6"/>
  <c r="AI24" i="6"/>
  <c r="AH25" i="6"/>
  <c r="AI25" i="6"/>
  <c r="AH26" i="6"/>
  <c r="AI26" i="6"/>
  <c r="AH27" i="6"/>
  <c r="AI27" i="6"/>
  <c r="AH28" i="6"/>
  <c r="AI28" i="6"/>
  <c r="AH29" i="6"/>
  <c r="AI29" i="6"/>
  <c r="AH30" i="6"/>
  <c r="AI30" i="6"/>
  <c r="AH31" i="6"/>
  <c r="AI31" i="6"/>
  <c r="AH32" i="6"/>
  <c r="AI32" i="6"/>
  <c r="AH33" i="6"/>
  <c r="AI33" i="6"/>
  <c r="AH34" i="6"/>
  <c r="AI34" i="6"/>
  <c r="AH35" i="6"/>
  <c r="AI35" i="6"/>
  <c r="AH36" i="6"/>
  <c r="AI36" i="6"/>
  <c r="AH37" i="6"/>
  <c r="AI37" i="6"/>
  <c r="AH38" i="6"/>
  <c r="AI38" i="6"/>
  <c r="AH39" i="6"/>
  <c r="AI39" i="6"/>
  <c r="AH41" i="6"/>
  <c r="AI41" i="6"/>
  <c r="AH42" i="6"/>
  <c r="AI42" i="6"/>
  <c r="AH43" i="6"/>
  <c r="AI43" i="6"/>
  <c r="AH45" i="6"/>
  <c r="AI45" i="6"/>
  <c r="AH46" i="6"/>
  <c r="AI46" i="6"/>
  <c r="AH47" i="6"/>
  <c r="AI47" i="6"/>
  <c r="AH48" i="6"/>
  <c r="AI48" i="6"/>
  <c r="AH49" i="6"/>
  <c r="AI49" i="6"/>
  <c r="AH50" i="6"/>
  <c r="AI50" i="6"/>
  <c r="AH51" i="6"/>
  <c r="AI51" i="6"/>
  <c r="AH52" i="6"/>
  <c r="AI52" i="6"/>
  <c r="AH53" i="6"/>
  <c r="AI53" i="6"/>
  <c r="AH54" i="6"/>
  <c r="AI54" i="6"/>
  <c r="AH55" i="6"/>
  <c r="AI55" i="6"/>
  <c r="AH56" i="6"/>
  <c r="AI56" i="6"/>
  <c r="AH57" i="6"/>
  <c r="AI57" i="6"/>
  <c r="AH59" i="6"/>
  <c r="AI59" i="6"/>
  <c r="AH60" i="6"/>
  <c r="AI60" i="6"/>
  <c r="AH61" i="6"/>
  <c r="AI61" i="6"/>
  <c r="AH63" i="6"/>
  <c r="AI63" i="6"/>
  <c r="AH64" i="6"/>
  <c r="AI64" i="6"/>
  <c r="AH65" i="6"/>
  <c r="AI65" i="6"/>
  <c r="AH66" i="6"/>
  <c r="AI66" i="6"/>
  <c r="AH67" i="6"/>
  <c r="AI67" i="6"/>
  <c r="AH68" i="6"/>
  <c r="AI68" i="6"/>
  <c r="AH69" i="6"/>
  <c r="AI69" i="6"/>
  <c r="AH70" i="6"/>
  <c r="AI70" i="6"/>
  <c r="AH71" i="6"/>
  <c r="AI71" i="6"/>
  <c r="AH72" i="6"/>
  <c r="AI72" i="6"/>
  <c r="AH73" i="6"/>
  <c r="AI73" i="6"/>
  <c r="AH75" i="6"/>
  <c r="AI75" i="6"/>
  <c r="AH76" i="6"/>
  <c r="AI76" i="6"/>
  <c r="AH77" i="6"/>
  <c r="AI77" i="6"/>
  <c r="AH78" i="6"/>
  <c r="AI78" i="6"/>
  <c r="AH80" i="6"/>
  <c r="AI80" i="6"/>
  <c r="P39" i="14"/>
  <c r="O39" i="14"/>
  <c r="N39" i="14"/>
  <c r="M39" i="14"/>
  <c r="L103" i="14"/>
  <c r="I103" i="14"/>
  <c r="J103" i="14"/>
  <c r="K103" i="14"/>
  <c r="I39" i="14"/>
  <c r="J39" i="14"/>
  <c r="K39" i="14"/>
  <c r="L39" i="14"/>
  <c r="H103" i="14"/>
  <c r="F103" i="14"/>
  <c r="G103" i="14"/>
  <c r="F39" i="14"/>
  <c r="G39" i="14"/>
  <c r="H39" i="14"/>
  <c r="E103" i="14"/>
  <c r="AH103" i="14" s="1"/>
  <c r="AI103" i="14" s="1"/>
  <c r="E39" i="14"/>
  <c r="AF263" i="14"/>
  <c r="AE263" i="14"/>
  <c r="AD263" i="14"/>
  <c r="AC263" i="14"/>
  <c r="AB263" i="14"/>
  <c r="AA263" i="14"/>
  <c r="Z263" i="14"/>
  <c r="Y263" i="14"/>
  <c r="X263" i="14"/>
  <c r="W263" i="14"/>
  <c r="V263" i="14"/>
  <c r="U263" i="14"/>
  <c r="T263" i="14"/>
  <c r="S263" i="14"/>
  <c r="R263" i="14"/>
  <c r="Q263" i="14"/>
  <c r="P263" i="14"/>
  <c r="O263" i="14"/>
  <c r="N263" i="14"/>
  <c r="M263" i="14"/>
  <c r="L263" i="14"/>
  <c r="K263" i="14"/>
  <c r="J263" i="14"/>
  <c r="I263" i="14"/>
  <c r="H263" i="14"/>
  <c r="G263" i="14"/>
  <c r="F263" i="14"/>
  <c r="E263" i="14"/>
  <c r="D263" i="14"/>
  <c r="C263" i="14"/>
  <c r="B263" i="14"/>
  <c r="A263" i="14"/>
  <c r="AF262" i="14"/>
  <c r="AE262" i="14"/>
  <c r="AD262" i="14"/>
  <c r="AC262" i="14"/>
  <c r="AB262" i="14"/>
  <c r="AA262" i="14"/>
  <c r="Z262" i="14"/>
  <c r="Y262" i="14"/>
  <c r="X262" i="14"/>
  <c r="W262" i="14"/>
  <c r="V262" i="14"/>
  <c r="U262" i="14"/>
  <c r="T262" i="14"/>
  <c r="S262" i="14"/>
  <c r="R262" i="14"/>
  <c r="Q262" i="14"/>
  <c r="P262" i="14"/>
  <c r="O262" i="14"/>
  <c r="N262" i="14"/>
  <c r="M262" i="14"/>
  <c r="L262" i="14"/>
  <c r="K262" i="14"/>
  <c r="J262" i="14"/>
  <c r="I262" i="14"/>
  <c r="H262" i="14"/>
  <c r="G262" i="14"/>
  <c r="F262" i="14"/>
  <c r="E262" i="14"/>
  <c r="D262" i="14"/>
  <c r="C262" i="14"/>
  <c r="B262" i="14"/>
  <c r="A262" i="14"/>
  <c r="AF261" i="14"/>
  <c r="AE261" i="14"/>
  <c r="AD261" i="14"/>
  <c r="AC261" i="14"/>
  <c r="AB261" i="14"/>
  <c r="AA261" i="14"/>
  <c r="Z261" i="14"/>
  <c r="Y261" i="14"/>
  <c r="X261" i="14"/>
  <c r="W261" i="14"/>
  <c r="V261" i="14"/>
  <c r="U261" i="14"/>
  <c r="T261" i="14"/>
  <c r="S261" i="14"/>
  <c r="R261" i="14"/>
  <c r="Q261" i="14"/>
  <c r="P261" i="14"/>
  <c r="O261" i="14"/>
  <c r="N261" i="14"/>
  <c r="M261" i="14"/>
  <c r="L261" i="14"/>
  <c r="K261" i="14"/>
  <c r="J261" i="14"/>
  <c r="I261" i="14"/>
  <c r="H261" i="14"/>
  <c r="G261" i="14"/>
  <c r="F261" i="14"/>
  <c r="E261" i="14"/>
  <c r="D261" i="14"/>
  <c r="C261" i="14"/>
  <c r="B261" i="14"/>
  <c r="A261" i="14"/>
  <c r="AF260" i="14"/>
  <c r="AE260" i="14"/>
  <c r="AD260" i="14"/>
  <c r="AC260" i="14"/>
  <c r="AB260" i="14"/>
  <c r="AA260" i="14"/>
  <c r="Z260" i="14"/>
  <c r="Y260" i="14"/>
  <c r="X260" i="14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A260" i="14"/>
  <c r="AE259" i="14"/>
  <c r="AD259" i="14"/>
  <c r="AC259" i="14"/>
  <c r="AB259" i="14"/>
  <c r="AA259" i="14"/>
  <c r="Z259" i="14"/>
  <c r="Y259" i="14"/>
  <c r="X259" i="14"/>
  <c r="W259" i="14"/>
  <c r="V259" i="14"/>
  <c r="U259" i="14"/>
  <c r="T259" i="14"/>
  <c r="S259" i="14"/>
  <c r="R259" i="14"/>
  <c r="Q259" i="14"/>
  <c r="P259" i="14"/>
  <c r="B259" i="14"/>
  <c r="S234" i="14"/>
  <c r="AG224" i="14"/>
  <c r="AG57" i="14" s="1"/>
  <c r="AG58" i="14" s="1"/>
  <c r="AG3" i="14" s="1"/>
  <c r="AF224" i="14"/>
  <c r="AE224" i="14"/>
  <c r="AD224" i="14"/>
  <c r="AC224" i="14"/>
  <c r="AB224" i="14"/>
  <c r="AA224" i="14"/>
  <c r="Z224" i="14"/>
  <c r="Y224" i="14"/>
  <c r="X224" i="14"/>
  <c r="W224" i="14"/>
  <c r="V224" i="14"/>
  <c r="U224" i="14"/>
  <c r="T224" i="14"/>
  <c r="S224" i="14"/>
  <c r="R224" i="14"/>
  <c r="Q224" i="14"/>
  <c r="C224" i="14"/>
  <c r="D223" i="14"/>
  <c r="C259" i="14" s="1"/>
  <c r="B223" i="14"/>
  <c r="AF259" i="14" s="1"/>
  <c r="D222" i="14"/>
  <c r="E222" i="14" s="1"/>
  <c r="F222" i="14" s="1"/>
  <c r="G222" i="14" s="1"/>
  <c r="H222" i="14" s="1"/>
  <c r="I222" i="14" s="1"/>
  <c r="J222" i="14" s="1"/>
  <c r="K222" i="14" s="1"/>
  <c r="L222" i="14" s="1"/>
  <c r="M222" i="14" s="1"/>
  <c r="N222" i="14" s="1"/>
  <c r="O222" i="14" s="1"/>
  <c r="P222" i="14" s="1"/>
  <c r="B222" i="14"/>
  <c r="D221" i="14"/>
  <c r="E221" i="14" s="1"/>
  <c r="F221" i="14" s="1"/>
  <c r="G221" i="14" s="1"/>
  <c r="H221" i="14" s="1"/>
  <c r="I221" i="14" s="1"/>
  <c r="J221" i="14" s="1"/>
  <c r="K221" i="14" s="1"/>
  <c r="L221" i="14" s="1"/>
  <c r="M221" i="14" s="1"/>
  <c r="N221" i="14" s="1"/>
  <c r="O221" i="14" s="1"/>
  <c r="P221" i="14" s="1"/>
  <c r="B221" i="14"/>
  <c r="D220" i="14"/>
  <c r="E220" i="14" s="1"/>
  <c r="F220" i="14" s="1"/>
  <c r="G220" i="14" s="1"/>
  <c r="H220" i="14" s="1"/>
  <c r="I220" i="14" s="1"/>
  <c r="J220" i="14" s="1"/>
  <c r="K220" i="14" s="1"/>
  <c r="L220" i="14" s="1"/>
  <c r="M220" i="14" s="1"/>
  <c r="N220" i="14" s="1"/>
  <c r="O220" i="14" s="1"/>
  <c r="P220" i="14" s="1"/>
  <c r="B220" i="14"/>
  <c r="D219" i="14"/>
  <c r="E219" i="14" s="1"/>
  <c r="F219" i="14" s="1"/>
  <c r="G219" i="14" s="1"/>
  <c r="H219" i="14" s="1"/>
  <c r="I219" i="14" s="1"/>
  <c r="J219" i="14" s="1"/>
  <c r="K219" i="14" s="1"/>
  <c r="L219" i="14" s="1"/>
  <c r="M219" i="14" s="1"/>
  <c r="N219" i="14" s="1"/>
  <c r="O219" i="14" s="1"/>
  <c r="P219" i="14" s="1"/>
  <c r="B219" i="14"/>
  <c r="F218" i="14"/>
  <c r="G218" i="14" s="1"/>
  <c r="E218" i="14"/>
  <c r="D218" i="14"/>
  <c r="B218" i="14"/>
  <c r="B100" i="14" s="1"/>
  <c r="AG216" i="14"/>
  <c r="AF216" i="14"/>
  <c r="AE216" i="14"/>
  <c r="AD216" i="14"/>
  <c r="AC216" i="14"/>
  <c r="AB216" i="14"/>
  <c r="AA216" i="14"/>
  <c r="Z216" i="14"/>
  <c r="Y216" i="14"/>
  <c r="X216" i="14"/>
  <c r="W216" i="14"/>
  <c r="V216" i="14"/>
  <c r="U216" i="14"/>
  <c r="T216" i="14"/>
  <c r="S216" i="14"/>
  <c r="R216" i="14"/>
  <c r="Q216" i="14"/>
  <c r="P216" i="14"/>
  <c r="O216" i="14"/>
  <c r="N216" i="14"/>
  <c r="M216" i="14"/>
  <c r="L216" i="14"/>
  <c r="K216" i="14"/>
  <c r="J216" i="14"/>
  <c r="I216" i="14"/>
  <c r="H216" i="14"/>
  <c r="G216" i="14"/>
  <c r="F216" i="14"/>
  <c r="E216" i="14"/>
  <c r="D216" i="14"/>
  <c r="C216" i="14"/>
  <c r="B216" i="14"/>
  <c r="AH109" i="14"/>
  <c r="AI109" i="14" s="1"/>
  <c r="AH108" i="14"/>
  <c r="AI108" i="14" s="1"/>
  <c r="AH107" i="14"/>
  <c r="AI107" i="14" s="1"/>
  <c r="AH106" i="14"/>
  <c r="AI106" i="14" s="1"/>
  <c r="AH105" i="14"/>
  <c r="AI105" i="14" s="1"/>
  <c r="AH104" i="14"/>
  <c r="AI104" i="14" s="1"/>
  <c r="AH102" i="14"/>
  <c r="AI102" i="14" s="1"/>
  <c r="AH101" i="14"/>
  <c r="AI101" i="14" s="1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D100" i="14"/>
  <c r="C100" i="14"/>
  <c r="AI99" i="14"/>
  <c r="AH99" i="14"/>
  <c r="AI98" i="14"/>
  <c r="AH98" i="14"/>
  <c r="AI97" i="14"/>
  <c r="AH97" i="14"/>
  <c r="AI96" i="14"/>
  <c r="AH96" i="14"/>
  <c r="AI95" i="14"/>
  <c r="AH95" i="14"/>
  <c r="AI94" i="14"/>
  <c r="AH94" i="14"/>
  <c r="AI93" i="14"/>
  <c r="AH93" i="14"/>
  <c r="AI92" i="14"/>
  <c r="AH92" i="14"/>
  <c r="AI91" i="14"/>
  <c r="AH91" i="14"/>
  <c r="AI88" i="14"/>
  <c r="AH88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F83" i="14"/>
  <c r="AE83" i="14"/>
  <c r="AD83" i="14"/>
  <c r="AC83" i="14"/>
  <c r="AC89" i="14" s="1"/>
  <c r="AB83" i="14"/>
  <c r="AA83" i="14"/>
  <c r="Z83" i="14"/>
  <c r="Y83" i="14"/>
  <c r="X83" i="14"/>
  <c r="W83" i="14"/>
  <c r="V83" i="14"/>
  <c r="U83" i="14"/>
  <c r="T83" i="14"/>
  <c r="T89" i="14" s="1"/>
  <c r="S83" i="14"/>
  <c r="S89" i="14" s="1"/>
  <c r="R83" i="14"/>
  <c r="Q83" i="14"/>
  <c r="P83" i="14"/>
  <c r="O83" i="14"/>
  <c r="N83" i="14"/>
  <c r="M83" i="14"/>
  <c r="L83" i="14"/>
  <c r="L89" i="14" s="1"/>
  <c r="K83" i="14"/>
  <c r="J83" i="14"/>
  <c r="I83" i="14"/>
  <c r="H83" i="14"/>
  <c r="G83" i="14"/>
  <c r="F83" i="14"/>
  <c r="E83" i="14"/>
  <c r="D83" i="14"/>
  <c r="D89" i="14" s="1"/>
  <c r="C83" i="14"/>
  <c r="B83" i="14"/>
  <c r="AI80" i="14"/>
  <c r="AH80" i="14"/>
  <c r="AI78" i="14"/>
  <c r="AH78" i="14"/>
  <c r="AG78" i="14"/>
  <c r="AG81" i="14" s="1"/>
  <c r="AI77" i="14"/>
  <c r="AH77" i="14"/>
  <c r="AI76" i="14"/>
  <c r="AH76" i="14"/>
  <c r="AI75" i="14"/>
  <c r="AH75" i="14"/>
  <c r="AG74" i="14"/>
  <c r="AF74" i="14"/>
  <c r="AE5" i="14" s="1"/>
  <c r="AE74" i="14"/>
  <c r="AD5" i="14" s="1"/>
  <c r="AD74" i="14"/>
  <c r="AC74" i="14"/>
  <c r="AB74" i="14"/>
  <c r="AA74" i="14"/>
  <c r="Z5" i="14" s="1"/>
  <c r="Z74" i="14"/>
  <c r="Y5" i="14" s="1"/>
  <c r="Y74" i="14"/>
  <c r="X5" i="14" s="1"/>
  <c r="W5" i="14"/>
  <c r="W74" i="14"/>
  <c r="V5" i="14" s="1"/>
  <c r="V74" i="14"/>
  <c r="U74" i="14"/>
  <c r="T5" i="14" s="1"/>
  <c r="T74" i="14"/>
  <c r="S74" i="14"/>
  <c r="R5" i="14" s="1"/>
  <c r="R74" i="14"/>
  <c r="Q5" i="14" s="1"/>
  <c r="Q74" i="14"/>
  <c r="P5" i="14" s="1"/>
  <c r="P74" i="14"/>
  <c r="O5" i="14" s="1"/>
  <c r="O74" i="14"/>
  <c r="N5" i="14" s="1"/>
  <c r="N74" i="14"/>
  <c r="M74" i="14"/>
  <c r="L74" i="14"/>
  <c r="K74" i="14"/>
  <c r="J74" i="14"/>
  <c r="I5" i="14" s="1"/>
  <c r="I74" i="14"/>
  <c r="H5" i="14" s="1"/>
  <c r="H74" i="14"/>
  <c r="G5" i="14" s="1"/>
  <c r="G74" i="14"/>
  <c r="F5" i="14" s="1"/>
  <c r="F74" i="14"/>
  <c r="E74" i="14"/>
  <c r="D5" i="14" s="1"/>
  <c r="D74" i="14"/>
  <c r="C74" i="14"/>
  <c r="B74" i="14"/>
  <c r="AI73" i="14"/>
  <c r="AH73" i="14"/>
  <c r="AI72" i="14"/>
  <c r="AH72" i="14"/>
  <c r="AI71" i="14"/>
  <c r="AH71" i="14"/>
  <c r="AI70" i="14"/>
  <c r="AH70" i="14"/>
  <c r="AI69" i="14"/>
  <c r="AH69" i="14"/>
  <c r="AI68" i="14"/>
  <c r="AH68" i="14"/>
  <c r="AI67" i="14"/>
  <c r="AH67" i="14"/>
  <c r="AI66" i="14"/>
  <c r="AH66" i="14"/>
  <c r="AI65" i="14"/>
  <c r="AH65" i="14"/>
  <c r="AI64" i="14"/>
  <c r="AH64" i="14"/>
  <c r="AI63" i="14"/>
  <c r="AH63" i="14"/>
  <c r="AG62" i="14"/>
  <c r="AF62" i="14"/>
  <c r="AE62" i="14"/>
  <c r="AD62" i="14"/>
  <c r="AC62" i="14"/>
  <c r="AB62" i="14"/>
  <c r="AA62" i="14"/>
  <c r="Z62" i="14"/>
  <c r="Y62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I61" i="14"/>
  <c r="AH61" i="14"/>
  <c r="AI60" i="14"/>
  <c r="AH60" i="14"/>
  <c r="AI59" i="14"/>
  <c r="AH59" i="14"/>
  <c r="AF58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I57" i="14"/>
  <c r="AH57" i="14"/>
  <c r="AI56" i="14"/>
  <c r="AH56" i="14"/>
  <c r="AI55" i="14"/>
  <c r="AH55" i="14"/>
  <c r="AI54" i="14"/>
  <c r="AH54" i="14"/>
  <c r="AI53" i="14"/>
  <c r="AH53" i="14"/>
  <c r="AI52" i="14"/>
  <c r="AH52" i="14"/>
  <c r="AI51" i="14"/>
  <c r="AH51" i="14"/>
  <c r="AI50" i="14"/>
  <c r="AH50" i="14"/>
  <c r="AI49" i="14"/>
  <c r="AH49" i="14"/>
  <c r="AI48" i="14"/>
  <c r="AH48" i="14"/>
  <c r="AI47" i="14"/>
  <c r="AH47" i="14"/>
  <c r="AI46" i="14"/>
  <c r="AH46" i="14"/>
  <c r="AI45" i="14"/>
  <c r="AH45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I43" i="14"/>
  <c r="AH43" i="14"/>
  <c r="AI42" i="14"/>
  <c r="AH42" i="14"/>
  <c r="AI41" i="14"/>
  <c r="AH41" i="14"/>
  <c r="AG40" i="14"/>
  <c r="AF40" i="14"/>
  <c r="AE40" i="14"/>
  <c r="AD40" i="14"/>
  <c r="AC40" i="14"/>
  <c r="AB40" i="14"/>
  <c r="AA40" i="14"/>
  <c r="Z40" i="14"/>
  <c r="Z79" i="14" s="1"/>
  <c r="Z81" i="14" s="1"/>
  <c r="Y40" i="14"/>
  <c r="X40" i="14"/>
  <c r="X79" i="14" s="1"/>
  <c r="X81" i="14" s="1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I38" i="14"/>
  <c r="AH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AB5" i="14"/>
  <c r="L5" i="14"/>
  <c r="K5" i="14"/>
  <c r="AG4" i="14"/>
  <c r="K4" i="14"/>
  <c r="B4" i="14"/>
  <c r="S235" i="14" s="1"/>
  <c r="AG2" i="14"/>
  <c r="AG6" i="14" s="1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K39" i="13"/>
  <c r="J39" i="13"/>
  <c r="I39" i="13"/>
  <c r="H39" i="13"/>
  <c r="G39" i="13"/>
  <c r="F39" i="13"/>
  <c r="E39" i="13"/>
  <c r="AI93" i="13"/>
  <c r="D39" i="13"/>
  <c r="C39" i="13"/>
  <c r="AF263" i="13"/>
  <c r="AE263" i="13"/>
  <c r="AD263" i="13"/>
  <c r="AC263" i="13"/>
  <c r="AB263" i="13"/>
  <c r="AA263" i="13"/>
  <c r="Z263" i="13"/>
  <c r="Y263" i="13"/>
  <c r="X263" i="13"/>
  <c r="W263" i="13"/>
  <c r="V263" i="13"/>
  <c r="U263" i="13"/>
  <c r="T263" i="13"/>
  <c r="S263" i="13"/>
  <c r="R263" i="13"/>
  <c r="Q263" i="13"/>
  <c r="P263" i="13"/>
  <c r="O263" i="13"/>
  <c r="N263" i="13"/>
  <c r="M263" i="13"/>
  <c r="L263" i="13"/>
  <c r="K263" i="13"/>
  <c r="J263" i="13"/>
  <c r="I263" i="13"/>
  <c r="H263" i="13"/>
  <c r="G263" i="13"/>
  <c r="F263" i="13"/>
  <c r="E263" i="13"/>
  <c r="D263" i="13"/>
  <c r="C263" i="13"/>
  <c r="B263" i="13"/>
  <c r="A263" i="13"/>
  <c r="AF262" i="13"/>
  <c r="AE262" i="13"/>
  <c r="AD262" i="13"/>
  <c r="AC262" i="13"/>
  <c r="AB262" i="13"/>
  <c r="AA262" i="13"/>
  <c r="Z262" i="13"/>
  <c r="Y262" i="13"/>
  <c r="X262" i="13"/>
  <c r="W262" i="13"/>
  <c r="V262" i="13"/>
  <c r="U262" i="13"/>
  <c r="T262" i="13"/>
  <c r="S262" i="13"/>
  <c r="R262" i="13"/>
  <c r="Q262" i="13"/>
  <c r="P262" i="13"/>
  <c r="O262" i="13"/>
  <c r="N262" i="13"/>
  <c r="M262" i="13"/>
  <c r="L262" i="13"/>
  <c r="K262" i="13"/>
  <c r="J262" i="13"/>
  <c r="I262" i="13"/>
  <c r="H262" i="13"/>
  <c r="G262" i="13"/>
  <c r="F262" i="13"/>
  <c r="E262" i="13"/>
  <c r="D262" i="13"/>
  <c r="C262" i="13"/>
  <c r="B262" i="13"/>
  <c r="A262" i="13"/>
  <c r="AF261" i="13"/>
  <c r="AE261" i="13"/>
  <c r="AD261" i="13"/>
  <c r="AC261" i="13"/>
  <c r="AB261" i="13"/>
  <c r="AA261" i="13"/>
  <c r="Z261" i="13"/>
  <c r="Y261" i="13"/>
  <c r="X261" i="13"/>
  <c r="W261" i="13"/>
  <c r="V261" i="13"/>
  <c r="U261" i="13"/>
  <c r="T261" i="13"/>
  <c r="S261" i="13"/>
  <c r="R261" i="13"/>
  <c r="Q261" i="13"/>
  <c r="P261" i="13"/>
  <c r="O261" i="13"/>
  <c r="N261" i="13"/>
  <c r="M261" i="13"/>
  <c r="L261" i="13"/>
  <c r="K261" i="13"/>
  <c r="J261" i="13"/>
  <c r="I261" i="13"/>
  <c r="H261" i="13"/>
  <c r="G261" i="13"/>
  <c r="F261" i="13"/>
  <c r="E261" i="13"/>
  <c r="D261" i="13"/>
  <c r="C261" i="13"/>
  <c r="B261" i="13"/>
  <c r="A261" i="13"/>
  <c r="AF260" i="13"/>
  <c r="AE260" i="13"/>
  <c r="AD260" i="13"/>
  <c r="AC260" i="13"/>
  <c r="AB260" i="13"/>
  <c r="AA260" i="13"/>
  <c r="Z260" i="13"/>
  <c r="Y260" i="13"/>
  <c r="X260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A260" i="13"/>
  <c r="AE259" i="13"/>
  <c r="AD259" i="13"/>
  <c r="AC259" i="13"/>
  <c r="AB259" i="13"/>
  <c r="AA259" i="13"/>
  <c r="Z259" i="13"/>
  <c r="Y259" i="13"/>
  <c r="X259" i="13"/>
  <c r="W259" i="13"/>
  <c r="V259" i="13"/>
  <c r="U259" i="13"/>
  <c r="T259" i="13"/>
  <c r="S259" i="13"/>
  <c r="R259" i="13"/>
  <c r="Q259" i="13"/>
  <c r="P259" i="13"/>
  <c r="B259" i="13"/>
  <c r="S234" i="13"/>
  <c r="AG224" i="13"/>
  <c r="AF224" i="13"/>
  <c r="AE224" i="13"/>
  <c r="AD224" i="13"/>
  <c r="AC224" i="13"/>
  <c r="AB224" i="13"/>
  <c r="AA224" i="13"/>
  <c r="Z224" i="13"/>
  <c r="Y224" i="13"/>
  <c r="X224" i="13"/>
  <c r="W224" i="13"/>
  <c r="V224" i="13"/>
  <c r="U224" i="13"/>
  <c r="T224" i="13"/>
  <c r="S224" i="13"/>
  <c r="R224" i="13"/>
  <c r="Q224" i="13"/>
  <c r="C224" i="13"/>
  <c r="D223" i="13"/>
  <c r="C259" i="13" s="1"/>
  <c r="B223" i="13"/>
  <c r="AF259" i="13" s="1"/>
  <c r="D222" i="13"/>
  <c r="E222" i="13" s="1"/>
  <c r="F222" i="13" s="1"/>
  <c r="G222" i="13" s="1"/>
  <c r="H222" i="13" s="1"/>
  <c r="I222" i="13" s="1"/>
  <c r="J222" i="13" s="1"/>
  <c r="K222" i="13" s="1"/>
  <c r="L222" i="13" s="1"/>
  <c r="M222" i="13" s="1"/>
  <c r="N222" i="13" s="1"/>
  <c r="O222" i="13" s="1"/>
  <c r="P222" i="13" s="1"/>
  <c r="B222" i="13"/>
  <c r="D221" i="13"/>
  <c r="E221" i="13" s="1"/>
  <c r="F221" i="13" s="1"/>
  <c r="G221" i="13" s="1"/>
  <c r="H221" i="13" s="1"/>
  <c r="I221" i="13" s="1"/>
  <c r="J221" i="13" s="1"/>
  <c r="K221" i="13" s="1"/>
  <c r="L221" i="13" s="1"/>
  <c r="M221" i="13" s="1"/>
  <c r="N221" i="13" s="1"/>
  <c r="O221" i="13" s="1"/>
  <c r="P221" i="13" s="1"/>
  <c r="B221" i="13"/>
  <c r="D220" i="13"/>
  <c r="E220" i="13" s="1"/>
  <c r="F220" i="13" s="1"/>
  <c r="G220" i="13" s="1"/>
  <c r="H220" i="13" s="1"/>
  <c r="I220" i="13" s="1"/>
  <c r="J220" i="13" s="1"/>
  <c r="K220" i="13" s="1"/>
  <c r="L220" i="13" s="1"/>
  <c r="M220" i="13" s="1"/>
  <c r="N220" i="13" s="1"/>
  <c r="O220" i="13" s="1"/>
  <c r="P220" i="13" s="1"/>
  <c r="B220" i="13"/>
  <c r="D219" i="13"/>
  <c r="E219" i="13" s="1"/>
  <c r="F219" i="13" s="1"/>
  <c r="G219" i="13" s="1"/>
  <c r="H219" i="13" s="1"/>
  <c r="I219" i="13" s="1"/>
  <c r="J219" i="13" s="1"/>
  <c r="K219" i="13" s="1"/>
  <c r="L219" i="13" s="1"/>
  <c r="M219" i="13" s="1"/>
  <c r="N219" i="13" s="1"/>
  <c r="O219" i="13" s="1"/>
  <c r="P219" i="13" s="1"/>
  <c r="B219" i="13"/>
  <c r="D218" i="13"/>
  <c r="B218" i="13"/>
  <c r="B100" i="13" s="1"/>
  <c r="AG216" i="13"/>
  <c r="AF216" i="13"/>
  <c r="AE216" i="13"/>
  <c r="AD216" i="13"/>
  <c r="AC216" i="13"/>
  <c r="AB216" i="13"/>
  <c r="AA216" i="13"/>
  <c r="Z216" i="13"/>
  <c r="Y216" i="13"/>
  <c r="X216" i="13"/>
  <c r="W216" i="13"/>
  <c r="V216" i="13"/>
  <c r="U216" i="13"/>
  <c r="T216" i="13"/>
  <c r="S216" i="13"/>
  <c r="R216" i="13"/>
  <c r="Q216" i="13"/>
  <c r="P216" i="13"/>
  <c r="O216" i="13"/>
  <c r="N216" i="13"/>
  <c r="M216" i="13"/>
  <c r="L216" i="13"/>
  <c r="K216" i="13"/>
  <c r="J216" i="13"/>
  <c r="I216" i="13"/>
  <c r="H216" i="13"/>
  <c r="G216" i="13"/>
  <c r="F216" i="13"/>
  <c r="E216" i="13"/>
  <c r="D216" i="13"/>
  <c r="C216" i="13"/>
  <c r="B216" i="13"/>
  <c r="AH109" i="13"/>
  <c r="AI109" i="13" s="1"/>
  <c r="AH108" i="13"/>
  <c r="AI108" i="13" s="1"/>
  <c r="AH107" i="13"/>
  <c r="AI107" i="13" s="1"/>
  <c r="AH106" i="13"/>
  <c r="AI106" i="13" s="1"/>
  <c r="AH105" i="13"/>
  <c r="AI105" i="13" s="1"/>
  <c r="AH104" i="13"/>
  <c r="AI104" i="13" s="1"/>
  <c r="AH103" i="13"/>
  <c r="AI103" i="13" s="1"/>
  <c r="AH102" i="13"/>
  <c r="AI102" i="13" s="1"/>
  <c r="AH101" i="13"/>
  <c r="AI101" i="13" s="1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C100" i="13"/>
  <c r="AI99" i="13"/>
  <c r="AH99" i="13"/>
  <c r="AI98" i="13"/>
  <c r="AH98" i="13"/>
  <c r="AI97" i="13"/>
  <c r="AH97" i="13"/>
  <c r="AI96" i="13"/>
  <c r="AH96" i="13"/>
  <c r="AI95" i="13"/>
  <c r="AH95" i="13"/>
  <c r="AI94" i="13"/>
  <c r="AH94" i="13"/>
  <c r="AI92" i="13"/>
  <c r="AH92" i="13"/>
  <c r="AI91" i="13"/>
  <c r="AH91" i="13"/>
  <c r="AI88" i="13"/>
  <c r="AH88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AF83" i="13"/>
  <c r="AE83" i="13"/>
  <c r="AD83" i="13"/>
  <c r="AC83" i="13"/>
  <c r="AC89" i="13" s="1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D89" i="13" s="1"/>
  <c r="C83" i="13"/>
  <c r="B83" i="13"/>
  <c r="AI80" i="13"/>
  <c r="AH80" i="13"/>
  <c r="AI78" i="13"/>
  <c r="AH78" i="13"/>
  <c r="AG78" i="13"/>
  <c r="AI77" i="13"/>
  <c r="AH77" i="13"/>
  <c r="AI76" i="13"/>
  <c r="AH76" i="13"/>
  <c r="AI75" i="13"/>
  <c r="AH75" i="13"/>
  <c r="AG74" i="13"/>
  <c r="AF74" i="13"/>
  <c r="AE5" i="13" s="1"/>
  <c r="AE74" i="13"/>
  <c r="AD5" i="13" s="1"/>
  <c r="AD74" i="13"/>
  <c r="AC5" i="13" s="1"/>
  <c r="AC74" i="13"/>
  <c r="AB5" i="13" s="1"/>
  <c r="AB74" i="13"/>
  <c r="AA5" i="13" s="1"/>
  <c r="AA74" i="13"/>
  <c r="Z5" i="13" s="1"/>
  <c r="Z74" i="13"/>
  <c r="Y5" i="13" s="1"/>
  <c r="Y74" i="13"/>
  <c r="X5" i="13" s="1"/>
  <c r="X74" i="13"/>
  <c r="W5" i="13" s="1"/>
  <c r="W74" i="13"/>
  <c r="V5" i="13" s="1"/>
  <c r="V74" i="13"/>
  <c r="U5" i="13" s="1"/>
  <c r="U74" i="13"/>
  <c r="T5" i="13" s="1"/>
  <c r="T74" i="13"/>
  <c r="S5" i="13" s="1"/>
  <c r="S74" i="13"/>
  <c r="R5" i="13" s="1"/>
  <c r="R74" i="13"/>
  <c r="Q5" i="13" s="1"/>
  <c r="Q74" i="13"/>
  <c r="P5" i="13" s="1"/>
  <c r="P74" i="13"/>
  <c r="O5" i="13" s="1"/>
  <c r="O74" i="13"/>
  <c r="N5" i="13" s="1"/>
  <c r="N74" i="13"/>
  <c r="M5" i="13" s="1"/>
  <c r="M74" i="13"/>
  <c r="L5" i="13" s="1"/>
  <c r="L74" i="13"/>
  <c r="K5" i="13" s="1"/>
  <c r="K74" i="13"/>
  <c r="J74" i="13"/>
  <c r="I5" i="13" s="1"/>
  <c r="I74" i="13"/>
  <c r="H5" i="13" s="1"/>
  <c r="H74" i="13"/>
  <c r="G5" i="13" s="1"/>
  <c r="G74" i="13"/>
  <c r="F5" i="13" s="1"/>
  <c r="F74" i="13"/>
  <c r="E5" i="13" s="1"/>
  <c r="E74" i="13"/>
  <c r="D5" i="13" s="1"/>
  <c r="D74" i="13"/>
  <c r="C74" i="13"/>
  <c r="B5" i="13" s="1"/>
  <c r="B74" i="13"/>
  <c r="AF5" i="13" s="1"/>
  <c r="AI73" i="13"/>
  <c r="AH73" i="13"/>
  <c r="AI72" i="13"/>
  <c r="AH72" i="13"/>
  <c r="AI71" i="13"/>
  <c r="AH71" i="13"/>
  <c r="AI70" i="13"/>
  <c r="AH70" i="13"/>
  <c r="AI69" i="13"/>
  <c r="AH69" i="13"/>
  <c r="AI68" i="13"/>
  <c r="AH68" i="13"/>
  <c r="AI67" i="13"/>
  <c r="AH67" i="13"/>
  <c r="AI66" i="13"/>
  <c r="AH66" i="13"/>
  <c r="AI65" i="13"/>
  <c r="AH65" i="13"/>
  <c r="AI64" i="13"/>
  <c r="AH64" i="13"/>
  <c r="AI63" i="13"/>
  <c r="AH63" i="13"/>
  <c r="AG62" i="13"/>
  <c r="AF62" i="13"/>
  <c r="AE62" i="13"/>
  <c r="AD62" i="13"/>
  <c r="AC62" i="13"/>
  <c r="AB62" i="13"/>
  <c r="AA62" i="13"/>
  <c r="Z62" i="13"/>
  <c r="Y62" i="13"/>
  <c r="X62" i="13"/>
  <c r="W62" i="13"/>
  <c r="V62" i="13"/>
  <c r="U62" i="13"/>
  <c r="T62" i="13"/>
  <c r="S62" i="13"/>
  <c r="R62" i="13"/>
  <c r="Q62" i="13"/>
  <c r="P62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B62" i="13"/>
  <c r="AI61" i="13"/>
  <c r="AH61" i="13"/>
  <c r="AI60" i="13"/>
  <c r="AH60" i="13"/>
  <c r="AI59" i="13"/>
  <c r="AH59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B58" i="13"/>
  <c r="AI57" i="13"/>
  <c r="AH57" i="13"/>
  <c r="AG57" i="13"/>
  <c r="AG58" i="13" s="1"/>
  <c r="AG3" i="13" s="1"/>
  <c r="AI56" i="13"/>
  <c r="AH56" i="13"/>
  <c r="AI55" i="13"/>
  <c r="AH55" i="13"/>
  <c r="AI54" i="13"/>
  <c r="AH54" i="13"/>
  <c r="AI53" i="13"/>
  <c r="AH53" i="13"/>
  <c r="AI52" i="13"/>
  <c r="AH52" i="13"/>
  <c r="AI51" i="13"/>
  <c r="AH51" i="13"/>
  <c r="AI50" i="13"/>
  <c r="AH50" i="13"/>
  <c r="AI49" i="13"/>
  <c r="AH49" i="13"/>
  <c r="AI48" i="13"/>
  <c r="AH48" i="13"/>
  <c r="AI47" i="13"/>
  <c r="AH47" i="13"/>
  <c r="AI46" i="13"/>
  <c r="AH46" i="13"/>
  <c r="AI45" i="13"/>
  <c r="AH45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AI43" i="13"/>
  <c r="AH43" i="13"/>
  <c r="AI42" i="13"/>
  <c r="AH42" i="13"/>
  <c r="AI41" i="13"/>
  <c r="AH41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I38" i="13"/>
  <c r="AH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AG4" i="13"/>
  <c r="K4" i="13"/>
  <c r="B4" i="13"/>
  <c r="D235" i="13" s="1"/>
  <c r="AG2" i="13"/>
  <c r="AD103" i="12"/>
  <c r="AD39" i="12"/>
  <c r="AC103" i="12"/>
  <c r="AB40" i="12"/>
  <c r="Z103" i="12"/>
  <c r="Z41" i="12"/>
  <c r="Y103" i="12"/>
  <c r="Y41" i="12"/>
  <c r="Y39" i="12"/>
  <c r="X103" i="12"/>
  <c r="X39" i="12"/>
  <c r="U103" i="12"/>
  <c r="E4" i="14"/>
  <c r="E4" i="15"/>
  <c r="E4" i="13"/>
  <c r="E223" i="13" l="1"/>
  <c r="F223" i="13" s="1"/>
  <c r="AG81" i="15"/>
  <c r="D224" i="14"/>
  <c r="AG6" i="15"/>
  <c r="AH39" i="15"/>
  <c r="AB89" i="14"/>
  <c r="E100" i="15"/>
  <c r="D90" i="14"/>
  <c r="F223" i="15"/>
  <c r="P79" i="14"/>
  <c r="P81" i="14" s="1"/>
  <c r="M223" i="16"/>
  <c r="K259" i="16"/>
  <c r="L224" i="16"/>
  <c r="L100" i="16"/>
  <c r="AG79" i="14"/>
  <c r="S90" i="14"/>
  <c r="B224" i="15"/>
  <c r="O218" i="16"/>
  <c r="AF89" i="15"/>
  <c r="AF90" i="15" s="1"/>
  <c r="AF79" i="15"/>
  <c r="AF81" i="15" s="1"/>
  <c r="AE89" i="15"/>
  <c r="AE79" i="15"/>
  <c r="AE81" i="15" s="1"/>
  <c r="AC89" i="15"/>
  <c r="AC79" i="15"/>
  <c r="AC81" i="15" s="1"/>
  <c r="AB89" i="15"/>
  <c r="AB90" i="15" s="1"/>
  <c r="AA5" i="15"/>
  <c r="AB79" i="15"/>
  <c r="AB81" i="15" s="1"/>
  <c r="AB7" i="15" s="1"/>
  <c r="AA89" i="15"/>
  <c r="AA90" i="15" s="1"/>
  <c r="Z5" i="15"/>
  <c r="AA79" i="15"/>
  <c r="AA81" i="15" s="1"/>
  <c r="Z90" i="15"/>
  <c r="Z79" i="15"/>
  <c r="Z81" i="15" s="1"/>
  <c r="Y89" i="15"/>
  <c r="Y90" i="15"/>
  <c r="Y79" i="15"/>
  <c r="Y81" i="15" s="1"/>
  <c r="Y7" i="15" s="1"/>
  <c r="X89" i="15"/>
  <c r="X90" i="15" s="1"/>
  <c r="X79" i="15"/>
  <c r="X81" i="15" s="1"/>
  <c r="W89" i="15"/>
  <c r="W79" i="15"/>
  <c r="W81" i="15" s="1"/>
  <c r="V79" i="15"/>
  <c r="V81" i="15" s="1"/>
  <c r="V7" i="15" s="1"/>
  <c r="AI87" i="15"/>
  <c r="U79" i="15"/>
  <c r="U81" i="15" s="1"/>
  <c r="U7" i="15" s="1"/>
  <c r="T89" i="15"/>
  <c r="T90" i="15" s="1"/>
  <c r="T79" i="15"/>
  <c r="T81" i="15" s="1"/>
  <c r="S89" i="15"/>
  <c r="S90" i="15" s="1"/>
  <c r="S79" i="15"/>
  <c r="S81" i="15" s="1"/>
  <c r="R90" i="15"/>
  <c r="R79" i="15"/>
  <c r="R81" i="15" s="1"/>
  <c r="Q89" i="15"/>
  <c r="Q90" i="15"/>
  <c r="P5" i="15"/>
  <c r="P89" i="15"/>
  <c r="P90" i="15" s="1"/>
  <c r="P79" i="15"/>
  <c r="P81" i="15" s="1"/>
  <c r="P7" i="15" s="1"/>
  <c r="N79" i="15"/>
  <c r="N81" i="15" s="1"/>
  <c r="O89" i="15"/>
  <c r="O79" i="15"/>
  <c r="O81" i="15" s="1"/>
  <c r="O82" i="15" s="1"/>
  <c r="Q79" i="15"/>
  <c r="Q81" i="15" s="1"/>
  <c r="Q7" i="15" s="1"/>
  <c r="N89" i="15"/>
  <c r="N82" i="15" s="1"/>
  <c r="M89" i="15"/>
  <c r="M79" i="15"/>
  <c r="M81" i="15" s="1"/>
  <c r="AI86" i="15"/>
  <c r="L89" i="15"/>
  <c r="L90" i="15" s="1"/>
  <c r="K5" i="15"/>
  <c r="L79" i="15"/>
  <c r="L81" i="15" s="1"/>
  <c r="AD238" i="15" s="1"/>
  <c r="K89" i="15"/>
  <c r="K90" i="15" s="1"/>
  <c r="K79" i="15"/>
  <c r="K81" i="15" s="1"/>
  <c r="K7" i="15" s="1"/>
  <c r="AI85" i="15"/>
  <c r="J89" i="15"/>
  <c r="J90" i="15" s="1"/>
  <c r="J79" i="15"/>
  <c r="J81" i="15" s="1"/>
  <c r="AB238" i="15" s="1"/>
  <c r="I89" i="15"/>
  <c r="I90" i="15" s="1"/>
  <c r="I79" i="15"/>
  <c r="I81" i="15" s="1"/>
  <c r="I82" i="15" s="1"/>
  <c r="AI83" i="15"/>
  <c r="H89" i="15"/>
  <c r="H90" i="15" s="1"/>
  <c r="G5" i="15"/>
  <c r="H79" i="15"/>
  <c r="H81" i="15" s="1"/>
  <c r="H7" i="15" s="1"/>
  <c r="G89" i="15"/>
  <c r="G79" i="15"/>
  <c r="G81" i="15" s="1"/>
  <c r="G82" i="15" s="1"/>
  <c r="F89" i="15"/>
  <c r="AI62" i="15"/>
  <c r="AI44" i="15"/>
  <c r="F79" i="15"/>
  <c r="F81" i="15" s="1"/>
  <c r="F7" i="15" s="1"/>
  <c r="E89" i="15"/>
  <c r="E90" i="15" s="1"/>
  <c r="AI84" i="15"/>
  <c r="E79" i="15"/>
  <c r="E81" i="15" s="1"/>
  <c r="E7" i="15" s="1"/>
  <c r="D90" i="15"/>
  <c r="C5" i="15"/>
  <c r="D79" i="15"/>
  <c r="D81" i="15" s="1"/>
  <c r="D7" i="15" s="1"/>
  <c r="AI58" i="15"/>
  <c r="C89" i="15"/>
  <c r="C90" i="15" s="1"/>
  <c r="B5" i="15"/>
  <c r="C79" i="15"/>
  <c r="C81" i="15" s="1"/>
  <c r="U238" i="15" s="1"/>
  <c r="AI40" i="15"/>
  <c r="B79" i="15"/>
  <c r="B81" i="15" s="1"/>
  <c r="H4" i="15"/>
  <c r="AD7" i="15"/>
  <c r="AV238" i="15"/>
  <c r="AD82" i="15"/>
  <c r="T7" i="15"/>
  <c r="AL238" i="15"/>
  <c r="T82" i="15"/>
  <c r="AC7" i="15"/>
  <c r="AU238" i="15"/>
  <c r="AC82" i="15"/>
  <c r="AG238" i="15"/>
  <c r="O7" i="15"/>
  <c r="AO238" i="15"/>
  <c r="W82" i="15"/>
  <c r="W7" i="15"/>
  <c r="AW238" i="15"/>
  <c r="AE82" i="15"/>
  <c r="AE7" i="15"/>
  <c r="X7" i="15"/>
  <c r="AP238" i="15"/>
  <c r="X82" i="15"/>
  <c r="AF7" i="15"/>
  <c r="AX238" i="15"/>
  <c r="G218" i="15"/>
  <c r="F100" i="15"/>
  <c r="F224" i="15"/>
  <c r="AG79" i="15"/>
  <c r="M90" i="15"/>
  <c r="U90" i="15"/>
  <c r="AC90" i="15"/>
  <c r="N7" i="15"/>
  <c r="AF238" i="15"/>
  <c r="J7" i="15"/>
  <c r="R7" i="15"/>
  <c r="AJ238" i="15"/>
  <c r="R82" i="15"/>
  <c r="Z7" i="15"/>
  <c r="AR238" i="15"/>
  <c r="Z82" i="15"/>
  <c r="F90" i="15"/>
  <c r="V90" i="15"/>
  <c r="AD90" i="15"/>
  <c r="F82" i="15"/>
  <c r="C82" i="15"/>
  <c r="S7" i="15"/>
  <c r="AK238" i="15"/>
  <c r="S82" i="15"/>
  <c r="AA7" i="15"/>
  <c r="AS238" i="15"/>
  <c r="AA82" i="15"/>
  <c r="G90" i="15"/>
  <c r="O90" i="15"/>
  <c r="W90" i="15"/>
  <c r="AE90" i="15"/>
  <c r="E224" i="15"/>
  <c r="D235" i="15"/>
  <c r="AH58" i="15"/>
  <c r="AH62" i="15"/>
  <c r="AH74" i="15"/>
  <c r="AI74" i="15"/>
  <c r="AH83" i="15"/>
  <c r="B89" i="15"/>
  <c r="AH84" i="15"/>
  <c r="AH40" i="15"/>
  <c r="AH44" i="15"/>
  <c r="AH85" i="15"/>
  <c r="AH86" i="15"/>
  <c r="AH87" i="15"/>
  <c r="AF89" i="14"/>
  <c r="AF79" i="14"/>
  <c r="AF81" i="14" s="1"/>
  <c r="AE89" i="14"/>
  <c r="AE90" i="14" s="1"/>
  <c r="AE79" i="14"/>
  <c r="AE81" i="14" s="1"/>
  <c r="AE7" i="14" s="1"/>
  <c r="AD89" i="14"/>
  <c r="AD79" i="14"/>
  <c r="AD81" i="14" s="1"/>
  <c r="AD90" i="14"/>
  <c r="AC90" i="14"/>
  <c r="AC79" i="14"/>
  <c r="AC81" i="14" s="1"/>
  <c r="AB90" i="14"/>
  <c r="AA5" i="14"/>
  <c r="AB79" i="14"/>
  <c r="AB81" i="14" s="1"/>
  <c r="AT238" i="14" s="1"/>
  <c r="AA89" i="14"/>
  <c r="AA90" i="14" s="1"/>
  <c r="AA79" i="14"/>
  <c r="AA81" i="14" s="1"/>
  <c r="Z89" i="14"/>
  <c r="Z90" i="14" s="1"/>
  <c r="Y89" i="14"/>
  <c r="Y90" i="14" s="1"/>
  <c r="Y79" i="14"/>
  <c r="Y81" i="14" s="1"/>
  <c r="X89" i="14"/>
  <c r="U89" i="14"/>
  <c r="U90" i="14" s="1"/>
  <c r="V89" i="14"/>
  <c r="V90" i="14" s="1"/>
  <c r="U79" i="14"/>
  <c r="U81" i="14" s="1"/>
  <c r="W89" i="14"/>
  <c r="W90" i="14" s="1"/>
  <c r="W79" i="14"/>
  <c r="W81" i="14" s="1"/>
  <c r="V79" i="14"/>
  <c r="V81" i="14" s="1"/>
  <c r="V82" i="14" s="1"/>
  <c r="T90" i="14"/>
  <c r="S5" i="14"/>
  <c r="T79" i="14"/>
  <c r="T81" i="14" s="1"/>
  <c r="AL238" i="14" s="1"/>
  <c r="S79" i="14"/>
  <c r="S81" i="14" s="1"/>
  <c r="R89" i="14"/>
  <c r="R90" i="14" s="1"/>
  <c r="R79" i="14"/>
  <c r="R81" i="14" s="1"/>
  <c r="Q89" i="14"/>
  <c r="Q90" i="14" s="1"/>
  <c r="Q79" i="14"/>
  <c r="Q81" i="14" s="1"/>
  <c r="AI238" i="14" s="1"/>
  <c r="P89" i="14"/>
  <c r="O89" i="14"/>
  <c r="O90" i="14" s="1"/>
  <c r="O79" i="14"/>
  <c r="O81" i="14" s="1"/>
  <c r="AG238" i="14" s="1"/>
  <c r="N89" i="14"/>
  <c r="N79" i="14"/>
  <c r="N81" i="14" s="1"/>
  <c r="N90" i="14"/>
  <c r="M89" i="14"/>
  <c r="M90" i="14" s="1"/>
  <c r="M79" i="14"/>
  <c r="M81" i="14" s="1"/>
  <c r="AI58" i="14"/>
  <c r="I79" i="14"/>
  <c r="I81" i="14" s="1"/>
  <c r="I7" i="14" s="1"/>
  <c r="K89" i="14"/>
  <c r="K90" i="14" s="1"/>
  <c r="J79" i="14"/>
  <c r="J81" i="14" s="1"/>
  <c r="J7" i="14" s="1"/>
  <c r="L90" i="14"/>
  <c r="I89" i="14"/>
  <c r="I90" i="14" s="1"/>
  <c r="J89" i="14"/>
  <c r="J90" i="14" s="1"/>
  <c r="L79" i="14"/>
  <c r="L81" i="14" s="1"/>
  <c r="L82" i="14" s="1"/>
  <c r="K79" i="14"/>
  <c r="K81" i="14" s="1"/>
  <c r="AC238" i="14" s="1"/>
  <c r="F89" i="14"/>
  <c r="G89" i="14"/>
  <c r="G90" i="14" s="1"/>
  <c r="H89" i="14"/>
  <c r="AH85" i="14"/>
  <c r="AI85" i="14"/>
  <c r="G79" i="14"/>
  <c r="G81" i="14" s="1"/>
  <c r="G82" i="14" s="1"/>
  <c r="AI84" i="14"/>
  <c r="AI83" i="14"/>
  <c r="F90" i="14"/>
  <c r="F79" i="14"/>
  <c r="F81" i="14" s="1"/>
  <c r="X238" i="14" s="1"/>
  <c r="AH62" i="14"/>
  <c r="H79" i="14"/>
  <c r="H81" i="14" s="1"/>
  <c r="H7" i="14" s="1"/>
  <c r="AI39" i="14"/>
  <c r="E89" i="14"/>
  <c r="E90" i="14" s="1"/>
  <c r="AI86" i="14"/>
  <c r="E79" i="14"/>
  <c r="E81" i="14" s="1"/>
  <c r="W238" i="14" s="1"/>
  <c r="AH39" i="14"/>
  <c r="AH74" i="14"/>
  <c r="C5" i="14"/>
  <c r="C89" i="14"/>
  <c r="C90" i="14" s="1"/>
  <c r="C79" i="14"/>
  <c r="C81" i="14" s="1"/>
  <c r="U238" i="14" s="1"/>
  <c r="D79" i="14"/>
  <c r="D81" i="14" s="1"/>
  <c r="V238" i="14" s="1"/>
  <c r="AI87" i="14"/>
  <c r="AH58" i="14"/>
  <c r="AH44" i="14"/>
  <c r="AF5" i="14"/>
  <c r="AI62" i="14"/>
  <c r="B79" i="14"/>
  <c r="AI44" i="14"/>
  <c r="D235" i="14"/>
  <c r="H4" i="14"/>
  <c r="N82" i="14"/>
  <c r="AF238" i="14"/>
  <c r="N7" i="14"/>
  <c r="AN238" i="14"/>
  <c r="V7" i="14"/>
  <c r="AD82" i="14"/>
  <c r="AV238" i="14"/>
  <c r="AD7" i="14"/>
  <c r="Y238" i="14"/>
  <c r="G7" i="14"/>
  <c r="AO238" i="14"/>
  <c r="W7" i="14"/>
  <c r="W82" i="14"/>
  <c r="X7" i="14"/>
  <c r="X82" i="14"/>
  <c r="AP238" i="14"/>
  <c r="AA238" i="14"/>
  <c r="Q7" i="14"/>
  <c r="Q82" i="14"/>
  <c r="Y7" i="14"/>
  <c r="Y82" i="14"/>
  <c r="AQ238" i="14"/>
  <c r="E100" i="14"/>
  <c r="AF7" i="14"/>
  <c r="AF82" i="14"/>
  <c r="AX238" i="14"/>
  <c r="R7" i="14"/>
  <c r="R82" i="14"/>
  <c r="AJ238" i="14"/>
  <c r="Z82" i="14"/>
  <c r="AR238" i="14"/>
  <c r="Z7" i="14"/>
  <c r="H218" i="14"/>
  <c r="P7" i="14"/>
  <c r="P82" i="14"/>
  <c r="AH238" i="14"/>
  <c r="C82" i="14"/>
  <c r="C7" i="14"/>
  <c r="K7" i="14"/>
  <c r="S82" i="14"/>
  <c r="S7" i="14"/>
  <c r="AK238" i="14"/>
  <c r="AA7" i="14"/>
  <c r="AA82" i="14"/>
  <c r="AS238" i="14"/>
  <c r="T82" i="14"/>
  <c r="E7" i="14"/>
  <c r="E82" i="14"/>
  <c r="M7" i="14"/>
  <c r="U7" i="14"/>
  <c r="U82" i="14"/>
  <c r="AM238" i="14"/>
  <c r="AC7" i="14"/>
  <c r="AC82" i="14"/>
  <c r="AU238" i="14"/>
  <c r="E224" i="14"/>
  <c r="H90" i="14"/>
  <c r="P90" i="14"/>
  <c r="X90" i="14"/>
  <c r="AF90" i="14"/>
  <c r="E223" i="14"/>
  <c r="B5" i="14"/>
  <c r="J5" i="14"/>
  <c r="AH83" i="14"/>
  <c r="B89" i="14"/>
  <c r="AI74" i="14"/>
  <c r="AH84" i="14"/>
  <c r="E5" i="14"/>
  <c r="M5" i="14"/>
  <c r="U5" i="14"/>
  <c r="AC5" i="14"/>
  <c r="AH40" i="14"/>
  <c r="AH86" i="14"/>
  <c r="B224" i="14"/>
  <c r="AI40" i="14"/>
  <c r="AH87" i="14"/>
  <c r="AF89" i="13"/>
  <c r="AE79" i="13"/>
  <c r="AE81" i="13" s="1"/>
  <c r="AH39" i="13"/>
  <c r="AF79" i="13"/>
  <c r="AF81" i="13" s="1"/>
  <c r="AC79" i="13"/>
  <c r="AC81" i="13" s="1"/>
  <c r="AU238" i="13" s="1"/>
  <c r="AB89" i="13"/>
  <c r="AB79" i="13"/>
  <c r="AB81" i="13" s="1"/>
  <c r="AB7" i="13" s="1"/>
  <c r="AA89" i="13"/>
  <c r="AA79" i="13"/>
  <c r="AA81" i="13" s="1"/>
  <c r="Z79" i="13"/>
  <c r="Z81" i="13" s="1"/>
  <c r="Z7" i="13" s="1"/>
  <c r="Y79" i="13"/>
  <c r="Y81" i="13" s="1"/>
  <c r="AQ238" i="13" s="1"/>
  <c r="X89" i="13"/>
  <c r="W79" i="13"/>
  <c r="W81" i="13" s="1"/>
  <c r="AO238" i="13" s="1"/>
  <c r="U89" i="13"/>
  <c r="U79" i="13"/>
  <c r="U81" i="13" s="1"/>
  <c r="U7" i="13" s="1"/>
  <c r="T79" i="13"/>
  <c r="T81" i="13" s="1"/>
  <c r="S89" i="13"/>
  <c r="S79" i="13"/>
  <c r="S81" i="13" s="1"/>
  <c r="S82" i="13" s="1"/>
  <c r="Q79" i="13"/>
  <c r="Q81" i="13" s="1"/>
  <c r="AI238" i="13" s="1"/>
  <c r="P89" i="13"/>
  <c r="P90" i="13" s="1"/>
  <c r="R79" i="13"/>
  <c r="R81" i="13" s="1"/>
  <c r="AJ238" i="13" s="1"/>
  <c r="O79" i="13"/>
  <c r="O81" i="13" s="1"/>
  <c r="AG238" i="13" s="1"/>
  <c r="M89" i="13"/>
  <c r="M90" i="13" s="1"/>
  <c r="M79" i="13"/>
  <c r="M81" i="13" s="1"/>
  <c r="AE238" i="13" s="1"/>
  <c r="L89" i="13"/>
  <c r="L79" i="13"/>
  <c r="L81" i="13" s="1"/>
  <c r="E259" i="13"/>
  <c r="G223" i="13"/>
  <c r="H223" i="13" s="1"/>
  <c r="AG6" i="13"/>
  <c r="D224" i="13"/>
  <c r="E218" i="13"/>
  <c r="F218" i="13" s="1"/>
  <c r="P79" i="13"/>
  <c r="P81" i="13" s="1"/>
  <c r="P7" i="13" s="1"/>
  <c r="X79" i="13"/>
  <c r="X81" i="13" s="1"/>
  <c r="X7" i="13" s="1"/>
  <c r="AG81" i="13"/>
  <c r="X90" i="13"/>
  <c r="AF90" i="13"/>
  <c r="D259" i="13"/>
  <c r="AG79" i="13"/>
  <c r="T89" i="13"/>
  <c r="T90" i="13" s="1"/>
  <c r="AI39" i="13"/>
  <c r="R89" i="13"/>
  <c r="R90" i="13" s="1"/>
  <c r="Z89" i="13"/>
  <c r="Z82" i="13" s="1"/>
  <c r="N79" i="13"/>
  <c r="N81" i="13" s="1"/>
  <c r="N7" i="13" s="1"/>
  <c r="V79" i="13"/>
  <c r="V81" i="13" s="1"/>
  <c r="V7" i="13" s="1"/>
  <c r="AD79" i="13"/>
  <c r="AD81" i="13" s="1"/>
  <c r="AD7" i="13" s="1"/>
  <c r="S90" i="13"/>
  <c r="AA90" i="13"/>
  <c r="U90" i="13"/>
  <c r="AC90" i="13"/>
  <c r="D90" i="13"/>
  <c r="L90" i="13"/>
  <c r="AB90" i="13"/>
  <c r="K89" i="13"/>
  <c r="K90" i="13" s="1"/>
  <c r="J5" i="13"/>
  <c r="K79" i="13"/>
  <c r="K81" i="13" s="1"/>
  <c r="AC238" i="13" s="1"/>
  <c r="J89" i="13"/>
  <c r="J79" i="13"/>
  <c r="J81" i="13" s="1"/>
  <c r="J7" i="13" s="1"/>
  <c r="I79" i="13"/>
  <c r="I81" i="13" s="1"/>
  <c r="AA238" i="13" s="1"/>
  <c r="H89" i="13"/>
  <c r="H90" i="13" s="1"/>
  <c r="H79" i="13"/>
  <c r="H81" i="13" s="1"/>
  <c r="H7" i="13" s="1"/>
  <c r="G79" i="13"/>
  <c r="G81" i="13" s="1"/>
  <c r="G7" i="13" s="1"/>
  <c r="AI85" i="13"/>
  <c r="AI86" i="13"/>
  <c r="F79" i="13"/>
  <c r="F81" i="13" s="1"/>
  <c r="X238" i="13" s="1"/>
  <c r="E89" i="13"/>
  <c r="E90" i="13" s="1"/>
  <c r="E79" i="13"/>
  <c r="E81" i="13" s="1"/>
  <c r="E82" i="13" s="1"/>
  <c r="AH93" i="13"/>
  <c r="C5" i="13"/>
  <c r="AI62" i="13"/>
  <c r="D79" i="13"/>
  <c r="D81" i="13" s="1"/>
  <c r="D7" i="13" s="1"/>
  <c r="C89" i="13"/>
  <c r="AH84" i="13"/>
  <c r="C79" i="13"/>
  <c r="C81" i="13" s="1"/>
  <c r="C82" i="13" s="1"/>
  <c r="AI58" i="13"/>
  <c r="B89" i="13"/>
  <c r="AH85" i="13"/>
  <c r="B79" i="13"/>
  <c r="B81" i="13" s="1"/>
  <c r="AI44" i="13"/>
  <c r="S235" i="13"/>
  <c r="H4" i="13"/>
  <c r="L7" i="13"/>
  <c r="L82" i="13"/>
  <c r="AD238" i="13"/>
  <c r="AW238" i="13"/>
  <c r="AE7" i="13"/>
  <c r="AF82" i="13"/>
  <c r="AX238" i="13"/>
  <c r="AF7" i="13"/>
  <c r="T7" i="13"/>
  <c r="AL238" i="13"/>
  <c r="O7" i="13"/>
  <c r="S7" i="13"/>
  <c r="AK238" i="13"/>
  <c r="AA7" i="13"/>
  <c r="AA82" i="13"/>
  <c r="AS238" i="13"/>
  <c r="AI83" i="13"/>
  <c r="AH44" i="13"/>
  <c r="I89" i="13"/>
  <c r="I90" i="13" s="1"/>
  <c r="Q89" i="13"/>
  <c r="Q90" i="13" s="1"/>
  <c r="Y89" i="13"/>
  <c r="Y90" i="13" s="1"/>
  <c r="AH83" i="13"/>
  <c r="AI87" i="13"/>
  <c r="J90" i="13"/>
  <c r="AR238" i="13"/>
  <c r="AI84" i="13"/>
  <c r="AH58" i="13"/>
  <c r="AH62" i="13"/>
  <c r="AH74" i="13"/>
  <c r="C90" i="13"/>
  <c r="R7" i="13"/>
  <c r="AI74" i="13"/>
  <c r="AC7" i="13"/>
  <c r="AC82" i="13"/>
  <c r="F89" i="13"/>
  <c r="F90" i="13" s="1"/>
  <c r="N89" i="13"/>
  <c r="N90" i="13" s="1"/>
  <c r="V89" i="13"/>
  <c r="V90" i="13" s="1"/>
  <c r="AD89" i="13"/>
  <c r="AD90" i="13" s="1"/>
  <c r="E224" i="13"/>
  <c r="G89" i="13"/>
  <c r="O89" i="13"/>
  <c r="O90" i="13" s="1"/>
  <c r="W89" i="13"/>
  <c r="W82" i="13" s="1"/>
  <c r="AE89" i="13"/>
  <c r="AE82" i="13" s="1"/>
  <c r="B90" i="13"/>
  <c r="F259" i="13"/>
  <c r="D100" i="13"/>
  <c r="AH40" i="13"/>
  <c r="AH86" i="13"/>
  <c r="B224" i="13"/>
  <c r="AI40" i="13"/>
  <c r="AH87" i="13"/>
  <c r="AM238" i="13" l="1"/>
  <c r="I7" i="13"/>
  <c r="AT238" i="13"/>
  <c r="AB7" i="14"/>
  <c r="AW238" i="14"/>
  <c r="E100" i="13"/>
  <c r="T7" i="14"/>
  <c r="AF82" i="15"/>
  <c r="N90" i="15"/>
  <c r="U82" i="13"/>
  <c r="O82" i="14"/>
  <c r="M82" i="14"/>
  <c r="Y82" i="15"/>
  <c r="AB82" i="15"/>
  <c r="O7" i="14"/>
  <c r="AQ238" i="15"/>
  <c r="AT238" i="15"/>
  <c r="N223" i="16"/>
  <c r="L259" i="16"/>
  <c r="M224" i="16"/>
  <c r="M100" i="16"/>
  <c r="W7" i="13"/>
  <c r="AB82" i="14"/>
  <c r="AE82" i="14"/>
  <c r="Y7" i="13"/>
  <c r="Q7" i="13"/>
  <c r="AB238" i="14"/>
  <c r="C7" i="15"/>
  <c r="M82" i="15"/>
  <c r="E259" i="15"/>
  <c r="G223" i="15"/>
  <c r="P218" i="16"/>
  <c r="U82" i="15"/>
  <c r="AM238" i="15"/>
  <c r="V82" i="15"/>
  <c r="AN238" i="15"/>
  <c r="P82" i="15"/>
  <c r="AH238" i="15"/>
  <c r="B82" i="15"/>
  <c r="L82" i="15"/>
  <c r="D82" i="15"/>
  <c r="V238" i="15"/>
  <c r="AA238" i="15"/>
  <c r="Q82" i="15"/>
  <c r="AI238" i="15"/>
  <c r="AE238" i="15"/>
  <c r="M7" i="15"/>
  <c r="L7" i="15"/>
  <c r="K82" i="15"/>
  <c r="AC238" i="15"/>
  <c r="J82" i="15"/>
  <c r="I7" i="15"/>
  <c r="Z238" i="15"/>
  <c r="H82" i="15"/>
  <c r="G7" i="15"/>
  <c r="B233" i="15"/>
  <c r="C233" i="15"/>
  <c r="Y238" i="15"/>
  <c r="X238" i="15"/>
  <c r="E82" i="15"/>
  <c r="W238" i="15"/>
  <c r="AI89" i="15"/>
  <c r="AH89" i="15"/>
  <c r="B90" i="15"/>
  <c r="H218" i="15"/>
  <c r="G224" i="15"/>
  <c r="AI79" i="15"/>
  <c r="AH79" i="15"/>
  <c r="AE238" i="14"/>
  <c r="H82" i="14"/>
  <c r="F82" i="14"/>
  <c r="J82" i="14"/>
  <c r="AD238" i="14"/>
  <c r="L7" i="14"/>
  <c r="K82" i="14"/>
  <c r="I82" i="14"/>
  <c r="B233" i="14"/>
  <c r="Z238" i="14"/>
  <c r="F7" i="14"/>
  <c r="C233" i="14"/>
  <c r="D82" i="14"/>
  <c r="D7" i="14"/>
  <c r="AH79" i="14"/>
  <c r="AI79" i="14"/>
  <c r="B81" i="14"/>
  <c r="T238" i="14" s="1"/>
  <c r="B90" i="14"/>
  <c r="AI89" i="14"/>
  <c r="AH89" i="14"/>
  <c r="I218" i="14"/>
  <c r="B82" i="14"/>
  <c r="AH82" i="14" s="1"/>
  <c r="D259" i="14"/>
  <c r="F223" i="14"/>
  <c r="AB82" i="13"/>
  <c r="AV238" i="13"/>
  <c r="AD82" i="13"/>
  <c r="Z90" i="13"/>
  <c r="Y82" i="13"/>
  <c r="X82" i="13"/>
  <c r="AP238" i="13"/>
  <c r="W90" i="13"/>
  <c r="AN238" i="13"/>
  <c r="T82" i="13"/>
  <c r="R82" i="13"/>
  <c r="P82" i="13"/>
  <c r="M82" i="13"/>
  <c r="M7" i="13"/>
  <c r="AH238" i="13"/>
  <c r="AF238" i="13"/>
  <c r="K7" i="13"/>
  <c r="V82" i="13"/>
  <c r="G82" i="13"/>
  <c r="Q82" i="13"/>
  <c r="Y238" i="13"/>
  <c r="K82" i="13"/>
  <c r="J82" i="13"/>
  <c r="AB238" i="13"/>
  <c r="H82" i="13"/>
  <c r="B233" i="13"/>
  <c r="Z238" i="13"/>
  <c r="C233" i="13"/>
  <c r="E7" i="13"/>
  <c r="F7" i="13"/>
  <c r="F82" i="13"/>
  <c r="W238" i="13"/>
  <c r="V238" i="13"/>
  <c r="D82" i="13"/>
  <c r="C7" i="13"/>
  <c r="U238" i="13"/>
  <c r="AI79" i="13"/>
  <c r="AH79" i="13"/>
  <c r="AH89" i="13"/>
  <c r="AE90" i="13"/>
  <c r="T238" i="13"/>
  <c r="AH81" i="13"/>
  <c r="B7" i="13"/>
  <c r="AI81" i="13"/>
  <c r="B82" i="13"/>
  <c r="O82" i="13"/>
  <c r="I82" i="13"/>
  <c r="G90" i="13"/>
  <c r="G259" i="13"/>
  <c r="I223" i="13"/>
  <c r="N82" i="13"/>
  <c r="G218" i="13"/>
  <c r="F224" i="13"/>
  <c r="F100" i="13"/>
  <c r="AI89" i="13"/>
  <c r="F259" i="15" l="1"/>
  <c r="H223" i="15"/>
  <c r="G100" i="15"/>
  <c r="K6" i="13"/>
  <c r="M259" i="16"/>
  <c r="O223" i="16"/>
  <c r="N100" i="16"/>
  <c r="N224" i="16"/>
  <c r="AH90" i="13"/>
  <c r="K6" i="15"/>
  <c r="I218" i="15"/>
  <c r="H100" i="15"/>
  <c r="H224" i="15"/>
  <c r="AI90" i="15"/>
  <c r="AH90" i="15"/>
  <c r="B7" i="15"/>
  <c r="A7" i="15" s="1"/>
  <c r="T238" i="15"/>
  <c r="AI81" i="15"/>
  <c r="AH81" i="15"/>
  <c r="K6" i="14"/>
  <c r="B7" i="14"/>
  <c r="A7" i="14" s="1"/>
  <c r="AH81" i="14"/>
  <c r="AI81" i="14"/>
  <c r="E259" i="14"/>
  <c r="G223" i="14"/>
  <c r="F100" i="14"/>
  <c r="F224" i="14"/>
  <c r="J218" i="14"/>
  <c r="AI90" i="14"/>
  <c r="AH90" i="14"/>
  <c r="AI90" i="13"/>
  <c r="A7" i="13"/>
  <c r="AH82" i="13"/>
  <c r="H259" i="13"/>
  <c r="J223" i="13"/>
  <c r="H218" i="13"/>
  <c r="G224" i="13"/>
  <c r="G100" i="13"/>
  <c r="N259" i="16" l="1"/>
  <c r="P223" i="16"/>
  <c r="O100" i="16"/>
  <c r="O224" i="16"/>
  <c r="I223" i="15"/>
  <c r="G259" i="15"/>
  <c r="AI82" i="15"/>
  <c r="AH82" i="15"/>
  <c r="I100" i="15"/>
  <c r="I224" i="15"/>
  <c r="J218" i="15"/>
  <c r="H223" i="14"/>
  <c r="F259" i="14"/>
  <c r="G100" i="14"/>
  <c r="G224" i="14"/>
  <c r="K218" i="14"/>
  <c r="I218" i="13"/>
  <c r="H100" i="13"/>
  <c r="H224" i="13"/>
  <c r="K223" i="13"/>
  <c r="I259" i="13"/>
  <c r="H259" i="15" l="1"/>
  <c r="J223" i="15"/>
  <c r="O259" i="16"/>
  <c r="P100" i="16"/>
  <c r="P224" i="16"/>
  <c r="J100" i="15"/>
  <c r="J224" i="15"/>
  <c r="K218" i="15"/>
  <c r="G259" i="14"/>
  <c r="I223" i="14"/>
  <c r="H224" i="14"/>
  <c r="H100" i="14"/>
  <c r="L218" i="14"/>
  <c r="I100" i="13"/>
  <c r="I224" i="13"/>
  <c r="J218" i="13"/>
  <c r="J259" i="13"/>
  <c r="L223" i="13"/>
  <c r="K223" i="15" l="1"/>
  <c r="I259" i="15"/>
  <c r="AI100" i="16"/>
  <c r="AH100" i="16"/>
  <c r="K100" i="15"/>
  <c r="K224" i="15"/>
  <c r="L218" i="15"/>
  <c r="H259" i="14"/>
  <c r="J223" i="14"/>
  <c r="I224" i="14"/>
  <c r="I100" i="14"/>
  <c r="M218" i="14"/>
  <c r="K259" i="13"/>
  <c r="M223" i="13"/>
  <c r="J100" i="13"/>
  <c r="J224" i="13"/>
  <c r="K218" i="13"/>
  <c r="J259" i="15" l="1"/>
  <c r="L223" i="15"/>
  <c r="L224" i="15"/>
  <c r="M218" i="15"/>
  <c r="L100" i="15"/>
  <c r="N218" i="14"/>
  <c r="K223" i="14"/>
  <c r="I259" i="14"/>
  <c r="J224" i="14"/>
  <c r="J100" i="14"/>
  <c r="K100" i="13"/>
  <c r="K224" i="13"/>
  <c r="L218" i="13"/>
  <c r="N223" i="13"/>
  <c r="L259" i="13"/>
  <c r="M223" i="15" l="1"/>
  <c r="K259" i="15"/>
  <c r="N218" i="15"/>
  <c r="M100" i="15"/>
  <c r="M224" i="15"/>
  <c r="J259" i="14"/>
  <c r="L223" i="14"/>
  <c r="K100" i="14"/>
  <c r="K224" i="14"/>
  <c r="O218" i="14"/>
  <c r="L224" i="13"/>
  <c r="L100" i="13"/>
  <c r="M218" i="13"/>
  <c r="M259" i="13"/>
  <c r="O223" i="13"/>
  <c r="L259" i="15" l="1"/>
  <c r="N223" i="15"/>
  <c r="O218" i="15"/>
  <c r="N100" i="15"/>
  <c r="N224" i="15"/>
  <c r="P218" i="14"/>
  <c r="K259" i="14"/>
  <c r="M223" i="14"/>
  <c r="L224" i="14"/>
  <c r="L100" i="14"/>
  <c r="N259" i="13"/>
  <c r="P223" i="13"/>
  <c r="O259" i="13" s="1"/>
  <c r="N218" i="13"/>
  <c r="M100" i="13"/>
  <c r="M224" i="13"/>
  <c r="M259" i="15" l="1"/>
  <c r="O223" i="15"/>
  <c r="P218" i="15"/>
  <c r="O100" i="15"/>
  <c r="O224" i="15"/>
  <c r="L259" i="14"/>
  <c r="N223" i="14"/>
  <c r="M224" i="14"/>
  <c r="M100" i="14"/>
  <c r="O218" i="13"/>
  <c r="N224" i="13"/>
  <c r="N100" i="13"/>
  <c r="N259" i="15" l="1"/>
  <c r="P223" i="15"/>
  <c r="O259" i="15" s="1"/>
  <c r="P100" i="15"/>
  <c r="P224" i="15"/>
  <c r="M259" i="14"/>
  <c r="O223" i="14"/>
  <c r="N100" i="14"/>
  <c r="N224" i="14"/>
  <c r="P218" i="13"/>
  <c r="O224" i="13"/>
  <c r="O100" i="13"/>
  <c r="AI100" i="15" l="1"/>
  <c r="AH100" i="15"/>
  <c r="P223" i="14"/>
  <c r="N259" i="14"/>
  <c r="O100" i="14"/>
  <c r="O224" i="14"/>
  <c r="P100" i="13"/>
  <c r="P224" i="13"/>
  <c r="O259" i="14" l="1"/>
  <c r="P100" i="14"/>
  <c r="P224" i="14"/>
  <c r="AH100" i="13"/>
  <c r="AI100" i="13"/>
  <c r="U39" i="12"/>
  <c r="T103" i="12"/>
  <c r="T100" i="12" s="1"/>
  <c r="T39" i="12"/>
  <c r="S39" i="12"/>
  <c r="S103" i="12"/>
  <c r="Q103" i="12"/>
  <c r="Q100" i="12" s="1"/>
  <c r="P103" i="12"/>
  <c r="P39" i="12"/>
  <c r="O103" i="12"/>
  <c r="O39" i="12"/>
  <c r="N103" i="12"/>
  <c r="N39" i="12"/>
  <c r="M103" i="12"/>
  <c r="M39" i="12"/>
  <c r="L39" i="12"/>
  <c r="K39" i="12"/>
  <c r="J39" i="12"/>
  <c r="I39" i="12"/>
  <c r="G39" i="12"/>
  <c r="F39" i="12"/>
  <c r="E39" i="12"/>
  <c r="D103" i="12"/>
  <c r="D39" i="12"/>
  <c r="C39" i="12"/>
  <c r="B103" i="12"/>
  <c r="B39" i="12"/>
  <c r="AI39" i="12" s="1"/>
  <c r="B87" i="12"/>
  <c r="B86" i="12"/>
  <c r="B85" i="12"/>
  <c r="B84" i="12"/>
  <c r="B83" i="12"/>
  <c r="B89" i="12" s="1"/>
  <c r="B74" i="12"/>
  <c r="B90" i="12" s="1"/>
  <c r="B62" i="12"/>
  <c r="B58" i="12"/>
  <c r="B44" i="12"/>
  <c r="B40" i="12"/>
  <c r="AF263" i="12"/>
  <c r="AE263" i="12"/>
  <c r="AD263" i="12"/>
  <c r="AC263" i="12"/>
  <c r="AB263" i="12"/>
  <c r="AA263" i="12"/>
  <c r="Z263" i="12"/>
  <c r="Y263" i="12"/>
  <c r="X263" i="12"/>
  <c r="W263" i="12"/>
  <c r="V263" i="12"/>
  <c r="U263" i="12"/>
  <c r="T263" i="12"/>
  <c r="S263" i="12"/>
  <c r="R263" i="12"/>
  <c r="Q263" i="12"/>
  <c r="P263" i="12"/>
  <c r="O263" i="12"/>
  <c r="N263" i="12"/>
  <c r="M263" i="12"/>
  <c r="L263" i="12"/>
  <c r="K263" i="12"/>
  <c r="J263" i="12"/>
  <c r="I263" i="12"/>
  <c r="H263" i="12"/>
  <c r="G263" i="12"/>
  <c r="F263" i="12"/>
  <c r="E263" i="12"/>
  <c r="D263" i="12"/>
  <c r="C263" i="12"/>
  <c r="B263" i="12"/>
  <c r="A263" i="12"/>
  <c r="AF262" i="12"/>
  <c r="AE262" i="12"/>
  <c r="AD262" i="12"/>
  <c r="AC262" i="12"/>
  <c r="AB262" i="12"/>
  <c r="AA262" i="12"/>
  <c r="Z262" i="12"/>
  <c r="Y262" i="12"/>
  <c r="X262" i="12"/>
  <c r="W262" i="12"/>
  <c r="V262" i="12"/>
  <c r="U262" i="12"/>
  <c r="T262" i="12"/>
  <c r="S262" i="12"/>
  <c r="R262" i="12"/>
  <c r="Q262" i="12"/>
  <c r="P262" i="12"/>
  <c r="O262" i="12"/>
  <c r="N262" i="12"/>
  <c r="M262" i="12"/>
  <c r="L262" i="12"/>
  <c r="K262" i="12"/>
  <c r="J262" i="12"/>
  <c r="I262" i="12"/>
  <c r="H262" i="12"/>
  <c r="G262" i="12"/>
  <c r="F262" i="12"/>
  <c r="E262" i="12"/>
  <c r="D262" i="12"/>
  <c r="C262" i="12"/>
  <c r="B262" i="12"/>
  <c r="A262" i="12"/>
  <c r="AF261" i="12"/>
  <c r="AE261" i="12"/>
  <c r="AD261" i="12"/>
  <c r="AC261" i="12"/>
  <c r="AB261" i="12"/>
  <c r="AA261" i="12"/>
  <c r="Z261" i="12"/>
  <c r="Y261" i="12"/>
  <c r="X261" i="12"/>
  <c r="W261" i="12"/>
  <c r="V261" i="12"/>
  <c r="U261" i="12"/>
  <c r="T261" i="12"/>
  <c r="S261" i="12"/>
  <c r="R261" i="12"/>
  <c r="Q261" i="12"/>
  <c r="P261" i="12"/>
  <c r="O261" i="12"/>
  <c r="N261" i="12"/>
  <c r="M261" i="12"/>
  <c r="L261" i="12"/>
  <c r="K261" i="12"/>
  <c r="J261" i="12"/>
  <c r="I261" i="12"/>
  <c r="H261" i="12"/>
  <c r="G261" i="12"/>
  <c r="F261" i="12"/>
  <c r="E261" i="12"/>
  <c r="D261" i="12"/>
  <c r="C261" i="12"/>
  <c r="B261" i="12"/>
  <c r="A261" i="12"/>
  <c r="AF260" i="12"/>
  <c r="AE260" i="12"/>
  <c r="AD260" i="12"/>
  <c r="AC260" i="12"/>
  <c r="AB260" i="12"/>
  <c r="AA260" i="12"/>
  <c r="Z260" i="12"/>
  <c r="Y260" i="12"/>
  <c r="X260" i="12"/>
  <c r="W260" i="12"/>
  <c r="V260" i="12"/>
  <c r="U260" i="12"/>
  <c r="T260" i="12"/>
  <c r="S260" i="12"/>
  <c r="R260" i="12"/>
  <c r="Q260" i="12"/>
  <c r="P260" i="12"/>
  <c r="O260" i="12"/>
  <c r="N260" i="12"/>
  <c r="M260" i="12"/>
  <c r="L260" i="12"/>
  <c r="K260" i="12"/>
  <c r="J260" i="12"/>
  <c r="I260" i="12"/>
  <c r="H260" i="12"/>
  <c r="G260" i="12"/>
  <c r="F260" i="12"/>
  <c r="E260" i="12"/>
  <c r="D260" i="12"/>
  <c r="C260" i="12"/>
  <c r="B260" i="12"/>
  <c r="A260" i="12"/>
  <c r="AE259" i="12"/>
  <c r="AD259" i="12"/>
  <c r="AC259" i="12"/>
  <c r="AB259" i="12"/>
  <c r="AA259" i="12"/>
  <c r="Z259" i="12"/>
  <c r="Y259" i="12"/>
  <c r="X259" i="12"/>
  <c r="W259" i="12"/>
  <c r="V259" i="12"/>
  <c r="U259" i="12"/>
  <c r="T259" i="12"/>
  <c r="S259" i="12"/>
  <c r="R259" i="12"/>
  <c r="Q259" i="12"/>
  <c r="P259" i="12"/>
  <c r="B259" i="12"/>
  <c r="S234" i="12"/>
  <c r="AG224" i="12"/>
  <c r="AG57" i="12" s="1"/>
  <c r="AG58" i="12" s="1"/>
  <c r="AG3" i="12" s="1"/>
  <c r="AF224" i="12"/>
  <c r="AE224" i="12"/>
  <c r="AD224" i="12"/>
  <c r="AC224" i="12"/>
  <c r="AB224" i="12"/>
  <c r="AA224" i="12"/>
  <c r="Z224" i="12"/>
  <c r="Y224" i="12"/>
  <c r="X224" i="12"/>
  <c r="W224" i="12"/>
  <c r="V224" i="12"/>
  <c r="U224" i="12"/>
  <c r="T224" i="12"/>
  <c r="S224" i="12"/>
  <c r="R224" i="12"/>
  <c r="Q224" i="12"/>
  <c r="C224" i="12"/>
  <c r="E223" i="12"/>
  <c r="D259" i="12" s="1"/>
  <c r="D223" i="12"/>
  <c r="C259" i="12" s="1"/>
  <c r="B223" i="12"/>
  <c r="AF259" i="12" s="1"/>
  <c r="D222" i="12"/>
  <c r="E222" i="12" s="1"/>
  <c r="F222" i="12" s="1"/>
  <c r="G222" i="12" s="1"/>
  <c r="H222" i="12" s="1"/>
  <c r="I222" i="12" s="1"/>
  <c r="J222" i="12" s="1"/>
  <c r="K222" i="12" s="1"/>
  <c r="L222" i="12" s="1"/>
  <c r="M222" i="12" s="1"/>
  <c r="N222" i="12" s="1"/>
  <c r="O222" i="12" s="1"/>
  <c r="P222" i="12" s="1"/>
  <c r="B222" i="12"/>
  <c r="D221" i="12"/>
  <c r="E221" i="12" s="1"/>
  <c r="F221" i="12" s="1"/>
  <c r="G221" i="12" s="1"/>
  <c r="H221" i="12" s="1"/>
  <c r="I221" i="12" s="1"/>
  <c r="J221" i="12" s="1"/>
  <c r="K221" i="12" s="1"/>
  <c r="L221" i="12" s="1"/>
  <c r="M221" i="12" s="1"/>
  <c r="N221" i="12" s="1"/>
  <c r="O221" i="12" s="1"/>
  <c r="P221" i="12" s="1"/>
  <c r="B221" i="12"/>
  <c r="D220" i="12"/>
  <c r="B220" i="12"/>
  <c r="D219" i="12"/>
  <c r="E219" i="12" s="1"/>
  <c r="F219" i="12" s="1"/>
  <c r="G219" i="12" s="1"/>
  <c r="H219" i="12" s="1"/>
  <c r="I219" i="12" s="1"/>
  <c r="J219" i="12" s="1"/>
  <c r="K219" i="12" s="1"/>
  <c r="L219" i="12" s="1"/>
  <c r="M219" i="12" s="1"/>
  <c r="N219" i="12" s="1"/>
  <c r="O219" i="12" s="1"/>
  <c r="P219" i="12" s="1"/>
  <c r="B219" i="12"/>
  <c r="E218" i="12"/>
  <c r="E100" i="12" s="1"/>
  <c r="D218" i="12"/>
  <c r="B218" i="12"/>
  <c r="B100" i="12" s="1"/>
  <c r="AG216" i="12"/>
  <c r="AF216" i="12"/>
  <c r="AE216" i="12"/>
  <c r="AD216" i="12"/>
  <c r="AC216" i="12"/>
  <c r="AB216" i="12"/>
  <c r="AA216" i="12"/>
  <c r="Z216" i="12"/>
  <c r="Y216" i="12"/>
  <c r="X216" i="12"/>
  <c r="W216" i="12"/>
  <c r="V216" i="12"/>
  <c r="U216" i="12"/>
  <c r="T216" i="12"/>
  <c r="S216" i="12"/>
  <c r="R216" i="12"/>
  <c r="Q216" i="12"/>
  <c r="P216" i="12"/>
  <c r="O216" i="12"/>
  <c r="N216" i="12"/>
  <c r="M216" i="12"/>
  <c r="L216" i="12"/>
  <c r="K216" i="12"/>
  <c r="J216" i="12"/>
  <c r="I216" i="12"/>
  <c r="H216" i="12"/>
  <c r="G216" i="12"/>
  <c r="F216" i="12"/>
  <c r="E216" i="12"/>
  <c r="D216" i="12"/>
  <c r="C216" i="12"/>
  <c r="B216" i="12"/>
  <c r="AH109" i="12"/>
  <c r="AI109" i="12" s="1"/>
  <c r="AH108" i="12"/>
  <c r="AI108" i="12" s="1"/>
  <c r="AH107" i="12"/>
  <c r="AI107" i="12" s="1"/>
  <c r="AH106" i="12"/>
  <c r="AI106" i="12" s="1"/>
  <c r="AH105" i="12"/>
  <c r="AI105" i="12" s="1"/>
  <c r="AH104" i="12"/>
  <c r="AI104" i="12" s="1"/>
  <c r="AH102" i="12"/>
  <c r="AI102" i="12" s="1"/>
  <c r="AH101" i="12"/>
  <c r="AI101" i="12" s="1"/>
  <c r="AF100" i="12"/>
  <c r="AE100" i="12"/>
  <c r="AD100" i="12"/>
  <c r="AC100" i="12"/>
  <c r="AB100" i="12"/>
  <c r="AA100" i="12"/>
  <c r="Z100" i="12"/>
  <c r="Y100" i="12"/>
  <c r="X100" i="12"/>
  <c r="W100" i="12"/>
  <c r="V100" i="12"/>
  <c r="U100" i="12"/>
  <c r="S100" i="12"/>
  <c r="R100" i="12"/>
  <c r="D100" i="12"/>
  <c r="C100" i="12"/>
  <c r="AI99" i="12"/>
  <c r="AH99" i="12"/>
  <c r="AI98" i="12"/>
  <c r="AH98" i="12"/>
  <c r="AI97" i="12"/>
  <c r="AH97" i="12"/>
  <c r="AI96" i="12"/>
  <c r="AH96" i="12"/>
  <c r="AI95" i="12"/>
  <c r="AH95" i="12"/>
  <c r="AI94" i="12"/>
  <c r="AH94" i="12"/>
  <c r="AI93" i="12"/>
  <c r="AH93" i="12"/>
  <c r="AI92" i="12"/>
  <c r="AH92" i="12"/>
  <c r="AI91" i="12"/>
  <c r="AH91" i="12"/>
  <c r="AI88" i="12"/>
  <c r="AH88" i="12"/>
  <c r="AF87" i="12"/>
  <c r="AE87" i="12"/>
  <c r="AD87" i="12"/>
  <c r="AC87" i="12"/>
  <c r="AB87" i="12"/>
  <c r="AA87" i="12"/>
  <c r="Z87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AF86" i="12"/>
  <c r="AE86" i="12"/>
  <c r="AD86" i="12"/>
  <c r="AC86" i="12"/>
  <c r="AB86" i="12"/>
  <c r="AA86" i="12"/>
  <c r="Z86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AF85" i="12"/>
  <c r="AE85" i="12"/>
  <c r="AD85" i="12"/>
  <c r="AC85" i="12"/>
  <c r="AB85" i="12"/>
  <c r="AA85" i="12"/>
  <c r="Z85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AF84" i="12"/>
  <c r="AE84" i="12"/>
  <c r="AD84" i="12"/>
  <c r="AC84" i="12"/>
  <c r="AB84" i="12"/>
  <c r="AA84" i="12"/>
  <c r="Z84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AF83" i="12"/>
  <c r="AE83" i="12"/>
  <c r="AD83" i="12"/>
  <c r="AC83" i="12"/>
  <c r="AB83" i="12"/>
  <c r="AA83" i="12"/>
  <c r="Z83" i="12"/>
  <c r="Y83" i="12"/>
  <c r="X83" i="12"/>
  <c r="W83" i="12"/>
  <c r="V83" i="12"/>
  <c r="U83" i="12"/>
  <c r="T83" i="12"/>
  <c r="S83" i="12"/>
  <c r="R83" i="12"/>
  <c r="R89" i="12" s="1"/>
  <c r="Q83" i="12"/>
  <c r="P83" i="12"/>
  <c r="O83" i="12"/>
  <c r="N83" i="12"/>
  <c r="M83" i="12"/>
  <c r="L83" i="12"/>
  <c r="K83" i="12"/>
  <c r="J83" i="12"/>
  <c r="I83" i="12"/>
  <c r="I89" i="12" s="1"/>
  <c r="H83" i="12"/>
  <c r="G83" i="12"/>
  <c r="F83" i="12"/>
  <c r="E83" i="12"/>
  <c r="D83" i="12"/>
  <c r="C83" i="12"/>
  <c r="AI80" i="12"/>
  <c r="AH80" i="12"/>
  <c r="AI78" i="12"/>
  <c r="AH78" i="12"/>
  <c r="AG78" i="12"/>
  <c r="AI77" i="12"/>
  <c r="AH77" i="12"/>
  <c r="AI76" i="12"/>
  <c r="AH76" i="12"/>
  <c r="AI75" i="12"/>
  <c r="AH75" i="12"/>
  <c r="AG74" i="12"/>
  <c r="AF74" i="12"/>
  <c r="AE74" i="12"/>
  <c r="AD74" i="12"/>
  <c r="AC5" i="12" s="1"/>
  <c r="AC74" i="12"/>
  <c r="AB5" i="12" s="1"/>
  <c r="AB74" i="12"/>
  <c r="AA74" i="12"/>
  <c r="Z5" i="12" s="1"/>
  <c r="Z74" i="12"/>
  <c r="Y74" i="12"/>
  <c r="X5" i="12" s="1"/>
  <c r="X74" i="12"/>
  <c r="W74" i="12"/>
  <c r="V5" i="12" s="1"/>
  <c r="V74" i="12"/>
  <c r="U5" i="12" s="1"/>
  <c r="U74" i="12"/>
  <c r="T5" i="12" s="1"/>
  <c r="T74" i="12"/>
  <c r="S74" i="12"/>
  <c r="R5" i="12" s="1"/>
  <c r="R74" i="12"/>
  <c r="R90" i="12" s="1"/>
  <c r="Q74" i="12"/>
  <c r="P74" i="12"/>
  <c r="O74" i="12"/>
  <c r="N5" i="12" s="1"/>
  <c r="N74" i="12"/>
  <c r="M5" i="12" s="1"/>
  <c r="M74" i="12"/>
  <c r="L5" i="12" s="1"/>
  <c r="L74" i="12"/>
  <c r="K74" i="12"/>
  <c r="J5" i="12" s="1"/>
  <c r="J74" i="12"/>
  <c r="I5" i="12" s="1"/>
  <c r="I74" i="12"/>
  <c r="H74" i="12"/>
  <c r="G5" i="12" s="1"/>
  <c r="G74" i="12"/>
  <c r="F5" i="12" s="1"/>
  <c r="F74" i="12"/>
  <c r="E5" i="12" s="1"/>
  <c r="E74" i="12"/>
  <c r="D5" i="12" s="1"/>
  <c r="D74" i="12"/>
  <c r="C74" i="12"/>
  <c r="B5" i="12" s="1"/>
  <c r="AI73" i="12"/>
  <c r="AH73" i="12"/>
  <c r="AI72" i="12"/>
  <c r="AH72" i="12"/>
  <c r="AI71" i="12"/>
  <c r="AH71" i="12"/>
  <c r="AI70" i="12"/>
  <c r="AH70" i="12"/>
  <c r="AI69" i="12"/>
  <c r="AH69" i="12"/>
  <c r="AI68" i="12"/>
  <c r="AH68" i="12"/>
  <c r="AI67" i="12"/>
  <c r="AH67" i="12"/>
  <c r="AI66" i="12"/>
  <c r="AH66" i="12"/>
  <c r="AI65" i="12"/>
  <c r="AH65" i="12"/>
  <c r="AI64" i="12"/>
  <c r="AH64" i="12"/>
  <c r="AI63" i="12"/>
  <c r="AH63" i="12"/>
  <c r="AG62" i="12"/>
  <c r="AF62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AI61" i="12"/>
  <c r="AH61" i="12"/>
  <c r="AI60" i="12"/>
  <c r="AH60" i="12"/>
  <c r="AI59" i="12"/>
  <c r="AH59" i="12"/>
  <c r="AF58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AI57" i="12"/>
  <c r="AH57" i="12"/>
  <c r="AI56" i="12"/>
  <c r="AH56" i="12"/>
  <c r="AI55" i="12"/>
  <c r="AH55" i="12"/>
  <c r="AI54" i="12"/>
  <c r="AH54" i="12"/>
  <c r="AI53" i="12"/>
  <c r="AH53" i="12"/>
  <c r="AI52" i="12"/>
  <c r="AH52" i="12"/>
  <c r="AI51" i="12"/>
  <c r="AH51" i="12"/>
  <c r="AI50" i="12"/>
  <c r="AH50" i="12"/>
  <c r="AI49" i="12"/>
  <c r="AH49" i="12"/>
  <c r="AI48" i="12"/>
  <c r="AH48" i="12"/>
  <c r="AI47" i="12"/>
  <c r="AH47" i="12"/>
  <c r="AI46" i="12"/>
  <c r="AH46" i="12"/>
  <c r="AI45" i="12"/>
  <c r="AH45" i="12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T44" i="12"/>
  <c r="S44" i="12"/>
  <c r="R44" i="12"/>
  <c r="Q44" i="12"/>
  <c r="P44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AI43" i="12"/>
  <c r="AH43" i="12"/>
  <c r="AI42" i="12"/>
  <c r="AH42" i="12"/>
  <c r="AI41" i="12"/>
  <c r="AH41" i="12"/>
  <c r="AG40" i="12"/>
  <c r="AG79" i="12" s="1"/>
  <c r="AF40" i="12"/>
  <c r="AE40" i="12"/>
  <c r="AD40" i="12"/>
  <c r="AC40" i="12"/>
  <c r="AA40" i="12"/>
  <c r="Z40" i="12"/>
  <c r="Y40" i="12"/>
  <c r="X40" i="12"/>
  <c r="W40" i="12"/>
  <c r="V40" i="12"/>
  <c r="U40" i="12"/>
  <c r="T40" i="12"/>
  <c r="S40" i="12"/>
  <c r="R40" i="12"/>
  <c r="R79" i="12" s="1"/>
  <c r="R81" i="12" s="1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AH39" i="12"/>
  <c r="AI38" i="12"/>
  <c r="AH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H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AE5" i="12"/>
  <c r="AD5" i="12"/>
  <c r="Y5" i="12"/>
  <c r="Q5" i="12"/>
  <c r="AG4" i="12"/>
  <c r="K4" i="12"/>
  <c r="B4" i="12"/>
  <c r="S235" i="12" s="1"/>
  <c r="AF103" i="11"/>
  <c r="AF100" i="11" s="1"/>
  <c r="AF39" i="11"/>
  <c r="AE103" i="11"/>
  <c r="AE39" i="11"/>
  <c r="AD39" i="11"/>
  <c r="AC39" i="11"/>
  <c r="AB39" i="11"/>
  <c r="AA103" i="11"/>
  <c r="AA39" i="11"/>
  <c r="Z103" i="11"/>
  <c r="Z39" i="11"/>
  <c r="Y78" i="11"/>
  <c r="Y74" i="11"/>
  <c r="Y62" i="11"/>
  <c r="Y58" i="11"/>
  <c r="X103" i="11"/>
  <c r="X39" i="11"/>
  <c r="W103" i="11"/>
  <c r="W39" i="11"/>
  <c r="V103" i="11"/>
  <c r="V39" i="11"/>
  <c r="U103" i="11"/>
  <c r="U39" i="11"/>
  <c r="T103" i="11"/>
  <c r="T39" i="11"/>
  <c r="AH16" i="11"/>
  <c r="AI16" i="11"/>
  <c r="S103" i="11"/>
  <c r="S39" i="11"/>
  <c r="R103" i="11"/>
  <c r="Q103" i="11"/>
  <c r="Q39" i="11"/>
  <c r="R39" i="11"/>
  <c r="AI39" i="11" s="1"/>
  <c r="P103" i="11"/>
  <c r="P39" i="11"/>
  <c r="O103" i="11"/>
  <c r="N103" i="11"/>
  <c r="N106" i="11"/>
  <c r="N39" i="11"/>
  <c r="O39" i="11"/>
  <c r="M106" i="11"/>
  <c r="M103" i="11"/>
  <c r="M39" i="11"/>
  <c r="AH30" i="11"/>
  <c r="AI30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B259" i="11"/>
  <c r="S23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C224" i="11"/>
  <c r="D223" i="11"/>
  <c r="C259" i="11" s="1"/>
  <c r="B223" i="11"/>
  <c r="AF259" i="11" s="1"/>
  <c r="D222" i="11"/>
  <c r="E222" i="11" s="1"/>
  <c r="F222" i="11" s="1"/>
  <c r="G222" i="11" s="1"/>
  <c r="H222" i="11" s="1"/>
  <c r="I222" i="11" s="1"/>
  <c r="J222" i="11" s="1"/>
  <c r="K222" i="11" s="1"/>
  <c r="L222" i="11" s="1"/>
  <c r="M222" i="11" s="1"/>
  <c r="N222" i="11" s="1"/>
  <c r="O222" i="11" s="1"/>
  <c r="P222" i="11" s="1"/>
  <c r="B222" i="11"/>
  <c r="D221" i="11"/>
  <c r="E221" i="11" s="1"/>
  <c r="F221" i="11" s="1"/>
  <c r="G221" i="11" s="1"/>
  <c r="H221" i="11" s="1"/>
  <c r="I221" i="11" s="1"/>
  <c r="J221" i="11" s="1"/>
  <c r="K221" i="11" s="1"/>
  <c r="L221" i="11" s="1"/>
  <c r="M221" i="11" s="1"/>
  <c r="N221" i="11" s="1"/>
  <c r="O221" i="11" s="1"/>
  <c r="P221" i="11" s="1"/>
  <c r="B221" i="11"/>
  <c r="D220" i="11"/>
  <c r="E220" i="11" s="1"/>
  <c r="F220" i="11" s="1"/>
  <c r="G220" i="11" s="1"/>
  <c r="H220" i="11" s="1"/>
  <c r="I220" i="11" s="1"/>
  <c r="J220" i="11" s="1"/>
  <c r="K220" i="11" s="1"/>
  <c r="L220" i="11" s="1"/>
  <c r="M220" i="11" s="1"/>
  <c r="N220" i="11" s="1"/>
  <c r="O220" i="11" s="1"/>
  <c r="P220" i="11" s="1"/>
  <c r="B220" i="11"/>
  <c r="D219" i="11"/>
  <c r="E219" i="11" s="1"/>
  <c r="F219" i="11" s="1"/>
  <c r="G219" i="11" s="1"/>
  <c r="H219" i="11" s="1"/>
  <c r="I219" i="11" s="1"/>
  <c r="J219" i="11" s="1"/>
  <c r="K219" i="11" s="1"/>
  <c r="L219" i="11" s="1"/>
  <c r="M219" i="11" s="1"/>
  <c r="N219" i="11" s="1"/>
  <c r="O219" i="11" s="1"/>
  <c r="P219" i="11" s="1"/>
  <c r="B219" i="11"/>
  <c r="D218" i="11"/>
  <c r="B218" i="11"/>
  <c r="B100" i="11" s="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H109" i="11"/>
  <c r="AI109" i="11" s="1"/>
  <c r="AH108" i="11"/>
  <c r="AI108" i="11" s="1"/>
  <c r="AH107" i="11"/>
  <c r="AI107" i="11" s="1"/>
  <c r="AH105" i="11"/>
  <c r="AI105" i="11" s="1"/>
  <c r="AH104" i="11"/>
  <c r="AI104" i="11" s="1"/>
  <c r="AH102" i="11"/>
  <c r="AI102" i="11" s="1"/>
  <c r="AH101" i="11"/>
  <c r="AI101" i="11" s="1"/>
  <c r="AE100" i="11"/>
  <c r="AD100" i="11"/>
  <c r="AC100" i="11"/>
  <c r="AB100" i="11"/>
  <c r="AA100" i="11"/>
  <c r="Z100" i="11"/>
  <c r="X100" i="11"/>
  <c r="W100" i="11"/>
  <c r="V100" i="11"/>
  <c r="U100" i="11"/>
  <c r="T100" i="11"/>
  <c r="R100" i="11"/>
  <c r="Q100" i="11"/>
  <c r="C100" i="11"/>
  <c r="AI99" i="11"/>
  <c r="AH99" i="11"/>
  <c r="AI98" i="11"/>
  <c r="AH98" i="11"/>
  <c r="AI97" i="11"/>
  <c r="AH97" i="11"/>
  <c r="AI96" i="11"/>
  <c r="AH96" i="11"/>
  <c r="AI95" i="11"/>
  <c r="AH95" i="11"/>
  <c r="AI94" i="11"/>
  <c r="AH94" i="11"/>
  <c r="AI93" i="11"/>
  <c r="AH93" i="11"/>
  <c r="AI92" i="11"/>
  <c r="AH92" i="11"/>
  <c r="AI91" i="11"/>
  <c r="AH91" i="11"/>
  <c r="AI88" i="11"/>
  <c r="AH88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S89" i="11" s="1"/>
  <c r="R83" i="11"/>
  <c r="Q83" i="11"/>
  <c r="Q89" i="11" s="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C89" i="11" s="1"/>
  <c r="B83" i="11"/>
  <c r="AI80" i="11"/>
  <c r="AH80" i="11"/>
  <c r="AI78" i="11"/>
  <c r="AH78" i="11"/>
  <c r="AG78" i="11"/>
  <c r="AI77" i="11"/>
  <c r="AH77" i="11"/>
  <c r="AI76" i="11"/>
  <c r="AH76" i="11"/>
  <c r="AI75" i="11"/>
  <c r="AH75" i="11"/>
  <c r="AG74" i="11"/>
  <c r="AF74" i="11"/>
  <c r="AE5" i="11" s="1"/>
  <c r="AE74" i="11"/>
  <c r="AD5" i="11" s="1"/>
  <c r="AD74" i="11"/>
  <c r="AC5" i="11" s="1"/>
  <c r="AC74" i="11"/>
  <c r="AB5" i="11" s="1"/>
  <c r="AB74" i="11"/>
  <c r="AA5" i="11" s="1"/>
  <c r="AA74" i="11"/>
  <c r="Z74" i="11"/>
  <c r="Y5" i="11" s="1"/>
  <c r="X74" i="11"/>
  <c r="W74" i="11"/>
  <c r="V5" i="11" s="1"/>
  <c r="V74" i="11"/>
  <c r="U5" i="11" s="1"/>
  <c r="U74" i="11"/>
  <c r="T5" i="11" s="1"/>
  <c r="T74" i="11"/>
  <c r="S74" i="11"/>
  <c r="R5" i="11" s="1"/>
  <c r="R74" i="11"/>
  <c r="Q5" i="11" s="1"/>
  <c r="Q74" i="11"/>
  <c r="P74" i="11"/>
  <c r="O5" i="11" s="1"/>
  <c r="O74" i="11"/>
  <c r="N74" i="11"/>
  <c r="M74" i="11"/>
  <c r="L5" i="11" s="1"/>
  <c r="L74" i="11"/>
  <c r="K5" i="11" s="1"/>
  <c r="K74" i="11"/>
  <c r="J74" i="11"/>
  <c r="I5" i="11" s="1"/>
  <c r="I74" i="11"/>
  <c r="H74" i="11"/>
  <c r="G5" i="11" s="1"/>
  <c r="G74" i="11"/>
  <c r="F5" i="11" s="1"/>
  <c r="F74" i="11"/>
  <c r="E5" i="11" s="1"/>
  <c r="E74" i="11"/>
  <c r="D5" i="11" s="1"/>
  <c r="D74" i="11"/>
  <c r="C74" i="11"/>
  <c r="B74" i="11"/>
  <c r="AI73" i="11"/>
  <c r="AH73" i="11"/>
  <c r="AI72" i="11"/>
  <c r="AH72" i="11"/>
  <c r="AI71" i="11"/>
  <c r="AH71" i="11"/>
  <c r="AI70" i="11"/>
  <c r="AH70" i="11"/>
  <c r="AI69" i="11"/>
  <c r="AH69" i="11"/>
  <c r="AI68" i="11"/>
  <c r="AH68" i="11"/>
  <c r="AI67" i="11"/>
  <c r="AH67" i="11"/>
  <c r="AI66" i="11"/>
  <c r="AH66" i="11"/>
  <c r="AI65" i="11"/>
  <c r="AH65" i="11"/>
  <c r="AI64" i="11"/>
  <c r="AH64" i="11"/>
  <c r="AI63" i="11"/>
  <c r="AH63" i="11"/>
  <c r="AG62" i="11"/>
  <c r="AG4" i="11" s="1"/>
  <c r="AF62" i="11"/>
  <c r="AE62" i="11"/>
  <c r="AD62" i="11"/>
  <c r="AC62" i="11"/>
  <c r="AB62" i="11"/>
  <c r="AA62" i="11"/>
  <c r="Z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I61" i="11"/>
  <c r="AH61" i="11"/>
  <c r="AI60" i="11"/>
  <c r="AH60" i="11"/>
  <c r="AI59" i="11"/>
  <c r="AH59" i="11"/>
  <c r="AF58" i="11"/>
  <c r="AE58" i="11"/>
  <c r="AD58" i="11"/>
  <c r="AC58" i="11"/>
  <c r="AB58" i="11"/>
  <c r="AA58" i="11"/>
  <c r="Z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I57" i="11"/>
  <c r="AH57" i="11"/>
  <c r="AG57" i="11"/>
  <c r="AG58" i="11" s="1"/>
  <c r="AG3" i="11" s="1"/>
  <c r="AI56" i="11"/>
  <c r="AH56" i="11"/>
  <c r="AI55" i="11"/>
  <c r="AH55" i="11"/>
  <c r="AI54" i="11"/>
  <c r="AH54" i="11"/>
  <c r="AI53" i="11"/>
  <c r="AH53" i="11"/>
  <c r="AI52" i="11"/>
  <c r="AH52" i="11"/>
  <c r="AI51" i="11"/>
  <c r="AH51" i="1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I43" i="11"/>
  <c r="AH43" i="11"/>
  <c r="AI42" i="11"/>
  <c r="AH42" i="11"/>
  <c r="AI41" i="11"/>
  <c r="AH41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I21" i="11"/>
  <c r="AH21" i="11"/>
  <c r="AI20" i="11"/>
  <c r="AH20" i="11"/>
  <c r="AI19" i="11"/>
  <c r="AH19" i="11"/>
  <c r="AI18" i="11"/>
  <c r="AH18" i="11"/>
  <c r="AI17" i="11"/>
  <c r="AH17" i="11"/>
  <c r="AI15" i="11"/>
  <c r="AH15" i="11"/>
  <c r="AI14" i="11"/>
  <c r="AH14" i="11"/>
  <c r="AI13" i="11"/>
  <c r="AH13" i="11"/>
  <c r="AI12" i="11"/>
  <c r="AH12" i="11"/>
  <c r="AI11" i="11"/>
  <c r="AH11" i="11"/>
  <c r="W5" i="11"/>
  <c r="N5" i="11"/>
  <c r="M5" i="11"/>
  <c r="K4" i="11"/>
  <c r="B4" i="11"/>
  <c r="AD37" i="10"/>
  <c r="AC37" i="10"/>
  <c r="AB101" i="10"/>
  <c r="AB37" i="10"/>
  <c r="AA101" i="10"/>
  <c r="AA37" i="10"/>
  <c r="Z101" i="10"/>
  <c r="Z60" i="10"/>
  <c r="Z56" i="10"/>
  <c r="Z42" i="10"/>
  <c r="Z38" i="10"/>
  <c r="Y101" i="10"/>
  <c r="Y37" i="10"/>
  <c r="X101" i="10"/>
  <c r="X37" i="10"/>
  <c r="W101" i="10"/>
  <c r="W37" i="10"/>
  <c r="V37" i="10"/>
  <c r="U101" i="10"/>
  <c r="U37" i="10"/>
  <c r="T101" i="10"/>
  <c r="T37" i="10"/>
  <c r="S101" i="10"/>
  <c r="S37" i="10"/>
  <c r="R101" i="10"/>
  <c r="R37" i="10"/>
  <c r="Q101" i="10"/>
  <c r="Q37" i="10"/>
  <c r="E4" i="12"/>
  <c r="E4" i="11"/>
  <c r="H79" i="12" l="1"/>
  <c r="H81" i="12" s="1"/>
  <c r="F218" i="12"/>
  <c r="G218" i="12" s="1"/>
  <c r="K89" i="12"/>
  <c r="W89" i="11"/>
  <c r="AH106" i="11"/>
  <c r="AI106" i="11" s="1"/>
  <c r="D89" i="12"/>
  <c r="E89" i="12"/>
  <c r="E90" i="12" s="1"/>
  <c r="M89" i="12"/>
  <c r="AC89" i="12"/>
  <c r="AD79" i="11"/>
  <c r="AD81" i="11" s="1"/>
  <c r="AH103" i="11"/>
  <c r="AI103" i="11" s="1"/>
  <c r="AE79" i="12"/>
  <c r="AE81" i="12" s="1"/>
  <c r="AG81" i="12"/>
  <c r="N89" i="12"/>
  <c r="V89" i="12"/>
  <c r="V82" i="12" s="1"/>
  <c r="I90" i="12"/>
  <c r="AE89" i="12"/>
  <c r="B224" i="12"/>
  <c r="D224" i="12"/>
  <c r="AI100" i="14"/>
  <c r="AH100" i="14"/>
  <c r="AF89" i="12"/>
  <c r="AF90" i="12" s="1"/>
  <c r="AF79" i="12"/>
  <c r="AF81" i="12" s="1"/>
  <c r="AF7" i="12" s="1"/>
  <c r="AD89" i="12"/>
  <c r="AD79" i="12"/>
  <c r="AD81" i="12" s="1"/>
  <c r="AC79" i="12"/>
  <c r="AC81" i="12" s="1"/>
  <c r="AB89" i="12"/>
  <c r="AB90" i="12" s="1"/>
  <c r="AB79" i="12"/>
  <c r="AB81" i="12" s="1"/>
  <c r="Z89" i="12"/>
  <c r="Z90" i="12" s="1"/>
  <c r="AA89" i="12"/>
  <c r="AA90" i="12" s="1"/>
  <c r="Z79" i="12"/>
  <c r="Z81" i="12" s="1"/>
  <c r="Z82" i="12" s="1"/>
  <c r="AA79" i="12"/>
  <c r="AA81" i="12" s="1"/>
  <c r="Y89" i="12"/>
  <c r="Y90" i="12" s="1"/>
  <c r="Y79" i="12"/>
  <c r="Y81" i="12" s="1"/>
  <c r="W5" i="12"/>
  <c r="X89" i="12"/>
  <c r="X90" i="12" s="1"/>
  <c r="X79" i="12"/>
  <c r="X81" i="12" s="1"/>
  <c r="W89" i="12"/>
  <c r="W79" i="12"/>
  <c r="W81" i="12" s="1"/>
  <c r="AO238" i="12" s="1"/>
  <c r="V79" i="12"/>
  <c r="V81" i="12" s="1"/>
  <c r="U89" i="12"/>
  <c r="U79" i="12"/>
  <c r="U81" i="12" s="1"/>
  <c r="U7" i="12" s="1"/>
  <c r="T89" i="12"/>
  <c r="T90" i="12" s="1"/>
  <c r="T79" i="12"/>
  <c r="T81" i="12" s="1"/>
  <c r="T7" i="12" s="1"/>
  <c r="S89" i="12"/>
  <c r="S90" i="12" s="1"/>
  <c r="S79" i="12"/>
  <c r="S81" i="12" s="1"/>
  <c r="Q79" i="12"/>
  <c r="Q81" i="12" s="1"/>
  <c r="Q82" i="12" s="1"/>
  <c r="Q89" i="12"/>
  <c r="Q90" i="12" s="1"/>
  <c r="P5" i="12"/>
  <c r="AH103" i="12"/>
  <c r="AI103" i="12" s="1"/>
  <c r="P89" i="12"/>
  <c r="P90" i="12" s="1"/>
  <c r="P79" i="12"/>
  <c r="P81" i="12" s="1"/>
  <c r="P82" i="12" s="1"/>
  <c r="O5" i="12"/>
  <c r="O89" i="12"/>
  <c r="O79" i="12"/>
  <c r="O81" i="12" s="1"/>
  <c r="AG238" i="12" s="1"/>
  <c r="N79" i="12"/>
  <c r="N81" i="12" s="1"/>
  <c r="N82" i="12" s="1"/>
  <c r="M79" i="12"/>
  <c r="M81" i="12" s="1"/>
  <c r="K79" i="12"/>
  <c r="K81" i="12" s="1"/>
  <c r="K82" i="12" s="1"/>
  <c r="G79" i="12"/>
  <c r="G81" i="12" s="1"/>
  <c r="Y238" i="12" s="1"/>
  <c r="H89" i="12"/>
  <c r="H82" i="12" s="1"/>
  <c r="L89" i="12"/>
  <c r="L90" i="12" s="1"/>
  <c r="AI87" i="12"/>
  <c r="H90" i="12"/>
  <c r="G89" i="12"/>
  <c r="G90" i="12" s="1"/>
  <c r="J79" i="12"/>
  <c r="J81" i="12" s="1"/>
  <c r="J7" i="12" s="1"/>
  <c r="J89" i="12"/>
  <c r="J90" i="12" s="1"/>
  <c r="H5" i="12"/>
  <c r="L79" i="12"/>
  <c r="L81" i="12" s="1"/>
  <c r="AD238" i="12" s="1"/>
  <c r="K90" i="12"/>
  <c r="F79" i="12"/>
  <c r="F81" i="12" s="1"/>
  <c r="X238" i="12" s="1"/>
  <c r="F89" i="12"/>
  <c r="AI83" i="12"/>
  <c r="AI86" i="12"/>
  <c r="AH87" i="12"/>
  <c r="I79" i="12"/>
  <c r="I81" i="12" s="1"/>
  <c r="AI62" i="12"/>
  <c r="E79" i="12"/>
  <c r="E81" i="12" s="1"/>
  <c r="W238" i="12" s="1"/>
  <c r="AH84" i="12"/>
  <c r="D90" i="12"/>
  <c r="D79" i="12"/>
  <c r="D81" i="12" s="1"/>
  <c r="D7" i="12" s="1"/>
  <c r="AI85" i="12"/>
  <c r="C89" i="12"/>
  <c r="C90" i="12" s="1"/>
  <c r="AH85" i="12"/>
  <c r="C79" i="12"/>
  <c r="C81" i="12" s="1"/>
  <c r="C7" i="12" s="1"/>
  <c r="AI58" i="12"/>
  <c r="AI44" i="12"/>
  <c r="AI40" i="12"/>
  <c r="AF5" i="12"/>
  <c r="B79" i="12"/>
  <c r="B81" i="12" s="1"/>
  <c r="B82" i="12" s="1"/>
  <c r="H4" i="12"/>
  <c r="M7" i="12"/>
  <c r="M82" i="12"/>
  <c r="AE238" i="12"/>
  <c r="U82" i="12"/>
  <c r="AC7" i="12"/>
  <c r="AC82" i="12"/>
  <c r="AU238" i="12"/>
  <c r="S7" i="12"/>
  <c r="AK238" i="12"/>
  <c r="S82" i="12"/>
  <c r="T82" i="12"/>
  <c r="AL238" i="12"/>
  <c r="AF238" i="12"/>
  <c r="N7" i="12"/>
  <c r="AN238" i="12"/>
  <c r="V7" i="12"/>
  <c r="AD82" i="12"/>
  <c r="AV238" i="12"/>
  <c r="AD7" i="12"/>
  <c r="AW238" i="12"/>
  <c r="AE7" i="12"/>
  <c r="AE82" i="12"/>
  <c r="H218" i="12"/>
  <c r="H7" i="12"/>
  <c r="Z238" i="12"/>
  <c r="AH238" i="12"/>
  <c r="X7" i="12"/>
  <c r="X82" i="12"/>
  <c r="AP238" i="12"/>
  <c r="AF82" i="12"/>
  <c r="M90" i="12"/>
  <c r="U90" i="12"/>
  <c r="AC90" i="12"/>
  <c r="U238" i="12"/>
  <c r="Y7" i="12"/>
  <c r="Y82" i="12"/>
  <c r="AQ238" i="12"/>
  <c r="F90" i="12"/>
  <c r="N90" i="12"/>
  <c r="AD90" i="12"/>
  <c r="AA7" i="12"/>
  <c r="AS238" i="12"/>
  <c r="AA82" i="12"/>
  <c r="AB7" i="12"/>
  <c r="AB82" i="12"/>
  <c r="AT238" i="12"/>
  <c r="R7" i="12"/>
  <c r="R82" i="12"/>
  <c r="AJ238" i="12"/>
  <c r="O90" i="12"/>
  <c r="W90" i="12"/>
  <c r="AE90" i="12"/>
  <c r="D235" i="12"/>
  <c r="AI84" i="12"/>
  <c r="AH58" i="12"/>
  <c r="AH62" i="12"/>
  <c r="AH74" i="12"/>
  <c r="AH83" i="12"/>
  <c r="F223" i="12"/>
  <c r="F100" i="12" s="1"/>
  <c r="AG2" i="12"/>
  <c r="AG6" i="12" s="1"/>
  <c r="C5" i="12"/>
  <c r="K5" i="12"/>
  <c r="S5" i="12"/>
  <c r="AA5" i="12"/>
  <c r="AI74" i="12"/>
  <c r="AH40" i="12"/>
  <c r="AH44" i="12"/>
  <c r="AH86" i="12"/>
  <c r="E220" i="12"/>
  <c r="F220" i="12" s="1"/>
  <c r="G220" i="12" s="1"/>
  <c r="H220" i="12" s="1"/>
  <c r="I220" i="12" s="1"/>
  <c r="J220" i="12" s="1"/>
  <c r="K220" i="12" s="1"/>
  <c r="L220" i="12" s="1"/>
  <c r="M220" i="12" s="1"/>
  <c r="N220" i="12" s="1"/>
  <c r="O220" i="12" s="1"/>
  <c r="P220" i="12" s="1"/>
  <c r="AF79" i="11"/>
  <c r="AF81" i="11" s="1"/>
  <c r="AF7" i="11" s="1"/>
  <c r="AE89" i="11"/>
  <c r="AD89" i="11"/>
  <c r="AD82" i="11" s="1"/>
  <c r="AC79" i="11"/>
  <c r="AC81" i="11" s="1"/>
  <c r="AC7" i="11" s="1"/>
  <c r="AA89" i="11"/>
  <c r="AA90" i="11" s="1"/>
  <c r="V79" i="11"/>
  <c r="V81" i="11" s="1"/>
  <c r="X79" i="11"/>
  <c r="X81" i="11" s="1"/>
  <c r="X7" i="11" s="1"/>
  <c r="V89" i="11"/>
  <c r="V90" i="11" s="1"/>
  <c r="U79" i="11"/>
  <c r="U81" i="11" s="1"/>
  <c r="U7" i="11" s="1"/>
  <c r="T79" i="11"/>
  <c r="T81" i="11" s="1"/>
  <c r="T7" i="11" s="1"/>
  <c r="S100" i="11"/>
  <c r="AH39" i="11"/>
  <c r="P79" i="11"/>
  <c r="P81" i="11" s="1"/>
  <c r="P7" i="11" s="1"/>
  <c r="N89" i="11"/>
  <c r="N90" i="11" s="1"/>
  <c r="O89" i="11"/>
  <c r="O90" i="11" s="1"/>
  <c r="N79" i="11"/>
  <c r="N81" i="11" s="1"/>
  <c r="M79" i="11"/>
  <c r="M81" i="11" s="1"/>
  <c r="L79" i="11"/>
  <c r="L81" i="11" s="1"/>
  <c r="L7" i="11" s="1"/>
  <c r="K89" i="11"/>
  <c r="Q79" i="11"/>
  <c r="Q81" i="11" s="1"/>
  <c r="AI238" i="11" s="1"/>
  <c r="Y79" i="11"/>
  <c r="Y81" i="11" s="1"/>
  <c r="Y7" i="11" s="1"/>
  <c r="AG79" i="11"/>
  <c r="E223" i="11"/>
  <c r="E100" i="11" s="1"/>
  <c r="J79" i="11"/>
  <c r="J81" i="11" s="1"/>
  <c r="AB238" i="11" s="1"/>
  <c r="R79" i="11"/>
  <c r="R81" i="11" s="1"/>
  <c r="R7" i="11" s="1"/>
  <c r="Z79" i="11"/>
  <c r="Z81" i="11" s="1"/>
  <c r="AR238" i="11" s="1"/>
  <c r="P89" i="11"/>
  <c r="P90" i="11" s="1"/>
  <c r="X89" i="11"/>
  <c r="X90" i="11" s="1"/>
  <c r="AF89" i="11"/>
  <c r="AF90" i="11" s="1"/>
  <c r="Y89" i="11"/>
  <c r="D89" i="11"/>
  <c r="D90" i="11" s="1"/>
  <c r="L89" i="11"/>
  <c r="L90" i="11" s="1"/>
  <c r="T89" i="11"/>
  <c r="T90" i="11" s="1"/>
  <c r="AB89" i="11"/>
  <c r="AB90" i="11" s="1"/>
  <c r="D224" i="11"/>
  <c r="S79" i="11"/>
  <c r="S81" i="11" s="1"/>
  <c r="S7" i="11" s="1"/>
  <c r="E218" i="11"/>
  <c r="F218" i="11" s="1"/>
  <c r="AB79" i="11"/>
  <c r="AB81" i="11" s="1"/>
  <c r="AT238" i="11" s="1"/>
  <c r="J89" i="11"/>
  <c r="J90" i="11" s="1"/>
  <c r="R89" i="11"/>
  <c r="R90" i="11" s="1"/>
  <c r="Z89" i="11"/>
  <c r="Z90" i="11" s="1"/>
  <c r="O79" i="11"/>
  <c r="O81" i="11" s="1"/>
  <c r="AG238" i="11" s="1"/>
  <c r="W79" i="11"/>
  <c r="W81" i="11" s="1"/>
  <c r="AO238" i="11" s="1"/>
  <c r="AE79" i="11"/>
  <c r="AE81" i="11" s="1"/>
  <c r="AW238" i="11" s="1"/>
  <c r="I89" i="11"/>
  <c r="I79" i="11"/>
  <c r="I81" i="11" s="1"/>
  <c r="I7" i="11" s="1"/>
  <c r="H79" i="11"/>
  <c r="H81" i="11" s="1"/>
  <c r="H7" i="11" s="1"/>
  <c r="H89" i="11"/>
  <c r="H90" i="11" s="1"/>
  <c r="G79" i="11"/>
  <c r="G81" i="11" s="1"/>
  <c r="Y238" i="11" s="1"/>
  <c r="AI85" i="11"/>
  <c r="AH85" i="11"/>
  <c r="F89" i="11"/>
  <c r="F90" i="11" s="1"/>
  <c r="E79" i="11"/>
  <c r="E81" i="11" s="1"/>
  <c r="E7" i="11" s="1"/>
  <c r="F79" i="11"/>
  <c r="F81" i="11" s="1"/>
  <c r="AI83" i="11"/>
  <c r="D79" i="11"/>
  <c r="D81" i="11" s="1"/>
  <c r="AH74" i="11"/>
  <c r="AF5" i="11"/>
  <c r="AI62" i="11"/>
  <c r="B79" i="11"/>
  <c r="AI58" i="11"/>
  <c r="AI44" i="11"/>
  <c r="H4" i="11"/>
  <c r="N82" i="11"/>
  <c r="AF238" i="11"/>
  <c r="N7" i="11"/>
  <c r="V82" i="11"/>
  <c r="AN238" i="11"/>
  <c r="V7" i="11"/>
  <c r="AH62" i="11"/>
  <c r="B5" i="11"/>
  <c r="C90" i="11"/>
  <c r="AI74" i="11"/>
  <c r="J5" i="11"/>
  <c r="K90" i="11"/>
  <c r="Z5" i="11"/>
  <c r="C79" i="11"/>
  <c r="C81" i="11" s="1"/>
  <c r="K79" i="11"/>
  <c r="K81" i="11" s="1"/>
  <c r="AA79" i="11"/>
  <c r="AA81" i="11" s="1"/>
  <c r="AH58" i="11"/>
  <c r="AD238" i="11"/>
  <c r="E89" i="11"/>
  <c r="E90" i="11" s="1"/>
  <c r="M89" i="11"/>
  <c r="M90" i="11" s="1"/>
  <c r="U89" i="11"/>
  <c r="AC89" i="11"/>
  <c r="AC90" i="11" s="1"/>
  <c r="G218" i="11"/>
  <c r="AD7" i="11"/>
  <c r="AV238" i="11"/>
  <c r="AI87" i="11"/>
  <c r="AE238" i="11"/>
  <c r="AU238" i="11"/>
  <c r="G89" i="11"/>
  <c r="G90" i="11" s="1"/>
  <c r="AH84" i="11"/>
  <c r="W90" i="11"/>
  <c r="AE90" i="11"/>
  <c r="AI86" i="11"/>
  <c r="S235" i="11"/>
  <c r="D235" i="11"/>
  <c r="M7" i="11"/>
  <c r="AG81" i="11"/>
  <c r="AH238" i="11"/>
  <c r="AH44" i="11"/>
  <c r="H5" i="11"/>
  <c r="I90" i="11"/>
  <c r="Q90" i="11"/>
  <c r="P5" i="11"/>
  <c r="Y90" i="11"/>
  <c r="X5" i="11"/>
  <c r="AI84" i="11"/>
  <c r="AG2" i="11"/>
  <c r="AG6" i="11" s="1"/>
  <c r="C5" i="11"/>
  <c r="S5" i="11"/>
  <c r="D100" i="11"/>
  <c r="AH83" i="11"/>
  <c r="B89" i="11"/>
  <c r="AH40" i="11"/>
  <c r="AH86" i="11"/>
  <c r="B224" i="11"/>
  <c r="S90" i="11"/>
  <c r="AI40" i="11"/>
  <c r="AH87" i="11"/>
  <c r="AI238" i="12" l="1"/>
  <c r="AX238" i="12"/>
  <c r="P7" i="12"/>
  <c r="W82" i="12"/>
  <c r="W7" i="12"/>
  <c r="V90" i="12"/>
  <c r="Q7" i="12"/>
  <c r="O82" i="12"/>
  <c r="O7" i="12"/>
  <c r="AP238" i="11"/>
  <c r="AD90" i="11"/>
  <c r="Z7" i="12"/>
  <c r="AR238" i="12"/>
  <c r="E224" i="12"/>
  <c r="E224" i="11"/>
  <c r="AM238" i="12"/>
  <c r="AX238" i="11"/>
  <c r="AC238" i="12"/>
  <c r="K7" i="12"/>
  <c r="L82" i="12"/>
  <c r="L7" i="12"/>
  <c r="C82" i="12"/>
  <c r="G7" i="12"/>
  <c r="G82" i="12"/>
  <c r="F7" i="12"/>
  <c r="F82" i="12"/>
  <c r="AB238" i="12"/>
  <c r="J82" i="12"/>
  <c r="C233" i="12"/>
  <c r="AA238" i="12"/>
  <c r="I82" i="12"/>
  <c r="B233" i="12"/>
  <c r="I7" i="12"/>
  <c r="E82" i="12"/>
  <c r="E7" i="12"/>
  <c r="V238" i="12"/>
  <c r="D82" i="12"/>
  <c r="AI89" i="12"/>
  <c r="AH89" i="12"/>
  <c r="I218" i="12"/>
  <c r="AI79" i="12"/>
  <c r="AH79" i="12"/>
  <c r="F224" i="12"/>
  <c r="G223" i="12"/>
  <c r="E259" i="12"/>
  <c r="AF82" i="11"/>
  <c r="AE82" i="11"/>
  <c r="AE7" i="11"/>
  <c r="AC82" i="11"/>
  <c r="AB82" i="11"/>
  <c r="AB7" i="11"/>
  <c r="Z7" i="11"/>
  <c r="AQ238" i="11"/>
  <c r="Y82" i="11"/>
  <c r="AL238" i="11"/>
  <c r="AM238" i="11"/>
  <c r="U82" i="11"/>
  <c r="W82" i="11"/>
  <c r="W7" i="11"/>
  <c r="U90" i="11"/>
  <c r="AK238" i="11"/>
  <c r="S82" i="11"/>
  <c r="Q7" i="11"/>
  <c r="Q82" i="11"/>
  <c r="AJ238" i="11"/>
  <c r="Z238" i="11"/>
  <c r="AA238" i="11"/>
  <c r="I82" i="11"/>
  <c r="L82" i="11"/>
  <c r="O82" i="11"/>
  <c r="O7" i="11"/>
  <c r="J82" i="11"/>
  <c r="T82" i="11"/>
  <c r="R82" i="11"/>
  <c r="M82" i="11"/>
  <c r="F223" i="11"/>
  <c r="D259" i="11"/>
  <c r="Z82" i="11"/>
  <c r="J7" i="11"/>
  <c r="D82" i="11"/>
  <c r="P82" i="11"/>
  <c r="X82" i="11"/>
  <c r="V238" i="11"/>
  <c r="W238" i="11"/>
  <c r="H82" i="11"/>
  <c r="G7" i="11"/>
  <c r="B233" i="11"/>
  <c r="C233" i="11"/>
  <c r="F82" i="11"/>
  <c r="E82" i="11"/>
  <c r="F7" i="11"/>
  <c r="X238" i="11"/>
  <c r="D7" i="11"/>
  <c r="AI79" i="11"/>
  <c r="B81" i="11"/>
  <c r="AI81" i="11" s="1"/>
  <c r="AH79" i="11"/>
  <c r="G82" i="11"/>
  <c r="B90" i="11"/>
  <c r="AI89" i="11"/>
  <c r="AH89" i="11"/>
  <c r="H218" i="11"/>
  <c r="K82" i="11"/>
  <c r="AC238" i="11"/>
  <c r="K7" i="11"/>
  <c r="U238" i="11"/>
  <c r="C82" i="11"/>
  <c r="C7" i="11"/>
  <c r="AA82" i="11"/>
  <c r="AS238" i="11"/>
  <c r="AA7" i="11"/>
  <c r="AH81" i="11" l="1"/>
  <c r="K6" i="12"/>
  <c r="AI90" i="12"/>
  <c r="AH90" i="12"/>
  <c r="F259" i="12"/>
  <c r="H223" i="12"/>
  <c r="G224" i="12"/>
  <c r="G100" i="12"/>
  <c r="J218" i="12"/>
  <c r="AH82" i="12"/>
  <c r="B7" i="12"/>
  <c r="A7" i="12" s="1"/>
  <c r="T238" i="12"/>
  <c r="AI81" i="12"/>
  <c r="AH81" i="12"/>
  <c r="K6" i="11"/>
  <c r="T238" i="11"/>
  <c r="B82" i="11"/>
  <c r="AH82" i="11" s="1"/>
  <c r="E259" i="11"/>
  <c r="G223" i="11"/>
  <c r="F100" i="11"/>
  <c r="F224" i="11"/>
  <c r="B7" i="11"/>
  <c r="A7" i="11" s="1"/>
  <c r="AI90" i="11"/>
  <c r="AH90" i="11"/>
  <c r="I218" i="11"/>
  <c r="G259" i="12" l="1"/>
  <c r="I223" i="12"/>
  <c r="H224" i="12"/>
  <c r="H100" i="12"/>
  <c r="K218" i="12"/>
  <c r="H223" i="11"/>
  <c r="F259" i="11"/>
  <c r="G224" i="11"/>
  <c r="G100" i="11"/>
  <c r="J218" i="11"/>
  <c r="H259" i="12" l="1"/>
  <c r="J223" i="12"/>
  <c r="I224" i="12"/>
  <c r="I100" i="12"/>
  <c r="L218" i="12"/>
  <c r="G259" i="11"/>
  <c r="H100" i="11"/>
  <c r="I223" i="11"/>
  <c r="H224" i="11"/>
  <c r="K218" i="11"/>
  <c r="K223" i="12" l="1"/>
  <c r="I259" i="12"/>
  <c r="J100" i="12"/>
  <c r="J224" i="12"/>
  <c r="M218" i="12"/>
  <c r="I100" i="11"/>
  <c r="I224" i="11"/>
  <c r="H259" i="11"/>
  <c r="J223" i="11"/>
  <c r="L218" i="11"/>
  <c r="N218" i="12" l="1"/>
  <c r="J259" i="12"/>
  <c r="L223" i="12"/>
  <c r="K100" i="12"/>
  <c r="K224" i="12"/>
  <c r="K223" i="11"/>
  <c r="I259" i="11"/>
  <c r="J100" i="11"/>
  <c r="J224" i="11"/>
  <c r="M218" i="11"/>
  <c r="K259" i="12" l="1"/>
  <c r="M223" i="12"/>
  <c r="L100" i="12"/>
  <c r="L224" i="12"/>
  <c r="O218" i="12"/>
  <c r="L223" i="11"/>
  <c r="K100" i="11"/>
  <c r="K224" i="11"/>
  <c r="J259" i="11"/>
  <c r="N218" i="11"/>
  <c r="P218" i="12" l="1"/>
  <c r="L259" i="12"/>
  <c r="N223" i="12"/>
  <c r="M100" i="12"/>
  <c r="M224" i="12"/>
  <c r="L100" i="11"/>
  <c r="K259" i="11"/>
  <c r="L224" i="11"/>
  <c r="M223" i="11"/>
  <c r="O218" i="11"/>
  <c r="O223" i="12" l="1"/>
  <c r="M259" i="12"/>
  <c r="N224" i="12"/>
  <c r="N100" i="12"/>
  <c r="N223" i="11"/>
  <c r="M100" i="11"/>
  <c r="M224" i="11"/>
  <c r="L259" i="11"/>
  <c r="P218" i="11"/>
  <c r="N259" i="12" l="1"/>
  <c r="P223" i="12"/>
  <c r="O100" i="12"/>
  <c r="O224" i="12"/>
  <c r="N224" i="11"/>
  <c r="M259" i="11"/>
  <c r="O223" i="11"/>
  <c r="N100" i="11"/>
  <c r="O259" i="12" l="1"/>
  <c r="P224" i="12"/>
  <c r="P100" i="12"/>
  <c r="N259" i="11"/>
  <c r="O100" i="11"/>
  <c r="P223" i="11"/>
  <c r="O224" i="11"/>
  <c r="AH100" i="12" l="1"/>
  <c r="AI100" i="12"/>
  <c r="O259" i="11"/>
  <c r="P100" i="11"/>
  <c r="P224" i="11"/>
  <c r="AI100" i="11" l="1"/>
  <c r="AH100" i="11"/>
  <c r="P37" i="10" l="1"/>
  <c r="O37" i="10"/>
  <c r="N37" i="10"/>
  <c r="M37" i="10"/>
  <c r="H37" i="10"/>
  <c r="G37" i="10"/>
  <c r="E37" i="10"/>
  <c r="D101" i="10"/>
  <c r="AH101" i="10" s="1"/>
  <c r="AI101" i="10" s="1"/>
  <c r="D37" i="10"/>
  <c r="C101" i="10"/>
  <c r="B101" i="10"/>
  <c r="B85" i="10"/>
  <c r="B84" i="10"/>
  <c r="B83" i="10"/>
  <c r="B82" i="10"/>
  <c r="B81" i="10"/>
  <c r="B72" i="10"/>
  <c r="AF5" i="10" s="1"/>
  <c r="B60" i="10"/>
  <c r="B56" i="10"/>
  <c r="B42" i="10"/>
  <c r="B38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C257" i="10"/>
  <c r="B257" i="10"/>
  <c r="S23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C222" i="10"/>
  <c r="D221" i="10"/>
  <c r="E221" i="10" s="1"/>
  <c r="B221" i="10"/>
  <c r="AF257" i="10" s="1"/>
  <c r="D220" i="10"/>
  <c r="E220" i="10" s="1"/>
  <c r="F220" i="10" s="1"/>
  <c r="G220" i="10" s="1"/>
  <c r="H220" i="10" s="1"/>
  <c r="I220" i="10" s="1"/>
  <c r="J220" i="10" s="1"/>
  <c r="K220" i="10" s="1"/>
  <c r="L220" i="10" s="1"/>
  <c r="M220" i="10" s="1"/>
  <c r="N220" i="10" s="1"/>
  <c r="O220" i="10" s="1"/>
  <c r="P220" i="10" s="1"/>
  <c r="B220" i="10"/>
  <c r="E219" i="10"/>
  <c r="F219" i="10" s="1"/>
  <c r="G219" i="10" s="1"/>
  <c r="H219" i="10" s="1"/>
  <c r="I219" i="10" s="1"/>
  <c r="J219" i="10" s="1"/>
  <c r="K219" i="10" s="1"/>
  <c r="L219" i="10" s="1"/>
  <c r="M219" i="10" s="1"/>
  <c r="N219" i="10" s="1"/>
  <c r="O219" i="10" s="1"/>
  <c r="P219" i="10" s="1"/>
  <c r="D219" i="10"/>
  <c r="B219" i="10"/>
  <c r="D218" i="10"/>
  <c r="E218" i="10" s="1"/>
  <c r="F218" i="10" s="1"/>
  <c r="G218" i="10" s="1"/>
  <c r="H218" i="10" s="1"/>
  <c r="I218" i="10" s="1"/>
  <c r="J218" i="10" s="1"/>
  <c r="K218" i="10" s="1"/>
  <c r="L218" i="10" s="1"/>
  <c r="M218" i="10" s="1"/>
  <c r="N218" i="10" s="1"/>
  <c r="O218" i="10" s="1"/>
  <c r="P218" i="10" s="1"/>
  <c r="B218" i="10"/>
  <c r="D217" i="10"/>
  <c r="E217" i="10" s="1"/>
  <c r="F217" i="10" s="1"/>
  <c r="G217" i="10" s="1"/>
  <c r="H217" i="10" s="1"/>
  <c r="I217" i="10" s="1"/>
  <c r="J217" i="10" s="1"/>
  <c r="K217" i="10" s="1"/>
  <c r="L217" i="10" s="1"/>
  <c r="M217" i="10" s="1"/>
  <c r="N217" i="10" s="1"/>
  <c r="O217" i="10" s="1"/>
  <c r="P217" i="10" s="1"/>
  <c r="B217" i="10"/>
  <c r="D216" i="10"/>
  <c r="B216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H107" i="10"/>
  <c r="AI107" i="10" s="1"/>
  <c r="AH106" i="10"/>
  <c r="AI106" i="10" s="1"/>
  <c r="AH105" i="10"/>
  <c r="AI105" i="10" s="1"/>
  <c r="AH104" i="10"/>
  <c r="AI104" i="10" s="1"/>
  <c r="AH103" i="10"/>
  <c r="AI103" i="10" s="1"/>
  <c r="AH102" i="10"/>
  <c r="AI102" i="10" s="1"/>
  <c r="AH100" i="10"/>
  <c r="AI100" i="10" s="1"/>
  <c r="AH99" i="10"/>
  <c r="AI99" i="10" s="1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C98" i="10"/>
  <c r="B98" i="10"/>
  <c r="AI97" i="10"/>
  <c r="AH97" i="10"/>
  <c r="AI96" i="10"/>
  <c r="AH96" i="10"/>
  <c r="AI95" i="10"/>
  <c r="AH95" i="10"/>
  <c r="AI94" i="10"/>
  <c r="AH94" i="10"/>
  <c r="AI93" i="10"/>
  <c r="AH93" i="10"/>
  <c r="AI92" i="10"/>
  <c r="AH92" i="10"/>
  <c r="AI91" i="10"/>
  <c r="AH91" i="10"/>
  <c r="AI90" i="10"/>
  <c r="AH90" i="10"/>
  <c r="AI89" i="10"/>
  <c r="AH89" i="10"/>
  <c r="AI86" i="10"/>
  <c r="AH86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F87" i="10" s="1"/>
  <c r="E81" i="10"/>
  <c r="D81" i="10"/>
  <c r="C81" i="10"/>
  <c r="AI78" i="10"/>
  <c r="AH78" i="10"/>
  <c r="AI76" i="10"/>
  <c r="AH76" i="10"/>
  <c r="AG76" i="10"/>
  <c r="AI75" i="10"/>
  <c r="AH75" i="10"/>
  <c r="AI74" i="10"/>
  <c r="AH74" i="10"/>
  <c r="AI73" i="10"/>
  <c r="AH73" i="10"/>
  <c r="AG72" i="10"/>
  <c r="AF72" i="10"/>
  <c r="AE5" i="10" s="1"/>
  <c r="AE72" i="10"/>
  <c r="AD72" i="10"/>
  <c r="AC72" i="10"/>
  <c r="AB72" i="10"/>
  <c r="AA5" i="10" s="1"/>
  <c r="AA72" i="10"/>
  <c r="Z5" i="10" s="1"/>
  <c r="Z72" i="10"/>
  <c r="Z77" i="10" s="1"/>
  <c r="Z79" i="10" s="1"/>
  <c r="Y72" i="10"/>
  <c r="X5" i="10" s="1"/>
  <c r="X72" i="10"/>
  <c r="W72" i="10"/>
  <c r="V72" i="10"/>
  <c r="U72" i="10"/>
  <c r="T72" i="10"/>
  <c r="S5" i="10" s="1"/>
  <c r="S72" i="10"/>
  <c r="R5" i="10" s="1"/>
  <c r="R72" i="10"/>
  <c r="Q5" i="10" s="1"/>
  <c r="Q72" i="10"/>
  <c r="P5" i="10" s="1"/>
  <c r="P72" i="10"/>
  <c r="O5" i="10" s="1"/>
  <c r="O72" i="10"/>
  <c r="N72" i="10"/>
  <c r="M72" i="10"/>
  <c r="L72" i="10"/>
  <c r="K5" i="10" s="1"/>
  <c r="K72" i="10"/>
  <c r="J5" i="10" s="1"/>
  <c r="J72" i="10"/>
  <c r="I5" i="10" s="1"/>
  <c r="I72" i="10"/>
  <c r="H5" i="10" s="1"/>
  <c r="H72" i="10"/>
  <c r="G5" i="10" s="1"/>
  <c r="G72" i="10"/>
  <c r="F72" i="10"/>
  <c r="E72" i="10"/>
  <c r="D72" i="10"/>
  <c r="C5" i="10" s="1"/>
  <c r="C72" i="10"/>
  <c r="B5" i="10" s="1"/>
  <c r="AI71" i="10"/>
  <c r="AH71" i="10"/>
  <c r="AI70" i="10"/>
  <c r="AH70" i="10"/>
  <c r="AI69" i="10"/>
  <c r="AH69" i="10"/>
  <c r="AI68" i="10"/>
  <c r="AH68" i="10"/>
  <c r="AI67" i="10"/>
  <c r="AH67" i="10"/>
  <c r="AI66" i="10"/>
  <c r="AH66" i="10"/>
  <c r="AI65" i="10"/>
  <c r="AH65" i="10"/>
  <c r="AI64" i="10"/>
  <c r="AH64" i="10"/>
  <c r="AI63" i="10"/>
  <c r="AH63" i="10"/>
  <c r="AI62" i="10"/>
  <c r="AH62" i="10"/>
  <c r="AI61" i="10"/>
  <c r="AH61" i="10"/>
  <c r="AG60" i="10"/>
  <c r="AF60" i="10"/>
  <c r="AE60" i="10"/>
  <c r="AD60" i="10"/>
  <c r="AC60" i="10"/>
  <c r="AB60" i="10"/>
  <c r="AA60" i="10"/>
  <c r="Y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AI59" i="10"/>
  <c r="AH59" i="10"/>
  <c r="AI58" i="10"/>
  <c r="AH58" i="10"/>
  <c r="AI57" i="10"/>
  <c r="AH57" i="10"/>
  <c r="AF56" i="10"/>
  <c r="AE56" i="10"/>
  <c r="AD56" i="10"/>
  <c r="AC56" i="10"/>
  <c r="AB56" i="10"/>
  <c r="AA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AI55" i="10"/>
  <c r="AH55" i="10"/>
  <c r="AG55" i="10"/>
  <c r="AG56" i="10" s="1"/>
  <c r="AG3" i="10" s="1"/>
  <c r="AI54" i="10"/>
  <c r="AH54" i="10"/>
  <c r="AI53" i="10"/>
  <c r="AH53" i="10"/>
  <c r="AI52" i="10"/>
  <c r="AH52" i="10"/>
  <c r="AI51" i="10"/>
  <c r="AH51" i="10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G42" i="10"/>
  <c r="AF42" i="10"/>
  <c r="AE42" i="10"/>
  <c r="AD42" i="10"/>
  <c r="AC42" i="10"/>
  <c r="AB42" i="10"/>
  <c r="AA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AI41" i="10"/>
  <c r="AH41" i="10"/>
  <c r="AI40" i="10"/>
  <c r="AH40" i="10"/>
  <c r="AI39" i="10"/>
  <c r="AH39" i="10"/>
  <c r="AG38" i="10"/>
  <c r="AG77" i="10" s="1"/>
  <c r="AF38" i="10"/>
  <c r="AE38" i="10"/>
  <c r="AD38" i="10"/>
  <c r="AC38" i="10"/>
  <c r="AB38" i="10"/>
  <c r="AA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I13" i="10"/>
  <c r="AH13" i="10"/>
  <c r="AI12" i="10"/>
  <c r="AH12" i="10"/>
  <c r="AI11" i="10"/>
  <c r="AH11" i="10"/>
  <c r="W5" i="10"/>
  <c r="AG4" i="10"/>
  <c r="K4" i="10"/>
  <c r="B4" i="10"/>
  <c r="S233" i="10" s="1"/>
  <c r="AG2" i="10"/>
  <c r="AG6" i="10" s="1"/>
  <c r="AE101" i="9"/>
  <c r="AD101" i="9"/>
  <c r="AD37" i="9"/>
  <c r="AC101" i="9"/>
  <c r="AC37" i="9"/>
  <c r="AB101" i="9"/>
  <c r="AB37" i="9"/>
  <c r="U37" i="9"/>
  <c r="T37" i="9"/>
  <c r="S37" i="9"/>
  <c r="R37" i="9"/>
  <c r="E4" i="10"/>
  <c r="AC87" i="10" l="1"/>
  <c r="B222" i="10"/>
  <c r="AE87" i="10"/>
  <c r="AF87" i="10"/>
  <c r="Y87" i="10"/>
  <c r="Y88" i="10" s="1"/>
  <c r="AA87" i="10"/>
  <c r="D222" i="10"/>
  <c r="R87" i="10"/>
  <c r="E216" i="10"/>
  <c r="F216" i="10" s="1"/>
  <c r="AF77" i="10"/>
  <c r="AF79" i="10" s="1"/>
  <c r="AE88" i="10"/>
  <c r="AD5" i="10"/>
  <c r="AE77" i="10"/>
  <c r="AE79" i="10" s="1"/>
  <c r="AD77" i="10"/>
  <c r="AD79" i="10" s="1"/>
  <c r="AD87" i="10"/>
  <c r="AD88" i="10" s="1"/>
  <c r="AC5" i="10"/>
  <c r="AC88" i="10"/>
  <c r="AC77" i="10"/>
  <c r="AC79" i="10" s="1"/>
  <c r="AB87" i="10"/>
  <c r="AB88" i="10" s="1"/>
  <c r="AB77" i="10"/>
  <c r="AB79" i="10" s="1"/>
  <c r="AA77" i="10"/>
  <c r="AA79" i="10" s="1"/>
  <c r="Y5" i="10"/>
  <c r="Z87" i="10"/>
  <c r="Z88" i="10" s="1"/>
  <c r="Y77" i="10"/>
  <c r="Y79" i="10" s="1"/>
  <c r="AQ236" i="10" s="1"/>
  <c r="X87" i="10"/>
  <c r="X77" i="10"/>
  <c r="X79" i="10" s="1"/>
  <c r="W87" i="10"/>
  <c r="W88" i="10" s="1"/>
  <c r="V5" i="10"/>
  <c r="W77" i="10"/>
  <c r="W79" i="10" s="1"/>
  <c r="V87" i="10"/>
  <c r="V88" i="10" s="1"/>
  <c r="U5" i="10"/>
  <c r="V77" i="10"/>
  <c r="V79" i="10" s="1"/>
  <c r="U87" i="10"/>
  <c r="U88" i="10"/>
  <c r="U77" i="10"/>
  <c r="U79" i="10" s="1"/>
  <c r="T87" i="10"/>
  <c r="T88" i="10" s="1"/>
  <c r="T77" i="10"/>
  <c r="T79" i="10" s="1"/>
  <c r="S87" i="10"/>
  <c r="S77" i="10"/>
  <c r="S79" i="10" s="1"/>
  <c r="AK236" i="10" s="1"/>
  <c r="R88" i="10"/>
  <c r="R77" i="10"/>
  <c r="R79" i="10" s="1"/>
  <c r="Q87" i="10"/>
  <c r="Q88" i="10" s="1"/>
  <c r="Q77" i="10"/>
  <c r="Q79" i="10" s="1"/>
  <c r="P87" i="10"/>
  <c r="P77" i="10"/>
  <c r="P79" i="10" s="1"/>
  <c r="P80" i="10" s="1"/>
  <c r="O87" i="10"/>
  <c r="O88" i="10" s="1"/>
  <c r="N5" i="10"/>
  <c r="O77" i="10"/>
  <c r="O79" i="10" s="1"/>
  <c r="N87" i="10"/>
  <c r="N88" i="10" s="1"/>
  <c r="M5" i="10"/>
  <c r="N77" i="10"/>
  <c r="N79" i="10" s="1"/>
  <c r="M87" i="10"/>
  <c r="M88" i="10"/>
  <c r="M77" i="10"/>
  <c r="M79" i="10" s="1"/>
  <c r="M7" i="10" s="1"/>
  <c r="L87" i="10"/>
  <c r="L88" i="10" s="1"/>
  <c r="L77" i="10"/>
  <c r="L79" i="10" s="1"/>
  <c r="K87" i="10"/>
  <c r="K77" i="10"/>
  <c r="K79" i="10" s="1"/>
  <c r="K80" i="10" s="1"/>
  <c r="J87" i="10"/>
  <c r="J88" i="10" s="1"/>
  <c r="J77" i="10"/>
  <c r="J79" i="10" s="1"/>
  <c r="J7" i="10" s="1"/>
  <c r="I87" i="10"/>
  <c r="I88" i="10"/>
  <c r="I77" i="10"/>
  <c r="I79" i="10" s="1"/>
  <c r="I7" i="10" s="1"/>
  <c r="H87" i="10"/>
  <c r="H77" i="10"/>
  <c r="H79" i="10" s="1"/>
  <c r="Z236" i="10" s="1"/>
  <c r="AI84" i="10"/>
  <c r="G87" i="10"/>
  <c r="G88" i="10" s="1"/>
  <c r="F5" i="10"/>
  <c r="G77" i="10"/>
  <c r="G79" i="10" s="1"/>
  <c r="Y236" i="10" s="1"/>
  <c r="AI83" i="10"/>
  <c r="F88" i="10"/>
  <c r="E5" i="10"/>
  <c r="AI85" i="10"/>
  <c r="AI60" i="10"/>
  <c r="F77" i="10"/>
  <c r="F79" i="10" s="1"/>
  <c r="F80" i="10" s="1"/>
  <c r="E87" i="10"/>
  <c r="AI82" i="10"/>
  <c r="E88" i="10"/>
  <c r="AI42" i="10"/>
  <c r="E77" i="10"/>
  <c r="E79" i="10" s="1"/>
  <c r="E7" i="10" s="1"/>
  <c r="AH84" i="10"/>
  <c r="AI81" i="10"/>
  <c r="D87" i="10"/>
  <c r="D88" i="10" s="1"/>
  <c r="D77" i="10"/>
  <c r="D79" i="10" s="1"/>
  <c r="V236" i="10" s="1"/>
  <c r="AI56" i="10"/>
  <c r="C87" i="10"/>
  <c r="C88" i="10" s="1"/>
  <c r="AH60" i="10"/>
  <c r="AH56" i="10"/>
  <c r="C77" i="10"/>
  <c r="C79" i="10" s="1"/>
  <c r="C7" i="10" s="1"/>
  <c r="AI38" i="10"/>
  <c r="B77" i="10"/>
  <c r="B79" i="10" s="1"/>
  <c r="AH72" i="10"/>
  <c r="H4" i="10"/>
  <c r="H80" i="10"/>
  <c r="P7" i="10"/>
  <c r="AH236" i="10"/>
  <c r="X7" i="10"/>
  <c r="X80" i="10"/>
  <c r="AP236" i="10"/>
  <c r="AF7" i="10"/>
  <c r="AF80" i="10"/>
  <c r="AX236" i="10"/>
  <c r="AW236" i="10"/>
  <c r="AE7" i="10"/>
  <c r="AE80" i="10"/>
  <c r="Q7" i="10"/>
  <c r="Q80" i="10"/>
  <c r="AI236" i="10"/>
  <c r="Y7" i="10"/>
  <c r="Y80" i="10"/>
  <c r="D257" i="10"/>
  <c r="F221" i="10"/>
  <c r="J80" i="10"/>
  <c r="AB236" i="10"/>
  <c r="R80" i="10"/>
  <c r="AJ236" i="10"/>
  <c r="R7" i="10"/>
  <c r="AR236" i="10"/>
  <c r="Z7" i="10"/>
  <c r="AG236" i="10"/>
  <c r="O7" i="10"/>
  <c r="O80" i="10"/>
  <c r="K7" i="10"/>
  <c r="AA80" i="10"/>
  <c r="AS236" i="10"/>
  <c r="AA7" i="10"/>
  <c r="G216" i="10"/>
  <c r="D80" i="10"/>
  <c r="AD236" i="10"/>
  <c r="L7" i="10"/>
  <c r="T80" i="10"/>
  <c r="AL236" i="10"/>
  <c r="T7" i="10"/>
  <c r="AB80" i="10"/>
  <c r="AT236" i="10"/>
  <c r="AB7" i="10"/>
  <c r="H88" i="10"/>
  <c r="P88" i="10"/>
  <c r="X88" i="10"/>
  <c r="AF88" i="10"/>
  <c r="AG79" i="10"/>
  <c r="M80" i="10"/>
  <c r="U80" i="10"/>
  <c r="AM236" i="10"/>
  <c r="U7" i="10"/>
  <c r="AC80" i="10"/>
  <c r="AU236" i="10"/>
  <c r="AC7" i="10"/>
  <c r="AO236" i="10"/>
  <c r="W7" i="10"/>
  <c r="W80" i="10"/>
  <c r="N80" i="10"/>
  <c r="AF236" i="10"/>
  <c r="N7" i="10"/>
  <c r="V80" i="10"/>
  <c r="AN236" i="10"/>
  <c r="V7" i="10"/>
  <c r="AV236" i="10"/>
  <c r="AD7" i="10"/>
  <c r="D5" i="10"/>
  <c r="L5" i="10"/>
  <c r="T5" i="10"/>
  <c r="AB5" i="10"/>
  <c r="D98" i="10"/>
  <c r="E222" i="10"/>
  <c r="D233" i="10"/>
  <c r="E98" i="10"/>
  <c r="AH81" i="10"/>
  <c r="B87" i="10"/>
  <c r="AI72" i="10"/>
  <c r="AH82" i="10"/>
  <c r="AH83" i="10"/>
  <c r="K88" i="10"/>
  <c r="S88" i="10"/>
  <c r="AA88" i="10"/>
  <c r="AH38" i="10"/>
  <c r="AH42" i="10"/>
  <c r="AH85" i="10"/>
  <c r="Q37" i="9"/>
  <c r="P37" i="9"/>
  <c r="L80" i="10" l="1"/>
  <c r="S80" i="10"/>
  <c r="S7" i="10"/>
  <c r="AD80" i="10"/>
  <c r="Z80" i="10"/>
  <c r="AE236" i="10"/>
  <c r="H7" i="10"/>
  <c r="D7" i="10"/>
  <c r="C80" i="10"/>
  <c r="AC236" i="10"/>
  <c r="I80" i="10"/>
  <c r="AA236" i="10"/>
  <c r="G80" i="10"/>
  <c r="G7" i="10"/>
  <c r="B231" i="10"/>
  <c r="C231" i="10"/>
  <c r="F7" i="10"/>
  <c r="X236" i="10"/>
  <c r="W236" i="10"/>
  <c r="E80" i="10"/>
  <c r="B80" i="10"/>
  <c r="U236" i="10"/>
  <c r="E257" i="10"/>
  <c r="G221" i="10"/>
  <c r="G98" i="10" s="1"/>
  <c r="AI77" i="10"/>
  <c r="AH77" i="10"/>
  <c r="F222" i="10"/>
  <c r="B88" i="10"/>
  <c r="AI87" i="10"/>
  <c r="AH87" i="10"/>
  <c r="F98" i="10"/>
  <c r="H216" i="10"/>
  <c r="O37" i="9"/>
  <c r="N37" i="9"/>
  <c r="M37" i="9"/>
  <c r="D101" i="9"/>
  <c r="C101" i="9"/>
  <c r="AH101" i="9" s="1"/>
  <c r="AI101" i="9" s="1"/>
  <c r="C37" i="9"/>
  <c r="B101" i="9"/>
  <c r="B85" i="9"/>
  <c r="B84" i="9"/>
  <c r="B83" i="9"/>
  <c r="B82" i="9"/>
  <c r="B81" i="9"/>
  <c r="B87" i="9" s="1"/>
  <c r="B72" i="9"/>
  <c r="B60" i="9"/>
  <c r="B56" i="9"/>
  <c r="B42" i="9"/>
  <c r="B38" i="9"/>
  <c r="AF101" i="8"/>
  <c r="AF261" i="9"/>
  <c r="AE261" i="9"/>
  <c r="AD261" i="9"/>
  <c r="AC261" i="9"/>
  <c r="AB261" i="9"/>
  <c r="AA261" i="9"/>
  <c r="Z261" i="9"/>
  <c r="Y261" i="9"/>
  <c r="X261" i="9"/>
  <c r="W261" i="9"/>
  <c r="V261" i="9"/>
  <c r="U261" i="9"/>
  <c r="T261" i="9"/>
  <c r="S261" i="9"/>
  <c r="R261" i="9"/>
  <c r="Q261" i="9"/>
  <c r="P261" i="9"/>
  <c r="O261" i="9"/>
  <c r="N261" i="9"/>
  <c r="M261" i="9"/>
  <c r="L261" i="9"/>
  <c r="K261" i="9"/>
  <c r="J261" i="9"/>
  <c r="I261" i="9"/>
  <c r="H261" i="9"/>
  <c r="G261" i="9"/>
  <c r="F261" i="9"/>
  <c r="E261" i="9"/>
  <c r="D261" i="9"/>
  <c r="C261" i="9"/>
  <c r="B261" i="9"/>
  <c r="A261" i="9"/>
  <c r="AF260" i="9"/>
  <c r="AE260" i="9"/>
  <c r="AD260" i="9"/>
  <c r="AC260" i="9"/>
  <c r="AB260" i="9"/>
  <c r="AA260" i="9"/>
  <c r="Z260" i="9"/>
  <c r="Y260" i="9"/>
  <c r="X260" i="9"/>
  <c r="W260" i="9"/>
  <c r="V260" i="9"/>
  <c r="U260" i="9"/>
  <c r="T260" i="9"/>
  <c r="S260" i="9"/>
  <c r="R260" i="9"/>
  <c r="Q260" i="9"/>
  <c r="P260" i="9"/>
  <c r="O260" i="9"/>
  <c r="N260" i="9"/>
  <c r="M260" i="9"/>
  <c r="L260" i="9"/>
  <c r="K260" i="9"/>
  <c r="J260" i="9"/>
  <c r="I260" i="9"/>
  <c r="H260" i="9"/>
  <c r="G260" i="9"/>
  <c r="F260" i="9"/>
  <c r="E260" i="9"/>
  <c r="D260" i="9"/>
  <c r="C260" i="9"/>
  <c r="B260" i="9"/>
  <c r="A260" i="9"/>
  <c r="AF259" i="9"/>
  <c r="AE259" i="9"/>
  <c r="AD259" i="9"/>
  <c r="AC259" i="9"/>
  <c r="AB259" i="9"/>
  <c r="AA259" i="9"/>
  <c r="Z259" i="9"/>
  <c r="Y259" i="9"/>
  <c r="X259" i="9"/>
  <c r="W259" i="9"/>
  <c r="V259" i="9"/>
  <c r="U259" i="9"/>
  <c r="T259" i="9"/>
  <c r="S259" i="9"/>
  <c r="R259" i="9"/>
  <c r="Q259" i="9"/>
  <c r="P259" i="9"/>
  <c r="O259" i="9"/>
  <c r="N259" i="9"/>
  <c r="M259" i="9"/>
  <c r="L259" i="9"/>
  <c r="K259" i="9"/>
  <c r="J259" i="9"/>
  <c r="I259" i="9"/>
  <c r="H259" i="9"/>
  <c r="G259" i="9"/>
  <c r="F259" i="9"/>
  <c r="E259" i="9"/>
  <c r="D259" i="9"/>
  <c r="C259" i="9"/>
  <c r="B259" i="9"/>
  <c r="A259" i="9"/>
  <c r="AF258" i="9"/>
  <c r="AE258" i="9"/>
  <c r="AD258" i="9"/>
  <c r="AC258" i="9"/>
  <c r="AB258" i="9"/>
  <c r="AA258" i="9"/>
  <c r="Z258" i="9"/>
  <c r="Y258" i="9"/>
  <c r="X258" i="9"/>
  <c r="W258" i="9"/>
  <c r="V258" i="9"/>
  <c r="U258" i="9"/>
  <c r="T258" i="9"/>
  <c r="S258" i="9"/>
  <c r="R258" i="9"/>
  <c r="Q258" i="9"/>
  <c r="P258" i="9"/>
  <c r="O258" i="9"/>
  <c r="N258" i="9"/>
  <c r="M258" i="9"/>
  <c r="L258" i="9"/>
  <c r="K258" i="9"/>
  <c r="J258" i="9"/>
  <c r="I258" i="9"/>
  <c r="H258" i="9"/>
  <c r="G258" i="9"/>
  <c r="F258" i="9"/>
  <c r="E258" i="9"/>
  <c r="D258" i="9"/>
  <c r="C258" i="9"/>
  <c r="B258" i="9"/>
  <c r="A258" i="9"/>
  <c r="AE257" i="9"/>
  <c r="AD257" i="9"/>
  <c r="AC257" i="9"/>
  <c r="AB257" i="9"/>
  <c r="AA257" i="9"/>
  <c r="Z257" i="9"/>
  <c r="Y257" i="9"/>
  <c r="X257" i="9"/>
  <c r="W257" i="9"/>
  <c r="V257" i="9"/>
  <c r="U257" i="9"/>
  <c r="T257" i="9"/>
  <c r="S257" i="9"/>
  <c r="R257" i="9"/>
  <c r="Q257" i="9"/>
  <c r="P257" i="9"/>
  <c r="B257" i="9"/>
  <c r="S232" i="9"/>
  <c r="AG222" i="9"/>
  <c r="AG55" i="9" s="1"/>
  <c r="AG56" i="9" s="1"/>
  <c r="AG3" i="9" s="1"/>
  <c r="AF222" i="9"/>
  <c r="AE222" i="9"/>
  <c r="AD222" i="9"/>
  <c r="AC222" i="9"/>
  <c r="AB222" i="9"/>
  <c r="AA222" i="9"/>
  <c r="Z222" i="9"/>
  <c r="Y222" i="9"/>
  <c r="X222" i="9"/>
  <c r="W222" i="9"/>
  <c r="V222" i="9"/>
  <c r="U222" i="9"/>
  <c r="T222" i="9"/>
  <c r="S222" i="9"/>
  <c r="R222" i="9"/>
  <c r="Q222" i="9"/>
  <c r="C222" i="9"/>
  <c r="D221" i="9"/>
  <c r="E221" i="9" s="1"/>
  <c r="B221" i="9"/>
  <c r="AF257" i="9" s="1"/>
  <c r="D220" i="9"/>
  <c r="E220" i="9" s="1"/>
  <c r="F220" i="9" s="1"/>
  <c r="G220" i="9" s="1"/>
  <c r="H220" i="9" s="1"/>
  <c r="I220" i="9" s="1"/>
  <c r="J220" i="9" s="1"/>
  <c r="K220" i="9" s="1"/>
  <c r="L220" i="9" s="1"/>
  <c r="M220" i="9" s="1"/>
  <c r="N220" i="9" s="1"/>
  <c r="O220" i="9" s="1"/>
  <c r="P220" i="9" s="1"/>
  <c r="B220" i="9"/>
  <c r="D219" i="9"/>
  <c r="E219" i="9" s="1"/>
  <c r="F219" i="9" s="1"/>
  <c r="G219" i="9" s="1"/>
  <c r="H219" i="9" s="1"/>
  <c r="I219" i="9" s="1"/>
  <c r="J219" i="9" s="1"/>
  <c r="K219" i="9" s="1"/>
  <c r="L219" i="9" s="1"/>
  <c r="M219" i="9" s="1"/>
  <c r="N219" i="9" s="1"/>
  <c r="O219" i="9" s="1"/>
  <c r="P219" i="9" s="1"/>
  <c r="B219" i="9"/>
  <c r="D218" i="9"/>
  <c r="E218" i="9" s="1"/>
  <c r="F218" i="9" s="1"/>
  <c r="G218" i="9" s="1"/>
  <c r="H218" i="9" s="1"/>
  <c r="I218" i="9" s="1"/>
  <c r="J218" i="9" s="1"/>
  <c r="K218" i="9" s="1"/>
  <c r="L218" i="9" s="1"/>
  <c r="M218" i="9" s="1"/>
  <c r="N218" i="9" s="1"/>
  <c r="O218" i="9" s="1"/>
  <c r="P218" i="9" s="1"/>
  <c r="B218" i="9"/>
  <c r="F217" i="9"/>
  <c r="G217" i="9" s="1"/>
  <c r="H217" i="9" s="1"/>
  <c r="I217" i="9" s="1"/>
  <c r="J217" i="9" s="1"/>
  <c r="K217" i="9" s="1"/>
  <c r="L217" i="9" s="1"/>
  <c r="M217" i="9" s="1"/>
  <c r="N217" i="9" s="1"/>
  <c r="O217" i="9" s="1"/>
  <c r="P217" i="9" s="1"/>
  <c r="E217" i="9"/>
  <c r="D217" i="9"/>
  <c r="B217" i="9"/>
  <c r="D216" i="9"/>
  <c r="B216" i="9"/>
  <c r="B98" i="9" s="1"/>
  <c r="AG214" i="9"/>
  <c r="AF214" i="9"/>
  <c r="AE214" i="9"/>
  <c r="AD214" i="9"/>
  <c r="AC214" i="9"/>
  <c r="AB214" i="9"/>
  <c r="AA214" i="9"/>
  <c r="Z214" i="9"/>
  <c r="Y214" i="9"/>
  <c r="X214" i="9"/>
  <c r="W214" i="9"/>
  <c r="V214" i="9"/>
  <c r="U214" i="9"/>
  <c r="T214" i="9"/>
  <c r="S214" i="9"/>
  <c r="R214" i="9"/>
  <c r="Q214" i="9"/>
  <c r="P214" i="9"/>
  <c r="O214" i="9"/>
  <c r="N214" i="9"/>
  <c r="M214" i="9"/>
  <c r="L214" i="9"/>
  <c r="K214" i="9"/>
  <c r="J214" i="9"/>
  <c r="I214" i="9"/>
  <c r="H214" i="9"/>
  <c r="G214" i="9"/>
  <c r="F214" i="9"/>
  <c r="E214" i="9"/>
  <c r="D214" i="9"/>
  <c r="C214" i="9"/>
  <c r="B214" i="9"/>
  <c r="AH107" i="9"/>
  <c r="AI107" i="9" s="1"/>
  <c r="AH106" i="9"/>
  <c r="AI106" i="9" s="1"/>
  <c r="AH105" i="9"/>
  <c r="AI105" i="9" s="1"/>
  <c r="AH104" i="9"/>
  <c r="AI104" i="9" s="1"/>
  <c r="AH103" i="9"/>
  <c r="AI103" i="9" s="1"/>
  <c r="AH102" i="9"/>
  <c r="AI102" i="9" s="1"/>
  <c r="AH100" i="9"/>
  <c r="AI100" i="9" s="1"/>
  <c r="AH99" i="9"/>
  <c r="AI99" i="9" s="1"/>
  <c r="AF98" i="9"/>
  <c r="AE98" i="9"/>
  <c r="AD98" i="9"/>
  <c r="AC98" i="9"/>
  <c r="AB98" i="9"/>
  <c r="AA98" i="9"/>
  <c r="Z98" i="9"/>
  <c r="Y98" i="9"/>
  <c r="X98" i="9"/>
  <c r="W98" i="9"/>
  <c r="V98" i="9"/>
  <c r="U98" i="9"/>
  <c r="T98" i="9"/>
  <c r="S98" i="9"/>
  <c r="R98" i="9"/>
  <c r="Q98" i="9"/>
  <c r="C98" i="9"/>
  <c r="AI97" i="9"/>
  <c r="AH97" i="9"/>
  <c r="AI96" i="9"/>
  <c r="AH96" i="9"/>
  <c r="AI95" i="9"/>
  <c r="AH95" i="9"/>
  <c r="AI94" i="9"/>
  <c r="AH94" i="9"/>
  <c r="AI93" i="9"/>
  <c r="AH93" i="9"/>
  <c r="AI92" i="9"/>
  <c r="AH92" i="9"/>
  <c r="AI91" i="9"/>
  <c r="AH91" i="9"/>
  <c r="AI90" i="9"/>
  <c r="AH90" i="9"/>
  <c r="AI89" i="9"/>
  <c r="AH89" i="9"/>
  <c r="AI86" i="9"/>
  <c r="AH86" i="9"/>
  <c r="AF85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AF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C87" i="9" s="1"/>
  <c r="AF83" i="9"/>
  <c r="AE83" i="9"/>
  <c r="AD83" i="9"/>
  <c r="AC83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AF82" i="9"/>
  <c r="AE82" i="9"/>
  <c r="AD82" i="9"/>
  <c r="AC82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AF81" i="9"/>
  <c r="AE81" i="9"/>
  <c r="AD81" i="9"/>
  <c r="AC81" i="9"/>
  <c r="AB81" i="9"/>
  <c r="AA81" i="9"/>
  <c r="Z81" i="9"/>
  <c r="Y81" i="9"/>
  <c r="X81" i="9"/>
  <c r="W81" i="9"/>
  <c r="V81" i="9"/>
  <c r="U81" i="9"/>
  <c r="U87" i="9" s="1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AI78" i="9"/>
  <c r="AH78" i="9"/>
  <c r="AI76" i="9"/>
  <c r="AH76" i="9"/>
  <c r="AG76" i="9"/>
  <c r="AG79" i="9" s="1"/>
  <c r="AI75" i="9"/>
  <c r="AH75" i="9"/>
  <c r="AI74" i="9"/>
  <c r="AH74" i="9"/>
  <c r="AI73" i="9"/>
  <c r="AH73" i="9"/>
  <c r="AG72" i="9"/>
  <c r="AF72" i="9"/>
  <c r="AE5" i="9" s="1"/>
  <c r="AE72" i="9"/>
  <c r="AD5" i="9" s="1"/>
  <c r="AD72" i="9"/>
  <c r="AC5" i="9" s="1"/>
  <c r="AC72" i="9"/>
  <c r="AB5" i="9" s="1"/>
  <c r="AB72" i="9"/>
  <c r="AA5" i="9" s="1"/>
  <c r="AA72" i="9"/>
  <c r="Z72" i="9"/>
  <c r="Y5" i="9" s="1"/>
  <c r="Y72" i="9"/>
  <c r="X5" i="9" s="1"/>
  <c r="X72" i="9"/>
  <c r="W5" i="9" s="1"/>
  <c r="W72" i="9"/>
  <c r="V5" i="9" s="1"/>
  <c r="V72" i="9"/>
  <c r="U5" i="9" s="1"/>
  <c r="U72" i="9"/>
  <c r="T5" i="9" s="1"/>
  <c r="T72" i="9"/>
  <c r="S5" i="9" s="1"/>
  <c r="S72" i="9"/>
  <c r="R72" i="9"/>
  <c r="Q5" i="9" s="1"/>
  <c r="Q72" i="9"/>
  <c r="P5" i="9" s="1"/>
  <c r="P72" i="9"/>
  <c r="O5" i="9" s="1"/>
  <c r="O72" i="9"/>
  <c r="N5" i="9" s="1"/>
  <c r="N72" i="9"/>
  <c r="M5" i="9" s="1"/>
  <c r="M72" i="9"/>
  <c r="L5" i="9" s="1"/>
  <c r="L72" i="9"/>
  <c r="K5" i="9" s="1"/>
  <c r="K72" i="9"/>
  <c r="J72" i="9"/>
  <c r="I5" i="9" s="1"/>
  <c r="I72" i="9"/>
  <c r="H72" i="9"/>
  <c r="G5" i="9" s="1"/>
  <c r="G72" i="9"/>
  <c r="F5" i="9" s="1"/>
  <c r="F72" i="9"/>
  <c r="E5" i="9" s="1"/>
  <c r="E72" i="9"/>
  <c r="D5" i="9" s="1"/>
  <c r="D72" i="9"/>
  <c r="C5" i="9" s="1"/>
  <c r="C72" i="9"/>
  <c r="AI71" i="9"/>
  <c r="AH71" i="9"/>
  <c r="AI70" i="9"/>
  <c r="AH70" i="9"/>
  <c r="AI69" i="9"/>
  <c r="AH69" i="9"/>
  <c r="AI68" i="9"/>
  <c r="AH68" i="9"/>
  <c r="AI67" i="9"/>
  <c r="AH67" i="9"/>
  <c r="AI66" i="9"/>
  <c r="AH66" i="9"/>
  <c r="AI65" i="9"/>
  <c r="AH65" i="9"/>
  <c r="AI64" i="9"/>
  <c r="AH64" i="9"/>
  <c r="AI63" i="9"/>
  <c r="AH63" i="9"/>
  <c r="AI62" i="9"/>
  <c r="AH62" i="9"/>
  <c r="AI61" i="9"/>
  <c r="AH61" i="9"/>
  <c r="AG60" i="9"/>
  <c r="AG4" i="9" s="1"/>
  <c r="AF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AI59" i="9"/>
  <c r="AH59" i="9"/>
  <c r="AI58" i="9"/>
  <c r="AH58" i="9"/>
  <c r="AI57" i="9"/>
  <c r="AH57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AI55" i="9"/>
  <c r="AH55" i="9"/>
  <c r="AI54" i="9"/>
  <c r="AH54" i="9"/>
  <c r="AI53" i="9"/>
  <c r="AH53" i="9"/>
  <c r="AI52" i="9"/>
  <c r="AH52" i="9"/>
  <c r="AI51" i="9"/>
  <c r="AH51" i="9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AI41" i="9"/>
  <c r="AH41" i="9"/>
  <c r="AI40" i="9"/>
  <c r="AH40" i="9"/>
  <c r="AI39" i="9"/>
  <c r="AH39" i="9"/>
  <c r="AG38" i="9"/>
  <c r="AG2" i="9" s="1"/>
  <c r="AG6" i="9" s="1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I13" i="9"/>
  <c r="AH13" i="9"/>
  <c r="AI12" i="9"/>
  <c r="AH12" i="9"/>
  <c r="AI11" i="9"/>
  <c r="AH11" i="9"/>
  <c r="K4" i="9"/>
  <c r="B4" i="9"/>
  <c r="S233" i="9" s="1"/>
  <c r="AD101" i="8"/>
  <c r="AC101" i="8"/>
  <c r="AD37" i="8"/>
  <c r="AC37" i="8"/>
  <c r="AB101" i="8"/>
  <c r="AB37" i="8"/>
  <c r="X37" i="8"/>
  <c r="V37" i="8"/>
  <c r="W37" i="8"/>
  <c r="U37" i="8"/>
  <c r="T72" i="8"/>
  <c r="S72" i="8"/>
  <c r="T37" i="8"/>
  <c r="S37" i="8"/>
  <c r="R101" i="8"/>
  <c r="R37" i="8"/>
  <c r="Q101" i="8"/>
  <c r="Q37" i="8"/>
  <c r="P101" i="8"/>
  <c r="P37" i="8"/>
  <c r="O101" i="8"/>
  <c r="O37" i="8"/>
  <c r="N101" i="8"/>
  <c r="N37" i="8"/>
  <c r="M101" i="8"/>
  <c r="M37" i="8"/>
  <c r="L101" i="8"/>
  <c r="L37" i="8"/>
  <c r="K101" i="8"/>
  <c r="K37" i="8"/>
  <c r="J101" i="8"/>
  <c r="J37" i="8"/>
  <c r="I101" i="8"/>
  <c r="H101" i="8"/>
  <c r="I37" i="8"/>
  <c r="H37" i="8"/>
  <c r="G101" i="8"/>
  <c r="G37" i="8"/>
  <c r="F101" i="8"/>
  <c r="F37" i="8"/>
  <c r="E101" i="8"/>
  <c r="E37" i="8"/>
  <c r="E4" i="9"/>
  <c r="D257" i="9" l="1"/>
  <c r="F221" i="9"/>
  <c r="C257" i="9"/>
  <c r="P77" i="9"/>
  <c r="P79" i="9" s="1"/>
  <c r="AF77" i="9"/>
  <c r="AF79" i="9" s="1"/>
  <c r="I88" i="9"/>
  <c r="AF87" i="9"/>
  <c r="AF88" i="9" s="1"/>
  <c r="D222" i="9"/>
  <c r="I87" i="9"/>
  <c r="E216" i="9"/>
  <c r="R87" i="9"/>
  <c r="G222" i="10"/>
  <c r="AE77" i="9"/>
  <c r="AE79" i="9" s="1"/>
  <c r="S87" i="9"/>
  <c r="K6" i="10"/>
  <c r="AH80" i="10"/>
  <c r="T236" i="10"/>
  <c r="AI79" i="10"/>
  <c r="AH79" i="10"/>
  <c r="B7" i="10"/>
  <c r="A7" i="10" s="1"/>
  <c r="I216" i="10"/>
  <c r="H98" i="10"/>
  <c r="H222" i="10"/>
  <c r="F257" i="10"/>
  <c r="H221" i="10"/>
  <c r="AI88" i="10"/>
  <c r="AH88" i="10"/>
  <c r="AD77" i="9"/>
  <c r="AD79" i="9" s="1"/>
  <c r="AD7" i="9" s="1"/>
  <c r="AC87" i="9"/>
  <c r="AC77" i="9"/>
  <c r="AC79" i="9" s="1"/>
  <c r="AC80" i="9" s="1"/>
  <c r="AB87" i="9"/>
  <c r="AB88" i="9" s="1"/>
  <c r="AB77" i="9"/>
  <c r="AB79" i="9" s="1"/>
  <c r="AT236" i="9" s="1"/>
  <c r="AA87" i="9"/>
  <c r="Z87" i="9"/>
  <c r="Y87" i="9"/>
  <c r="Y88" i="9" s="1"/>
  <c r="Y77" i="9"/>
  <c r="Y79" i="9" s="1"/>
  <c r="AQ236" i="9" s="1"/>
  <c r="X87" i="9"/>
  <c r="X88" i="9" s="1"/>
  <c r="X77" i="9"/>
  <c r="X79" i="9" s="1"/>
  <c r="X80" i="9" s="1"/>
  <c r="V77" i="9"/>
  <c r="V79" i="9" s="1"/>
  <c r="AN236" i="9" s="1"/>
  <c r="U77" i="9"/>
  <c r="U79" i="9" s="1"/>
  <c r="T87" i="9"/>
  <c r="T77" i="9"/>
  <c r="T79" i="9" s="1"/>
  <c r="T80" i="9" s="1"/>
  <c r="W77" i="9"/>
  <c r="W79" i="9" s="1"/>
  <c r="AO236" i="9" s="1"/>
  <c r="R77" i="9"/>
  <c r="R79" i="9" s="1"/>
  <c r="R7" i="9" s="1"/>
  <c r="Q87" i="9"/>
  <c r="Q88" i="9" s="1"/>
  <c r="P87" i="9"/>
  <c r="P88" i="9" s="1"/>
  <c r="N77" i="9"/>
  <c r="N79" i="9" s="1"/>
  <c r="N7" i="9" s="1"/>
  <c r="M87" i="9"/>
  <c r="L87" i="9"/>
  <c r="L88" i="9" s="1"/>
  <c r="L77" i="9"/>
  <c r="L79" i="9" s="1"/>
  <c r="K87" i="9"/>
  <c r="K88" i="9" s="1"/>
  <c r="J87" i="9"/>
  <c r="J88" i="9" s="1"/>
  <c r="H5" i="9"/>
  <c r="J77" i="9"/>
  <c r="J79" i="9" s="1"/>
  <c r="I77" i="9"/>
  <c r="I79" i="9" s="1"/>
  <c r="I80" i="9" s="1"/>
  <c r="H87" i="9"/>
  <c r="H88" i="9" s="1"/>
  <c r="H77" i="9"/>
  <c r="H79" i="9" s="1"/>
  <c r="H7" i="9" s="1"/>
  <c r="O77" i="9"/>
  <c r="O79" i="9" s="1"/>
  <c r="O7" i="9" s="1"/>
  <c r="M77" i="9"/>
  <c r="M79" i="9" s="1"/>
  <c r="M7" i="9" s="1"/>
  <c r="Q77" i="9"/>
  <c r="Q79" i="9" s="1"/>
  <c r="AI236" i="9" s="1"/>
  <c r="AI82" i="9"/>
  <c r="AH82" i="9"/>
  <c r="AI60" i="9"/>
  <c r="G77" i="9"/>
  <c r="G79" i="9" s="1"/>
  <c r="G7" i="9" s="1"/>
  <c r="F77" i="9"/>
  <c r="F79" i="9" s="1"/>
  <c r="X236" i="9" s="1"/>
  <c r="AH83" i="9"/>
  <c r="E87" i="9"/>
  <c r="E88" i="9" s="1"/>
  <c r="AI56" i="9"/>
  <c r="D87" i="9"/>
  <c r="D88" i="9" s="1"/>
  <c r="E77" i="9"/>
  <c r="E79" i="9" s="1"/>
  <c r="E7" i="9" s="1"/>
  <c r="D77" i="9"/>
  <c r="D79" i="9" s="1"/>
  <c r="V236" i="9" s="1"/>
  <c r="AH56" i="9"/>
  <c r="B88" i="9"/>
  <c r="B77" i="9"/>
  <c r="B79" i="9" s="1"/>
  <c r="B80" i="9" s="1"/>
  <c r="AF5" i="9"/>
  <c r="H4" i="9"/>
  <c r="P7" i="9"/>
  <c r="P80" i="9"/>
  <c r="AH236" i="9"/>
  <c r="X7" i="9"/>
  <c r="AF7" i="9"/>
  <c r="AX236" i="9"/>
  <c r="AD236" i="9"/>
  <c r="L7" i="9"/>
  <c r="AW236" i="9"/>
  <c r="AE7" i="9"/>
  <c r="AH81" i="9"/>
  <c r="AI85" i="9"/>
  <c r="U80" i="9"/>
  <c r="AM236" i="9"/>
  <c r="AI81" i="9"/>
  <c r="AI84" i="9"/>
  <c r="AH42" i="9"/>
  <c r="AI83" i="9"/>
  <c r="R88" i="9"/>
  <c r="U7" i="9"/>
  <c r="AI42" i="9"/>
  <c r="AH60" i="9"/>
  <c r="AH72" i="9"/>
  <c r="Z77" i="9"/>
  <c r="Z79" i="9" s="1"/>
  <c r="B5" i="9"/>
  <c r="C88" i="9"/>
  <c r="J5" i="9"/>
  <c r="R5" i="9"/>
  <c r="S88" i="9"/>
  <c r="Z5" i="9"/>
  <c r="AA88" i="9"/>
  <c r="AI72" i="9"/>
  <c r="Z88" i="9"/>
  <c r="AB7" i="9"/>
  <c r="C77" i="9"/>
  <c r="C79" i="9" s="1"/>
  <c r="K77" i="9"/>
  <c r="K79" i="9" s="1"/>
  <c r="S77" i="9"/>
  <c r="S79" i="9" s="1"/>
  <c r="AA77" i="9"/>
  <c r="AA79" i="9" s="1"/>
  <c r="R80" i="9"/>
  <c r="F87" i="9"/>
  <c r="F88" i="9" s="1"/>
  <c r="N87" i="9"/>
  <c r="N88" i="9" s="1"/>
  <c r="V87" i="9"/>
  <c r="V88" i="9" s="1"/>
  <c r="AD87" i="9"/>
  <c r="AD88" i="9" s="1"/>
  <c r="M88" i="9"/>
  <c r="U88" i="9"/>
  <c r="AC88" i="9"/>
  <c r="G87" i="9"/>
  <c r="G88" i="9" s="1"/>
  <c r="O87" i="9"/>
  <c r="W87" i="9"/>
  <c r="W88" i="9" s="1"/>
  <c r="AE87" i="9"/>
  <c r="AE80" i="9" s="1"/>
  <c r="F216" i="9"/>
  <c r="E98" i="9"/>
  <c r="E222" i="9"/>
  <c r="D98" i="9"/>
  <c r="D233" i="9"/>
  <c r="AG77" i="9"/>
  <c r="AH38" i="9"/>
  <c r="AH84" i="9"/>
  <c r="T88" i="9"/>
  <c r="B222" i="9"/>
  <c r="AI38" i="9"/>
  <c r="AH85" i="9"/>
  <c r="V80" i="9" l="1"/>
  <c r="AF236" i="9"/>
  <c r="V7" i="9"/>
  <c r="AF80" i="9"/>
  <c r="E257" i="9"/>
  <c r="G221" i="9"/>
  <c r="AA236" i="9"/>
  <c r="AJ236" i="9"/>
  <c r="I7" i="9"/>
  <c r="AV236" i="9"/>
  <c r="J216" i="10"/>
  <c r="G257" i="10"/>
  <c r="I221" i="10"/>
  <c r="I222" i="10" s="1"/>
  <c r="AD80" i="9"/>
  <c r="AU236" i="9"/>
  <c r="AC7" i="9"/>
  <c r="AB80" i="9"/>
  <c r="Y80" i="9"/>
  <c r="Y7" i="9"/>
  <c r="AP236" i="9"/>
  <c r="W7" i="9"/>
  <c r="T7" i="9"/>
  <c r="AL236" i="9"/>
  <c r="Q7" i="9"/>
  <c r="Q80" i="9"/>
  <c r="AG236" i="9"/>
  <c r="O80" i="9"/>
  <c r="M80" i="9"/>
  <c r="L80" i="9"/>
  <c r="J80" i="9"/>
  <c r="AB236" i="9"/>
  <c r="J7" i="9"/>
  <c r="Z236" i="9"/>
  <c r="H80" i="9"/>
  <c r="AE236" i="9"/>
  <c r="Y236" i="9"/>
  <c r="F7" i="9"/>
  <c r="E80" i="9"/>
  <c r="D80" i="9"/>
  <c r="D7" i="9"/>
  <c r="W236" i="9"/>
  <c r="AH77" i="9"/>
  <c r="T236" i="9"/>
  <c r="AH79" i="9"/>
  <c r="B7" i="9"/>
  <c r="AI79" i="9"/>
  <c r="W80" i="9"/>
  <c r="AH87" i="9"/>
  <c r="AE88" i="9"/>
  <c r="G216" i="9"/>
  <c r="F98" i="9"/>
  <c r="F222" i="9"/>
  <c r="AA80" i="9"/>
  <c r="AA7" i="9"/>
  <c r="AS236" i="9"/>
  <c r="AI77" i="9"/>
  <c r="N80" i="9"/>
  <c r="G80" i="9"/>
  <c r="S80" i="9"/>
  <c r="S7" i="9"/>
  <c r="AK236" i="9"/>
  <c r="O88" i="9"/>
  <c r="AI88" i="9" s="1"/>
  <c r="K80" i="9"/>
  <c r="K7" i="9"/>
  <c r="AC236" i="9"/>
  <c r="B231" i="9"/>
  <c r="C80" i="9"/>
  <c r="C7" i="9"/>
  <c r="U236" i="9"/>
  <c r="AR236" i="9"/>
  <c r="Z7" i="9"/>
  <c r="Z80" i="9"/>
  <c r="F80" i="9"/>
  <c r="C231" i="9"/>
  <c r="AI87" i="9"/>
  <c r="F257" i="9" l="1"/>
  <c r="H221" i="9"/>
  <c r="H257" i="10"/>
  <c r="J221" i="10"/>
  <c r="J222" i="10" s="1"/>
  <c r="J98" i="10"/>
  <c r="K216" i="10"/>
  <c r="I98" i="10"/>
  <c r="AH88" i="9"/>
  <c r="K6" i="9"/>
  <c r="AH80" i="9"/>
  <c r="A7" i="9"/>
  <c r="H216" i="9"/>
  <c r="G222" i="9"/>
  <c r="G98" i="9"/>
  <c r="G257" i="9" l="1"/>
  <c r="I221" i="9"/>
  <c r="K98" i="10"/>
  <c r="L216" i="10"/>
  <c r="K221" i="10"/>
  <c r="I257" i="10"/>
  <c r="I216" i="9"/>
  <c r="H98" i="9"/>
  <c r="H222" i="9"/>
  <c r="H257" i="9" l="1"/>
  <c r="J221" i="9"/>
  <c r="M216" i="10"/>
  <c r="J257" i="10"/>
  <c r="L221" i="10"/>
  <c r="L98" i="10" s="1"/>
  <c r="K222" i="10"/>
  <c r="I98" i="9"/>
  <c r="I222" i="9"/>
  <c r="J216" i="9"/>
  <c r="K221" i="9" l="1"/>
  <c r="I257" i="9"/>
  <c r="N216" i="10"/>
  <c r="M98" i="10"/>
  <c r="K257" i="10"/>
  <c r="M221" i="10"/>
  <c r="L222" i="10"/>
  <c r="J98" i="9"/>
  <c r="J222" i="9"/>
  <c r="K216" i="9"/>
  <c r="L221" i="9" l="1"/>
  <c r="J257" i="9"/>
  <c r="L257" i="10"/>
  <c r="N221" i="10"/>
  <c r="M222" i="10"/>
  <c r="O216" i="10"/>
  <c r="N98" i="10"/>
  <c r="N222" i="10"/>
  <c r="K98" i="9"/>
  <c r="K222" i="9"/>
  <c r="L216" i="9"/>
  <c r="K257" i="9" l="1"/>
  <c r="M221" i="9"/>
  <c r="P216" i="10"/>
  <c r="O98" i="10"/>
  <c r="M257" i="10"/>
  <c r="O221" i="10"/>
  <c r="L222" i="9"/>
  <c r="L98" i="9"/>
  <c r="M216" i="9"/>
  <c r="D37" i="8"/>
  <c r="C37" i="8"/>
  <c r="B37" i="8"/>
  <c r="AF261" i="8"/>
  <c r="AE261" i="8"/>
  <c r="AD261" i="8"/>
  <c r="AC261" i="8"/>
  <c r="AB261" i="8"/>
  <c r="AA261" i="8"/>
  <c r="Z261" i="8"/>
  <c r="Y261" i="8"/>
  <c r="X261" i="8"/>
  <c r="W261" i="8"/>
  <c r="V261" i="8"/>
  <c r="U261" i="8"/>
  <c r="T261" i="8"/>
  <c r="S261" i="8"/>
  <c r="R261" i="8"/>
  <c r="Q261" i="8"/>
  <c r="P261" i="8"/>
  <c r="O261" i="8"/>
  <c r="N261" i="8"/>
  <c r="M261" i="8"/>
  <c r="L261" i="8"/>
  <c r="K261" i="8"/>
  <c r="J261" i="8"/>
  <c r="I261" i="8"/>
  <c r="H261" i="8"/>
  <c r="G261" i="8"/>
  <c r="F261" i="8"/>
  <c r="E261" i="8"/>
  <c r="D261" i="8"/>
  <c r="C261" i="8"/>
  <c r="B261" i="8"/>
  <c r="A261" i="8"/>
  <c r="AF260" i="8"/>
  <c r="AE260" i="8"/>
  <c r="AD260" i="8"/>
  <c r="AC260" i="8"/>
  <c r="AB260" i="8"/>
  <c r="AA260" i="8"/>
  <c r="Z260" i="8"/>
  <c r="Y260" i="8"/>
  <c r="X260" i="8"/>
  <c r="W260" i="8"/>
  <c r="V260" i="8"/>
  <c r="U260" i="8"/>
  <c r="T260" i="8"/>
  <c r="S260" i="8"/>
  <c r="R260" i="8"/>
  <c r="Q260" i="8"/>
  <c r="P260" i="8"/>
  <c r="O260" i="8"/>
  <c r="N260" i="8"/>
  <c r="M260" i="8"/>
  <c r="L260" i="8"/>
  <c r="K260" i="8"/>
  <c r="J260" i="8"/>
  <c r="I260" i="8"/>
  <c r="H260" i="8"/>
  <c r="G260" i="8"/>
  <c r="F260" i="8"/>
  <c r="E260" i="8"/>
  <c r="D260" i="8"/>
  <c r="C260" i="8"/>
  <c r="B260" i="8"/>
  <c r="A260" i="8"/>
  <c r="AF259" i="8"/>
  <c r="AE259" i="8"/>
  <c r="AD259" i="8"/>
  <c r="AC259" i="8"/>
  <c r="AB259" i="8"/>
  <c r="AA259" i="8"/>
  <c r="Z259" i="8"/>
  <c r="Y259" i="8"/>
  <c r="X259" i="8"/>
  <c r="W259" i="8"/>
  <c r="V259" i="8"/>
  <c r="U259" i="8"/>
  <c r="T259" i="8"/>
  <c r="S259" i="8"/>
  <c r="R259" i="8"/>
  <c r="Q259" i="8"/>
  <c r="P259" i="8"/>
  <c r="O259" i="8"/>
  <c r="N259" i="8"/>
  <c r="M259" i="8"/>
  <c r="L259" i="8"/>
  <c r="K259" i="8"/>
  <c r="J259" i="8"/>
  <c r="I259" i="8"/>
  <c r="H259" i="8"/>
  <c r="G259" i="8"/>
  <c r="F259" i="8"/>
  <c r="E259" i="8"/>
  <c r="D259" i="8"/>
  <c r="C259" i="8"/>
  <c r="B259" i="8"/>
  <c r="A259" i="8"/>
  <c r="AF258" i="8"/>
  <c r="AE258" i="8"/>
  <c r="AD258" i="8"/>
  <c r="AC258" i="8"/>
  <c r="AB258" i="8"/>
  <c r="AA258" i="8"/>
  <c r="Z258" i="8"/>
  <c r="Y258" i="8"/>
  <c r="X258" i="8"/>
  <c r="W258" i="8"/>
  <c r="V258" i="8"/>
  <c r="U258" i="8"/>
  <c r="T258" i="8"/>
  <c r="S258" i="8"/>
  <c r="R258" i="8"/>
  <c r="Q258" i="8"/>
  <c r="P258" i="8"/>
  <c r="O258" i="8"/>
  <c r="N258" i="8"/>
  <c r="M258" i="8"/>
  <c r="L258" i="8"/>
  <c r="K258" i="8"/>
  <c r="J258" i="8"/>
  <c r="I258" i="8"/>
  <c r="H258" i="8"/>
  <c r="G258" i="8"/>
  <c r="F258" i="8"/>
  <c r="E258" i="8"/>
  <c r="D258" i="8"/>
  <c r="C258" i="8"/>
  <c r="B258" i="8"/>
  <c r="A258" i="8"/>
  <c r="AE257" i="8"/>
  <c r="AD257" i="8"/>
  <c r="AC257" i="8"/>
  <c r="AB257" i="8"/>
  <c r="AA257" i="8"/>
  <c r="Z257" i="8"/>
  <c r="Y257" i="8"/>
  <c r="X257" i="8"/>
  <c r="W257" i="8"/>
  <c r="V257" i="8"/>
  <c r="U257" i="8"/>
  <c r="T257" i="8"/>
  <c r="S257" i="8"/>
  <c r="R257" i="8"/>
  <c r="Q257" i="8"/>
  <c r="P257" i="8"/>
  <c r="B257" i="8"/>
  <c r="S232" i="8"/>
  <c r="AG222" i="8"/>
  <c r="AF222" i="8"/>
  <c r="AE222" i="8"/>
  <c r="AD222" i="8"/>
  <c r="AC222" i="8"/>
  <c r="AB222" i="8"/>
  <c r="AA222" i="8"/>
  <c r="Z222" i="8"/>
  <c r="Y222" i="8"/>
  <c r="X222" i="8"/>
  <c r="W222" i="8"/>
  <c r="V222" i="8"/>
  <c r="U222" i="8"/>
  <c r="T222" i="8"/>
  <c r="S222" i="8"/>
  <c r="R222" i="8"/>
  <c r="Q222" i="8"/>
  <c r="C222" i="8"/>
  <c r="D221" i="8"/>
  <c r="C257" i="8" s="1"/>
  <c r="B221" i="8"/>
  <c r="AF257" i="8" s="1"/>
  <c r="D220" i="8"/>
  <c r="E220" i="8" s="1"/>
  <c r="F220" i="8" s="1"/>
  <c r="G220" i="8" s="1"/>
  <c r="H220" i="8" s="1"/>
  <c r="I220" i="8" s="1"/>
  <c r="J220" i="8" s="1"/>
  <c r="K220" i="8" s="1"/>
  <c r="L220" i="8" s="1"/>
  <c r="M220" i="8" s="1"/>
  <c r="N220" i="8" s="1"/>
  <c r="O220" i="8" s="1"/>
  <c r="P220" i="8" s="1"/>
  <c r="B220" i="8"/>
  <c r="D219" i="8"/>
  <c r="E219" i="8" s="1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B219" i="8"/>
  <c r="D218" i="8"/>
  <c r="E218" i="8" s="1"/>
  <c r="F218" i="8" s="1"/>
  <c r="G218" i="8" s="1"/>
  <c r="H218" i="8" s="1"/>
  <c r="I218" i="8" s="1"/>
  <c r="J218" i="8" s="1"/>
  <c r="K218" i="8" s="1"/>
  <c r="L218" i="8" s="1"/>
  <c r="M218" i="8" s="1"/>
  <c r="N218" i="8" s="1"/>
  <c r="O218" i="8" s="1"/>
  <c r="P218" i="8" s="1"/>
  <c r="B218" i="8"/>
  <c r="D217" i="8"/>
  <c r="B217" i="8"/>
  <c r="D216" i="8"/>
  <c r="E216" i="8" s="1"/>
  <c r="B216" i="8"/>
  <c r="B98" i="8" s="1"/>
  <c r="AG214" i="8"/>
  <c r="AF214" i="8"/>
  <c r="AE214" i="8"/>
  <c r="AD214" i="8"/>
  <c r="AC214" i="8"/>
  <c r="AB214" i="8"/>
  <c r="AA214" i="8"/>
  <c r="Z214" i="8"/>
  <c r="Y214" i="8"/>
  <c r="X214" i="8"/>
  <c r="W214" i="8"/>
  <c r="V214" i="8"/>
  <c r="U214" i="8"/>
  <c r="T214" i="8"/>
  <c r="S214" i="8"/>
  <c r="R214" i="8"/>
  <c r="Q214" i="8"/>
  <c r="P214" i="8"/>
  <c r="O214" i="8"/>
  <c r="N214" i="8"/>
  <c r="M214" i="8"/>
  <c r="L214" i="8"/>
  <c r="K214" i="8"/>
  <c r="J214" i="8"/>
  <c r="I214" i="8"/>
  <c r="H214" i="8"/>
  <c r="G214" i="8"/>
  <c r="F214" i="8"/>
  <c r="E214" i="8"/>
  <c r="D214" i="8"/>
  <c r="C214" i="8"/>
  <c r="B214" i="8"/>
  <c r="AH107" i="8"/>
  <c r="AI107" i="8" s="1"/>
  <c r="AH106" i="8"/>
  <c r="AI106" i="8" s="1"/>
  <c r="AH105" i="8"/>
  <c r="AI105" i="8" s="1"/>
  <c r="AH104" i="8"/>
  <c r="AI104" i="8" s="1"/>
  <c r="AH103" i="8"/>
  <c r="AI103" i="8" s="1"/>
  <c r="AH102" i="8"/>
  <c r="AI102" i="8" s="1"/>
  <c r="AH101" i="8"/>
  <c r="AI101" i="8" s="1"/>
  <c r="AH100" i="8"/>
  <c r="AI100" i="8" s="1"/>
  <c r="AH99" i="8"/>
  <c r="AI99" i="8" s="1"/>
  <c r="AF98" i="8"/>
  <c r="AE98" i="8"/>
  <c r="AD98" i="8"/>
  <c r="AC98" i="8"/>
  <c r="AB98" i="8"/>
  <c r="AA98" i="8"/>
  <c r="Z98" i="8"/>
  <c r="Y98" i="8"/>
  <c r="X98" i="8"/>
  <c r="W98" i="8"/>
  <c r="V98" i="8"/>
  <c r="U98" i="8"/>
  <c r="T98" i="8"/>
  <c r="S98" i="8"/>
  <c r="R98" i="8"/>
  <c r="Q98" i="8"/>
  <c r="D98" i="8"/>
  <c r="C98" i="8"/>
  <c r="AI97" i="8"/>
  <c r="AH97" i="8"/>
  <c r="AI96" i="8"/>
  <c r="AH96" i="8"/>
  <c r="AI95" i="8"/>
  <c r="AH95" i="8"/>
  <c r="AI94" i="8"/>
  <c r="AH94" i="8"/>
  <c r="AI93" i="8"/>
  <c r="AH93" i="8"/>
  <c r="AI92" i="8"/>
  <c r="AH92" i="8"/>
  <c r="AI91" i="8"/>
  <c r="AH91" i="8"/>
  <c r="AI90" i="8"/>
  <c r="AH90" i="8"/>
  <c r="AI89" i="8"/>
  <c r="AH89" i="8"/>
  <c r="AI86" i="8"/>
  <c r="AH86" i="8"/>
  <c r="AF85" i="8"/>
  <c r="AE85" i="8"/>
  <c r="AD85" i="8"/>
  <c r="AC85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AF84" i="8"/>
  <c r="AE84" i="8"/>
  <c r="AD84" i="8"/>
  <c r="AC84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AF83" i="8"/>
  <c r="AE83" i="8"/>
  <c r="AD83" i="8"/>
  <c r="AC83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E83" i="8"/>
  <c r="D83" i="8"/>
  <c r="C83" i="8"/>
  <c r="B83" i="8"/>
  <c r="AF82" i="8"/>
  <c r="AE82" i="8"/>
  <c r="AD82" i="8"/>
  <c r="AC82" i="8"/>
  <c r="AB82" i="8"/>
  <c r="AA82" i="8"/>
  <c r="Z82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E82" i="8"/>
  <c r="D82" i="8"/>
  <c r="C82" i="8"/>
  <c r="B82" i="8"/>
  <c r="AF81" i="8"/>
  <c r="AE81" i="8"/>
  <c r="AD81" i="8"/>
  <c r="AC81" i="8"/>
  <c r="AB81" i="8"/>
  <c r="AB87" i="8" s="1"/>
  <c r="AA81" i="8"/>
  <c r="Z81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81" i="8"/>
  <c r="AI78" i="8"/>
  <c r="AH78" i="8"/>
  <c r="AI76" i="8"/>
  <c r="AH76" i="8"/>
  <c r="AG76" i="8"/>
  <c r="AI75" i="8"/>
  <c r="AH75" i="8"/>
  <c r="AI74" i="8"/>
  <c r="AH74" i="8"/>
  <c r="AI73" i="8"/>
  <c r="AH73" i="8"/>
  <c r="AG72" i="8"/>
  <c r="AF72" i="8"/>
  <c r="AE5" i="8" s="1"/>
  <c r="AE72" i="8"/>
  <c r="AD5" i="8" s="1"/>
  <c r="AD72" i="8"/>
  <c r="AC72" i="8"/>
  <c r="AB72" i="8"/>
  <c r="AA72" i="8"/>
  <c r="Z72" i="8"/>
  <c r="Y5" i="8" s="1"/>
  <c r="Y72" i="8"/>
  <c r="X72" i="8"/>
  <c r="W5" i="8" s="1"/>
  <c r="W72" i="8"/>
  <c r="V5" i="8" s="1"/>
  <c r="V72" i="8"/>
  <c r="U72" i="8"/>
  <c r="R5" i="8"/>
  <c r="R72" i="8"/>
  <c r="Q5" i="8" s="1"/>
  <c r="Q72" i="8"/>
  <c r="P5" i="8" s="1"/>
  <c r="P72" i="8"/>
  <c r="O5" i="8" s="1"/>
  <c r="O72" i="8"/>
  <c r="N5" i="8" s="1"/>
  <c r="N72" i="8"/>
  <c r="M72" i="8"/>
  <c r="L72" i="8"/>
  <c r="K5" i="8" s="1"/>
  <c r="K72" i="8"/>
  <c r="J72" i="8"/>
  <c r="I5" i="8" s="1"/>
  <c r="I72" i="8"/>
  <c r="H5" i="8" s="1"/>
  <c r="H72" i="8"/>
  <c r="G5" i="8" s="1"/>
  <c r="G72" i="8"/>
  <c r="F5" i="8" s="1"/>
  <c r="F72" i="8"/>
  <c r="E72" i="8"/>
  <c r="D72" i="8"/>
  <c r="C72" i="8"/>
  <c r="B5" i="8" s="1"/>
  <c r="B72" i="8"/>
  <c r="AF5" i="8" s="1"/>
  <c r="AI71" i="8"/>
  <c r="AH71" i="8"/>
  <c r="AI70" i="8"/>
  <c r="AH70" i="8"/>
  <c r="AI69" i="8"/>
  <c r="AH69" i="8"/>
  <c r="AI68" i="8"/>
  <c r="AH68" i="8"/>
  <c r="AI67" i="8"/>
  <c r="AH67" i="8"/>
  <c r="AI66" i="8"/>
  <c r="AH66" i="8"/>
  <c r="AI65" i="8"/>
  <c r="AH65" i="8"/>
  <c r="AI64" i="8"/>
  <c r="AH64" i="8"/>
  <c r="AI63" i="8"/>
  <c r="AH63" i="8"/>
  <c r="AI62" i="8"/>
  <c r="AH62" i="8"/>
  <c r="AI61" i="8"/>
  <c r="AH61" i="8"/>
  <c r="AG60" i="8"/>
  <c r="AG4" i="8" s="1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AI59" i="8"/>
  <c r="AH59" i="8"/>
  <c r="AI58" i="8"/>
  <c r="AH58" i="8"/>
  <c r="AI57" i="8"/>
  <c r="AH57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I55" i="8"/>
  <c r="AH55" i="8"/>
  <c r="AG55" i="8"/>
  <c r="AG56" i="8" s="1"/>
  <c r="AI54" i="8"/>
  <c r="AH54" i="8"/>
  <c r="AI53" i="8"/>
  <c r="AH53" i="8"/>
  <c r="AI52" i="8"/>
  <c r="AH52" i="8"/>
  <c r="AI51" i="8"/>
  <c r="AH51" i="8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AI41" i="8"/>
  <c r="AH41" i="8"/>
  <c r="AI40" i="8"/>
  <c r="AH40" i="8"/>
  <c r="AI39" i="8"/>
  <c r="AH39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H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C5" i="8"/>
  <c r="U5" i="8"/>
  <c r="K4" i="8"/>
  <c r="B4" i="8"/>
  <c r="S233" i="8" s="1"/>
  <c r="AG2" i="8"/>
  <c r="AF37" i="7"/>
  <c r="AE37" i="7"/>
  <c r="AD37" i="7"/>
  <c r="AC101" i="7"/>
  <c r="AC37" i="7"/>
  <c r="AB101" i="7"/>
  <c r="AB37" i="7"/>
  <c r="E4" i="8"/>
  <c r="N221" i="9" l="1"/>
  <c r="L257" i="9"/>
  <c r="N257" i="10"/>
  <c r="P221" i="10"/>
  <c r="O257" i="10" s="1"/>
  <c r="O222" i="10"/>
  <c r="N216" i="9"/>
  <c r="M98" i="9"/>
  <c r="M222" i="9"/>
  <c r="AF87" i="8"/>
  <c r="X5" i="8"/>
  <c r="N87" i="8"/>
  <c r="B222" i="8"/>
  <c r="U87" i="8"/>
  <c r="U88" i="8" s="1"/>
  <c r="AC77" i="8"/>
  <c r="AC79" i="8" s="1"/>
  <c r="AC7" i="8" s="1"/>
  <c r="G87" i="8"/>
  <c r="AE87" i="8"/>
  <c r="AE88" i="8" s="1"/>
  <c r="X87" i="8"/>
  <c r="V77" i="8"/>
  <c r="V79" i="8" s="1"/>
  <c r="D222" i="8"/>
  <c r="AG77" i="8"/>
  <c r="AF77" i="8"/>
  <c r="AF79" i="8" s="1"/>
  <c r="AF7" i="8" s="1"/>
  <c r="AD87" i="8"/>
  <c r="AD88" i="8" s="1"/>
  <c r="AD77" i="8"/>
  <c r="AD79" i="8" s="1"/>
  <c r="AC87" i="8"/>
  <c r="AC88" i="8" s="1"/>
  <c r="AB5" i="8"/>
  <c r="AE77" i="8"/>
  <c r="AE79" i="8" s="1"/>
  <c r="AW236" i="8" s="1"/>
  <c r="AB88" i="8"/>
  <c r="AA5" i="8"/>
  <c r="AB77" i="8"/>
  <c r="AB79" i="8" s="1"/>
  <c r="AB7" i="8" s="1"/>
  <c r="AA77" i="8"/>
  <c r="AA79" i="8" s="1"/>
  <c r="AA80" i="8" s="1"/>
  <c r="Z5" i="8"/>
  <c r="AA87" i="8"/>
  <c r="AA88" i="8" s="1"/>
  <c r="Z87" i="8"/>
  <c r="Z88" i="8" s="1"/>
  <c r="Z77" i="8"/>
  <c r="Z79" i="8" s="1"/>
  <c r="Z80" i="8" s="1"/>
  <c r="Y87" i="8"/>
  <c r="Y88" i="8" s="1"/>
  <c r="Y77" i="8"/>
  <c r="Y79" i="8" s="1"/>
  <c r="Y7" i="8" s="1"/>
  <c r="X77" i="8"/>
  <c r="X79" i="8" s="1"/>
  <c r="X7" i="8" s="1"/>
  <c r="V87" i="8"/>
  <c r="V88" i="8" s="1"/>
  <c r="W87" i="8"/>
  <c r="W88" i="8" s="1"/>
  <c r="W77" i="8"/>
  <c r="W79" i="8" s="1"/>
  <c r="AO236" i="8" s="1"/>
  <c r="T5" i="8"/>
  <c r="U77" i="8"/>
  <c r="U79" i="8" s="1"/>
  <c r="U7" i="8" s="1"/>
  <c r="T77" i="8"/>
  <c r="T79" i="8" s="1"/>
  <c r="T80" i="8" s="1"/>
  <c r="S5" i="8"/>
  <c r="T87" i="8"/>
  <c r="T88" i="8" s="1"/>
  <c r="S87" i="8"/>
  <c r="S88" i="8" s="1"/>
  <c r="S77" i="8"/>
  <c r="S79" i="8" s="1"/>
  <c r="R87" i="8"/>
  <c r="R77" i="8"/>
  <c r="R79" i="8" s="1"/>
  <c r="R80" i="8" s="1"/>
  <c r="Q87" i="8"/>
  <c r="P87" i="8"/>
  <c r="P88" i="8" s="1"/>
  <c r="P77" i="8"/>
  <c r="P79" i="8" s="1"/>
  <c r="P7" i="8" s="1"/>
  <c r="Q77" i="8"/>
  <c r="Q79" i="8" s="1"/>
  <c r="O87" i="8"/>
  <c r="O88" i="8" s="1"/>
  <c r="O77" i="8"/>
  <c r="O79" i="8" s="1"/>
  <c r="N88" i="8"/>
  <c r="M5" i="8"/>
  <c r="N77" i="8"/>
  <c r="N79" i="8" s="1"/>
  <c r="AF236" i="8" s="1"/>
  <c r="L5" i="8"/>
  <c r="M87" i="8"/>
  <c r="M88" i="8" s="1"/>
  <c r="M77" i="8"/>
  <c r="M79" i="8" s="1"/>
  <c r="L87" i="8"/>
  <c r="L88" i="8" s="1"/>
  <c r="L77" i="8"/>
  <c r="L79" i="8" s="1"/>
  <c r="L7" i="8" s="1"/>
  <c r="J5" i="8"/>
  <c r="K87" i="8"/>
  <c r="K88" i="8" s="1"/>
  <c r="K77" i="8"/>
  <c r="K79" i="8" s="1"/>
  <c r="K80" i="8" s="1"/>
  <c r="J87" i="8"/>
  <c r="J88" i="8" s="1"/>
  <c r="J77" i="8"/>
  <c r="J79" i="8" s="1"/>
  <c r="AB236" i="8" s="1"/>
  <c r="I87" i="8"/>
  <c r="I88" i="8" s="1"/>
  <c r="I77" i="8"/>
  <c r="I79" i="8" s="1"/>
  <c r="H87" i="8"/>
  <c r="H77" i="8"/>
  <c r="H79" i="8" s="1"/>
  <c r="H7" i="8" s="1"/>
  <c r="G88" i="8"/>
  <c r="G77" i="8"/>
  <c r="G79" i="8" s="1"/>
  <c r="G80" i="8" s="1"/>
  <c r="E5" i="8"/>
  <c r="F87" i="8"/>
  <c r="F88" i="8" s="1"/>
  <c r="F77" i="8"/>
  <c r="F79" i="8" s="1"/>
  <c r="D5" i="8"/>
  <c r="E87" i="8"/>
  <c r="E88" i="8" s="1"/>
  <c r="E77" i="8"/>
  <c r="E79" i="8" s="1"/>
  <c r="E80" i="8" s="1"/>
  <c r="AI84" i="8"/>
  <c r="AI82" i="8"/>
  <c r="C5" i="8"/>
  <c r="D87" i="8"/>
  <c r="D88" i="8" s="1"/>
  <c r="AI60" i="8"/>
  <c r="D77" i="8"/>
  <c r="D79" i="8" s="1"/>
  <c r="AI83" i="8"/>
  <c r="AI81" i="8"/>
  <c r="C87" i="8"/>
  <c r="AI85" i="8"/>
  <c r="C88" i="8"/>
  <c r="AI56" i="8"/>
  <c r="AH42" i="8"/>
  <c r="C77" i="8"/>
  <c r="C79" i="8" s="1"/>
  <c r="U236" i="8" s="1"/>
  <c r="AH84" i="8"/>
  <c r="AI42" i="8"/>
  <c r="B77" i="8"/>
  <c r="B79" i="8" s="1"/>
  <c r="D233" i="8"/>
  <c r="H4" i="8"/>
  <c r="AG3" i="8"/>
  <c r="AG6" i="8" s="1"/>
  <c r="AG79" i="8"/>
  <c r="W7" i="8"/>
  <c r="W80" i="8"/>
  <c r="AD236" i="8"/>
  <c r="T7" i="8"/>
  <c r="F216" i="8"/>
  <c r="AG236" i="8"/>
  <c r="E7" i="8"/>
  <c r="AC80" i="8"/>
  <c r="AU236" i="8"/>
  <c r="Q88" i="8"/>
  <c r="I7" i="8"/>
  <c r="AA236" i="8"/>
  <c r="AN236" i="8"/>
  <c r="V7" i="8"/>
  <c r="R88" i="8"/>
  <c r="H88" i="8"/>
  <c r="X88" i="8"/>
  <c r="AF88" i="8"/>
  <c r="E217" i="8"/>
  <c r="F217" i="8" s="1"/>
  <c r="G217" i="8" s="1"/>
  <c r="H217" i="8" s="1"/>
  <c r="I217" i="8" s="1"/>
  <c r="J217" i="8" s="1"/>
  <c r="K217" i="8" s="1"/>
  <c r="L217" i="8" s="1"/>
  <c r="M217" i="8" s="1"/>
  <c r="N217" i="8" s="1"/>
  <c r="O217" i="8" s="1"/>
  <c r="P217" i="8" s="1"/>
  <c r="E221" i="8"/>
  <c r="AH56" i="8"/>
  <c r="AH60" i="8"/>
  <c r="AH72" i="8"/>
  <c r="AH81" i="8"/>
  <c r="B87" i="8"/>
  <c r="B88" i="8" s="1"/>
  <c r="AI72" i="8"/>
  <c r="AH82" i="8"/>
  <c r="AH83" i="8"/>
  <c r="AH38" i="8"/>
  <c r="AI38" i="8"/>
  <c r="AH85" i="8"/>
  <c r="AL236" i="8" l="1"/>
  <c r="AM236" i="8"/>
  <c r="O80" i="8"/>
  <c r="S80" i="8"/>
  <c r="AD80" i="8"/>
  <c r="M257" i="9"/>
  <c r="O221" i="9"/>
  <c r="P98" i="10"/>
  <c r="P222" i="10"/>
  <c r="O216" i="9"/>
  <c r="N98" i="9"/>
  <c r="N222" i="9"/>
  <c r="AA7" i="8"/>
  <c r="AS236" i="8"/>
  <c r="Y236" i="8"/>
  <c r="V80" i="8"/>
  <c r="D80" i="8"/>
  <c r="J7" i="8"/>
  <c r="N80" i="8"/>
  <c r="U80" i="8"/>
  <c r="L80" i="8"/>
  <c r="F80" i="8"/>
  <c r="M80" i="8"/>
  <c r="Q80" i="8"/>
  <c r="W236" i="8"/>
  <c r="N7" i="8"/>
  <c r="H80" i="8"/>
  <c r="AX236" i="8"/>
  <c r="AF80" i="8"/>
  <c r="AE7" i="8"/>
  <c r="AE80" i="8"/>
  <c r="AD7" i="8"/>
  <c r="AV236" i="8"/>
  <c r="AT236" i="8"/>
  <c r="AB80" i="8"/>
  <c r="Z7" i="8"/>
  <c r="AR236" i="8"/>
  <c r="AQ236" i="8"/>
  <c r="Y80" i="8"/>
  <c r="X80" i="8"/>
  <c r="AP236" i="8"/>
  <c r="S7" i="8"/>
  <c r="AK236" i="8"/>
  <c r="R7" i="8"/>
  <c r="AJ236" i="8"/>
  <c r="AI236" i="8"/>
  <c r="Q7" i="8"/>
  <c r="P80" i="8"/>
  <c r="AH236" i="8"/>
  <c r="O7" i="8"/>
  <c r="M7" i="8"/>
  <c r="AE236" i="8"/>
  <c r="K7" i="8"/>
  <c r="AC236" i="8"/>
  <c r="J80" i="8"/>
  <c r="I80" i="8"/>
  <c r="Z236" i="8"/>
  <c r="C231" i="8"/>
  <c r="B231" i="8"/>
  <c r="G7" i="8"/>
  <c r="F7" i="8"/>
  <c r="X236" i="8"/>
  <c r="V236" i="8"/>
  <c r="D7" i="8"/>
  <c r="C7" i="8"/>
  <c r="C80" i="8"/>
  <c r="AH77" i="8"/>
  <c r="AI77" i="8"/>
  <c r="AI88" i="8"/>
  <c r="AH88" i="8"/>
  <c r="B7" i="8"/>
  <c r="B80" i="8"/>
  <c r="T236" i="8"/>
  <c r="AI79" i="8"/>
  <c r="AH79" i="8"/>
  <c r="D257" i="8"/>
  <c r="F221" i="8"/>
  <c r="F98" i="8" s="1"/>
  <c r="E98" i="8"/>
  <c r="E222" i="8"/>
  <c r="G216" i="8"/>
  <c r="F222" i="8"/>
  <c r="AI87" i="8"/>
  <c r="AH87" i="8"/>
  <c r="K6" i="8" l="1"/>
  <c r="N257" i="9"/>
  <c r="P221" i="9"/>
  <c r="O257" i="9" s="1"/>
  <c r="AI98" i="10"/>
  <c r="AH98" i="10"/>
  <c r="P216" i="9"/>
  <c r="O222" i="9"/>
  <c r="O98" i="9"/>
  <c r="AH80" i="8"/>
  <c r="A7" i="8"/>
  <c r="H216" i="8"/>
  <c r="E257" i="8"/>
  <c r="G221" i="8"/>
  <c r="P98" i="9" l="1"/>
  <c r="P222" i="9"/>
  <c r="F257" i="8"/>
  <c r="H221" i="8"/>
  <c r="G222" i="8"/>
  <c r="G98" i="8"/>
  <c r="I216" i="8"/>
  <c r="H98" i="8"/>
  <c r="H222" i="8"/>
  <c r="AH98" i="9" l="1"/>
  <c r="AI98" i="9"/>
  <c r="J216" i="8"/>
  <c r="G257" i="8"/>
  <c r="I221" i="8"/>
  <c r="H257" i="8" l="1"/>
  <c r="J221" i="8"/>
  <c r="I98" i="8"/>
  <c r="I222" i="8"/>
  <c r="J98" i="8"/>
  <c r="J222" i="8"/>
  <c r="K216" i="8"/>
  <c r="K221" i="8" l="1"/>
  <c r="I257" i="8"/>
  <c r="K98" i="8"/>
  <c r="K222" i="8"/>
  <c r="L216" i="8"/>
  <c r="L98" i="8" l="1"/>
  <c r="M216" i="8"/>
  <c r="L221" i="8"/>
  <c r="J257" i="8"/>
  <c r="K257" i="8" l="1"/>
  <c r="M221" i="8"/>
  <c r="M222" i="8"/>
  <c r="N216" i="8"/>
  <c r="M98" i="8"/>
  <c r="L222" i="8"/>
  <c r="O216" i="8" l="1"/>
  <c r="N98" i="8"/>
  <c r="L257" i="8"/>
  <c r="N221" i="8"/>
  <c r="P216" i="8" l="1"/>
  <c r="O98" i="8"/>
  <c r="M257" i="8"/>
  <c r="O221" i="8"/>
  <c r="N222" i="8"/>
  <c r="N257" i="8" l="1"/>
  <c r="P221" i="8"/>
  <c r="O257" i="8" s="1"/>
  <c r="O222" i="8"/>
  <c r="P98" i="8"/>
  <c r="P222" i="8"/>
  <c r="AI98" i="8" l="1"/>
  <c r="AH98" i="8"/>
  <c r="S101" i="7" l="1"/>
  <c r="S37" i="7"/>
  <c r="R101" i="7"/>
  <c r="R37" i="7"/>
  <c r="Q101" i="7"/>
  <c r="Q37" i="7"/>
  <c r="P101" i="7"/>
  <c r="P37" i="7"/>
  <c r="O101" i="7"/>
  <c r="O37" i="7"/>
  <c r="N101" i="7"/>
  <c r="N37" i="7"/>
  <c r="M101" i="7" l="1"/>
  <c r="M37" i="7"/>
  <c r="L37" i="7"/>
  <c r="K37" i="7"/>
  <c r="I37" i="7"/>
  <c r="H37" i="7"/>
  <c r="G37" i="7"/>
  <c r="F37" i="7"/>
  <c r="E37" i="7"/>
  <c r="D101" i="7"/>
  <c r="D37" i="7"/>
  <c r="B37" i="7"/>
  <c r="C101" i="7"/>
  <c r="C37" i="7"/>
  <c r="B101" i="7"/>
  <c r="B98" i="7" s="1"/>
  <c r="B85" i="7"/>
  <c r="B84" i="7"/>
  <c r="B83" i="7"/>
  <c r="B82" i="7"/>
  <c r="B81" i="7"/>
  <c r="B72" i="7"/>
  <c r="AF5" i="7" s="1"/>
  <c r="B60" i="7"/>
  <c r="B56" i="7"/>
  <c r="B42" i="7"/>
  <c r="B38" i="7"/>
  <c r="AF261" i="7"/>
  <c r="AE261" i="7"/>
  <c r="AD261" i="7"/>
  <c r="AC261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B261" i="7"/>
  <c r="A261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A260" i="7"/>
  <c r="AF259" i="7"/>
  <c r="AE259" i="7"/>
  <c r="AD259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B259" i="7"/>
  <c r="A259" i="7"/>
  <c r="AF258" i="7"/>
  <c r="AE258" i="7"/>
  <c r="AD258" i="7"/>
  <c r="AC258" i="7"/>
  <c r="AB258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B258" i="7"/>
  <c r="A258" i="7"/>
  <c r="AE257" i="7"/>
  <c r="AD257" i="7"/>
  <c r="AC257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B257" i="7"/>
  <c r="S232" i="7"/>
  <c r="AG222" i="7"/>
  <c r="AG55" i="7" s="1"/>
  <c r="AG56" i="7" s="1"/>
  <c r="AG3" i="7" s="1"/>
  <c r="AF222" i="7"/>
  <c r="AE222" i="7"/>
  <c r="AD222" i="7"/>
  <c r="AC222" i="7"/>
  <c r="AB222" i="7"/>
  <c r="AA222" i="7"/>
  <c r="Z222" i="7"/>
  <c r="Y222" i="7"/>
  <c r="X222" i="7"/>
  <c r="W222" i="7"/>
  <c r="V222" i="7"/>
  <c r="U222" i="7"/>
  <c r="T222" i="7"/>
  <c r="S222" i="7"/>
  <c r="R222" i="7"/>
  <c r="Q222" i="7"/>
  <c r="C222" i="7"/>
  <c r="D221" i="7"/>
  <c r="E221" i="7" s="1"/>
  <c r="B221" i="7"/>
  <c r="AF257" i="7" s="1"/>
  <c r="E220" i="7"/>
  <c r="F220" i="7" s="1"/>
  <c r="G220" i="7" s="1"/>
  <c r="H220" i="7" s="1"/>
  <c r="I220" i="7" s="1"/>
  <c r="J220" i="7" s="1"/>
  <c r="K220" i="7" s="1"/>
  <c r="L220" i="7" s="1"/>
  <c r="M220" i="7" s="1"/>
  <c r="N220" i="7" s="1"/>
  <c r="O220" i="7" s="1"/>
  <c r="P220" i="7" s="1"/>
  <c r="D220" i="7"/>
  <c r="B220" i="7"/>
  <c r="D219" i="7"/>
  <c r="E219" i="7" s="1"/>
  <c r="F219" i="7" s="1"/>
  <c r="G219" i="7" s="1"/>
  <c r="H219" i="7" s="1"/>
  <c r="I219" i="7" s="1"/>
  <c r="J219" i="7" s="1"/>
  <c r="K219" i="7" s="1"/>
  <c r="L219" i="7" s="1"/>
  <c r="M219" i="7" s="1"/>
  <c r="N219" i="7" s="1"/>
  <c r="O219" i="7" s="1"/>
  <c r="P219" i="7" s="1"/>
  <c r="B219" i="7"/>
  <c r="F218" i="7"/>
  <c r="G218" i="7" s="1"/>
  <c r="H218" i="7" s="1"/>
  <c r="I218" i="7" s="1"/>
  <c r="J218" i="7" s="1"/>
  <c r="K218" i="7" s="1"/>
  <c r="L218" i="7" s="1"/>
  <c r="M218" i="7" s="1"/>
  <c r="N218" i="7" s="1"/>
  <c r="O218" i="7" s="1"/>
  <c r="P218" i="7" s="1"/>
  <c r="E218" i="7"/>
  <c r="D218" i="7"/>
  <c r="B218" i="7"/>
  <c r="D217" i="7"/>
  <c r="E217" i="7" s="1"/>
  <c r="F217" i="7" s="1"/>
  <c r="G217" i="7" s="1"/>
  <c r="H217" i="7" s="1"/>
  <c r="I217" i="7" s="1"/>
  <c r="J217" i="7" s="1"/>
  <c r="K217" i="7" s="1"/>
  <c r="L217" i="7" s="1"/>
  <c r="M217" i="7" s="1"/>
  <c r="N217" i="7" s="1"/>
  <c r="O217" i="7" s="1"/>
  <c r="P217" i="7" s="1"/>
  <c r="B217" i="7"/>
  <c r="E216" i="7"/>
  <c r="F216" i="7" s="1"/>
  <c r="D216" i="7"/>
  <c r="B216" i="7"/>
  <c r="AG214" i="7"/>
  <c r="AF214" i="7"/>
  <c r="AE214" i="7"/>
  <c r="AD214" i="7"/>
  <c r="AC214" i="7"/>
  <c r="AB214" i="7"/>
  <c r="AA214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F214" i="7"/>
  <c r="E214" i="7"/>
  <c r="D214" i="7"/>
  <c r="C214" i="7"/>
  <c r="B214" i="7"/>
  <c r="AH107" i="7"/>
  <c r="AI107" i="7" s="1"/>
  <c r="AH106" i="7"/>
  <c r="AI106" i="7" s="1"/>
  <c r="AH105" i="7"/>
  <c r="AI105" i="7" s="1"/>
  <c r="AH104" i="7"/>
  <c r="AI104" i="7" s="1"/>
  <c r="AH103" i="7"/>
  <c r="AI103" i="7" s="1"/>
  <c r="AH102" i="7"/>
  <c r="AI102" i="7" s="1"/>
  <c r="AH101" i="7"/>
  <c r="AI101" i="7" s="1"/>
  <c r="AH100" i="7"/>
  <c r="AI100" i="7" s="1"/>
  <c r="AH99" i="7"/>
  <c r="AI99" i="7" s="1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C98" i="7"/>
  <c r="AI97" i="7"/>
  <c r="AH97" i="7"/>
  <c r="AI96" i="7"/>
  <c r="AH96" i="7"/>
  <c r="AI95" i="7"/>
  <c r="AH95" i="7"/>
  <c r="AI94" i="7"/>
  <c r="AH94" i="7"/>
  <c r="AI93" i="7"/>
  <c r="AH93" i="7"/>
  <c r="AI92" i="7"/>
  <c r="AH92" i="7"/>
  <c r="AI91" i="7"/>
  <c r="AH91" i="7"/>
  <c r="AI90" i="7"/>
  <c r="AH90" i="7"/>
  <c r="AI89" i="7"/>
  <c r="AH89" i="7"/>
  <c r="AI86" i="7"/>
  <c r="AH86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S87" i="7" s="1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R87" i="7" s="1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C87" i="7" s="1"/>
  <c r="AI78" i="7"/>
  <c r="AH78" i="7"/>
  <c r="AI76" i="7"/>
  <c r="AH76" i="7"/>
  <c r="AG76" i="7"/>
  <c r="AI75" i="7"/>
  <c r="AH75" i="7"/>
  <c r="AI74" i="7"/>
  <c r="AH74" i="7"/>
  <c r="AI73" i="7"/>
  <c r="AH73" i="7"/>
  <c r="AG72" i="7"/>
  <c r="AF72" i="7"/>
  <c r="AE5" i="7" s="1"/>
  <c r="AE72" i="7"/>
  <c r="AD5" i="7" s="1"/>
  <c r="AD72" i="7"/>
  <c r="AC5" i="7" s="1"/>
  <c r="AC72" i="7"/>
  <c r="AB72" i="7"/>
  <c r="AA72" i="7"/>
  <c r="Z5" i="7" s="1"/>
  <c r="Z72" i="7"/>
  <c r="Y72" i="7"/>
  <c r="X5" i="7" s="1"/>
  <c r="X72" i="7"/>
  <c r="W72" i="7"/>
  <c r="V5" i="7" s="1"/>
  <c r="V72" i="7"/>
  <c r="U5" i="7" s="1"/>
  <c r="U72" i="7"/>
  <c r="T72" i="7"/>
  <c r="S72" i="7"/>
  <c r="R5" i="7" s="1"/>
  <c r="R72" i="7"/>
  <c r="R88" i="7" s="1"/>
  <c r="Q72" i="7"/>
  <c r="P5" i="7" s="1"/>
  <c r="P72" i="7"/>
  <c r="O5" i="7" s="1"/>
  <c r="O72" i="7"/>
  <c r="N72" i="7"/>
  <c r="M72" i="7"/>
  <c r="L72" i="7"/>
  <c r="K72" i="7"/>
  <c r="J5" i="7" s="1"/>
  <c r="J72" i="7"/>
  <c r="I5" i="7" s="1"/>
  <c r="I72" i="7"/>
  <c r="H5" i="7" s="1"/>
  <c r="H72" i="7"/>
  <c r="G5" i="7" s="1"/>
  <c r="G72" i="7"/>
  <c r="F72" i="7"/>
  <c r="E5" i="7" s="1"/>
  <c r="E72" i="7"/>
  <c r="D72" i="7"/>
  <c r="C72" i="7"/>
  <c r="B5" i="7" s="1"/>
  <c r="AI71" i="7"/>
  <c r="AH71" i="7"/>
  <c r="AI70" i="7"/>
  <c r="AH70" i="7"/>
  <c r="AI69" i="7"/>
  <c r="AH69" i="7"/>
  <c r="AI68" i="7"/>
  <c r="AH68" i="7"/>
  <c r="AI67" i="7"/>
  <c r="AH67" i="7"/>
  <c r="AI66" i="7"/>
  <c r="AH66" i="7"/>
  <c r="AI65" i="7"/>
  <c r="AH65" i="7"/>
  <c r="AI64" i="7"/>
  <c r="AH64" i="7"/>
  <c r="AI63" i="7"/>
  <c r="AH63" i="7"/>
  <c r="AI62" i="7"/>
  <c r="AH62" i="7"/>
  <c r="AI61" i="7"/>
  <c r="AH61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AI59" i="7"/>
  <c r="AH59" i="7"/>
  <c r="AI58" i="7"/>
  <c r="AH58" i="7"/>
  <c r="AI57" i="7"/>
  <c r="AH57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AI55" i="7"/>
  <c r="AH55" i="7"/>
  <c r="AI54" i="7"/>
  <c r="AH54" i="7"/>
  <c r="AI53" i="7"/>
  <c r="AH53" i="7"/>
  <c r="AI52" i="7"/>
  <c r="AH52" i="7"/>
  <c r="AI51" i="7"/>
  <c r="AH51" i="7"/>
  <c r="AI50" i="7"/>
  <c r="AH50" i="7"/>
  <c r="AI49" i="7"/>
  <c r="AH49" i="7"/>
  <c r="AI48" i="7"/>
  <c r="AH48" i="7"/>
  <c r="AI47" i="7"/>
  <c r="AH47" i="7"/>
  <c r="AI46" i="7"/>
  <c r="AH46" i="7"/>
  <c r="AI45" i="7"/>
  <c r="AH45" i="7"/>
  <c r="AI44" i="7"/>
  <c r="AH44" i="7"/>
  <c r="AI43" i="7"/>
  <c r="AH43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AI41" i="7"/>
  <c r="AH41" i="7"/>
  <c r="AI40" i="7"/>
  <c r="AH40" i="7"/>
  <c r="AI39" i="7"/>
  <c r="AH39" i="7"/>
  <c r="AG38" i="7"/>
  <c r="AG2" i="7" s="1"/>
  <c r="AF38" i="7"/>
  <c r="AE38" i="7"/>
  <c r="AD38" i="7"/>
  <c r="AC38" i="7"/>
  <c r="AB38" i="7"/>
  <c r="AA38" i="7"/>
  <c r="Z38" i="7"/>
  <c r="Y38" i="7"/>
  <c r="X38" i="7"/>
  <c r="W38" i="7"/>
  <c r="W77" i="7" s="1"/>
  <c r="W79" i="7" s="1"/>
  <c r="V38" i="7"/>
  <c r="U38" i="7"/>
  <c r="T38" i="7"/>
  <c r="S38" i="7"/>
  <c r="R38" i="7"/>
  <c r="Q38" i="7"/>
  <c r="Q77" i="7" s="1"/>
  <c r="Q79" i="7" s="1"/>
  <c r="P38" i="7"/>
  <c r="O38" i="7"/>
  <c r="N38" i="7"/>
  <c r="M38" i="7"/>
  <c r="L38" i="7"/>
  <c r="K38" i="7"/>
  <c r="J38" i="7"/>
  <c r="I38" i="7"/>
  <c r="H38" i="7"/>
  <c r="H77" i="7" s="1"/>
  <c r="H79" i="7" s="1"/>
  <c r="G38" i="7"/>
  <c r="F38" i="7"/>
  <c r="E38" i="7"/>
  <c r="D38" i="7"/>
  <c r="C38" i="7"/>
  <c r="AI36" i="7"/>
  <c r="AH36" i="7"/>
  <c r="AI35" i="7"/>
  <c r="AH35" i="7"/>
  <c r="AI34" i="7"/>
  <c r="AH34" i="7"/>
  <c r="AI33" i="7"/>
  <c r="AH33" i="7"/>
  <c r="AI32" i="7"/>
  <c r="AH32" i="7"/>
  <c r="AI31" i="7"/>
  <c r="AH31" i="7"/>
  <c r="AI30" i="7"/>
  <c r="AH30" i="7"/>
  <c r="AI29" i="7"/>
  <c r="AH29" i="7"/>
  <c r="AI28" i="7"/>
  <c r="AH28" i="7"/>
  <c r="AI27" i="7"/>
  <c r="AH27" i="7"/>
  <c r="AI26" i="7"/>
  <c r="AH26" i="7"/>
  <c r="AI25" i="7"/>
  <c r="AH25" i="7"/>
  <c r="AI24" i="7"/>
  <c r="AH24" i="7"/>
  <c r="AI23" i="7"/>
  <c r="AH23" i="7"/>
  <c r="AI22" i="7"/>
  <c r="AH22" i="7"/>
  <c r="AI21" i="7"/>
  <c r="AH21" i="7"/>
  <c r="AI20" i="7"/>
  <c r="AH20" i="7"/>
  <c r="AI19" i="7"/>
  <c r="AH19" i="7"/>
  <c r="AI18" i="7"/>
  <c r="AH18" i="7"/>
  <c r="AI17" i="7"/>
  <c r="AH17" i="7"/>
  <c r="AI16" i="7"/>
  <c r="AH16" i="7"/>
  <c r="AI15" i="7"/>
  <c r="AH15" i="7"/>
  <c r="AI14" i="7"/>
  <c r="AH14" i="7"/>
  <c r="AI13" i="7"/>
  <c r="AH13" i="7"/>
  <c r="AI12" i="7"/>
  <c r="AH12" i="7"/>
  <c r="AI11" i="7"/>
  <c r="AH11" i="7"/>
  <c r="W5" i="7"/>
  <c r="N5" i="7"/>
  <c r="M5" i="7"/>
  <c r="F5" i="7"/>
  <c r="AG4" i="7"/>
  <c r="K4" i="7"/>
  <c r="B4" i="7"/>
  <c r="AF101" i="4"/>
  <c r="AF39" i="4"/>
  <c r="AF37" i="4"/>
  <c r="AE101" i="4"/>
  <c r="AE37" i="4"/>
  <c r="AD37" i="4"/>
  <c r="AD101" i="4"/>
  <c r="AC37" i="4"/>
  <c r="AB37" i="4"/>
  <c r="L37" i="4"/>
  <c r="M37" i="4"/>
  <c r="N37" i="4"/>
  <c r="O37" i="4"/>
  <c r="P37" i="4"/>
  <c r="R37" i="4"/>
  <c r="S37" i="4"/>
  <c r="U37" i="4"/>
  <c r="V37" i="4"/>
  <c r="W37" i="4"/>
  <c r="X37" i="4"/>
  <c r="Y37" i="4"/>
  <c r="Z37" i="4"/>
  <c r="AA37" i="4"/>
  <c r="B4" i="6"/>
  <c r="S235" i="6" s="1"/>
  <c r="B4" i="4"/>
  <c r="AF263" i="6"/>
  <c r="AE263" i="6"/>
  <c r="AD263" i="6"/>
  <c r="AC263" i="6"/>
  <c r="AB263" i="6"/>
  <c r="AA263" i="6"/>
  <c r="Z263" i="6"/>
  <c r="Y263" i="6"/>
  <c r="X263" i="6"/>
  <c r="W263" i="6"/>
  <c r="V263" i="6"/>
  <c r="U263" i="6"/>
  <c r="T263" i="6"/>
  <c r="S263" i="6"/>
  <c r="R263" i="6"/>
  <c r="Q263" i="6"/>
  <c r="P263" i="6"/>
  <c r="O263" i="6"/>
  <c r="N263" i="6"/>
  <c r="M263" i="6"/>
  <c r="L263" i="6"/>
  <c r="K263" i="6"/>
  <c r="J263" i="6"/>
  <c r="I263" i="6"/>
  <c r="H263" i="6"/>
  <c r="G263" i="6"/>
  <c r="F263" i="6"/>
  <c r="E263" i="6"/>
  <c r="D263" i="6"/>
  <c r="C263" i="6"/>
  <c r="B263" i="6"/>
  <c r="A263" i="6"/>
  <c r="AF262" i="6"/>
  <c r="AE262" i="6"/>
  <c r="AD262" i="6"/>
  <c r="AC262" i="6"/>
  <c r="AB262" i="6"/>
  <c r="AA262" i="6"/>
  <c r="Z262" i="6"/>
  <c r="Y262" i="6"/>
  <c r="X262" i="6"/>
  <c r="W262" i="6"/>
  <c r="V262" i="6"/>
  <c r="U262" i="6"/>
  <c r="T262" i="6"/>
  <c r="S262" i="6"/>
  <c r="R262" i="6"/>
  <c r="Q262" i="6"/>
  <c r="P262" i="6"/>
  <c r="O262" i="6"/>
  <c r="N262" i="6"/>
  <c r="M262" i="6"/>
  <c r="L262" i="6"/>
  <c r="K262" i="6"/>
  <c r="J262" i="6"/>
  <c r="I262" i="6"/>
  <c r="H262" i="6"/>
  <c r="G262" i="6"/>
  <c r="F262" i="6"/>
  <c r="E262" i="6"/>
  <c r="D262" i="6"/>
  <c r="C262" i="6"/>
  <c r="B262" i="6"/>
  <c r="A262" i="6"/>
  <c r="AF261" i="6"/>
  <c r="AE261" i="6"/>
  <c r="AD261" i="6"/>
  <c r="AC261" i="6"/>
  <c r="AB261" i="6"/>
  <c r="AA261" i="6"/>
  <c r="Z261" i="6"/>
  <c r="Y261" i="6"/>
  <c r="X261" i="6"/>
  <c r="W261" i="6"/>
  <c r="V261" i="6"/>
  <c r="U261" i="6"/>
  <c r="T261" i="6"/>
  <c r="S261" i="6"/>
  <c r="R261" i="6"/>
  <c r="Q261" i="6"/>
  <c r="P261" i="6"/>
  <c r="O261" i="6"/>
  <c r="N261" i="6"/>
  <c r="M261" i="6"/>
  <c r="L261" i="6"/>
  <c r="K261" i="6"/>
  <c r="J261" i="6"/>
  <c r="I261" i="6"/>
  <c r="H261" i="6"/>
  <c r="G261" i="6"/>
  <c r="F261" i="6"/>
  <c r="E261" i="6"/>
  <c r="D261" i="6"/>
  <c r="C261" i="6"/>
  <c r="B261" i="6"/>
  <c r="A261" i="6"/>
  <c r="AF260" i="6"/>
  <c r="AE260" i="6"/>
  <c r="AD260" i="6"/>
  <c r="AC260" i="6"/>
  <c r="AB260" i="6"/>
  <c r="AA260" i="6"/>
  <c r="Z260" i="6"/>
  <c r="Y260" i="6"/>
  <c r="X260" i="6"/>
  <c r="W260" i="6"/>
  <c r="V260" i="6"/>
  <c r="U260" i="6"/>
  <c r="T260" i="6"/>
  <c r="S260" i="6"/>
  <c r="R260" i="6"/>
  <c r="Q260" i="6"/>
  <c r="P260" i="6"/>
  <c r="O260" i="6"/>
  <c r="N260" i="6"/>
  <c r="M260" i="6"/>
  <c r="L260" i="6"/>
  <c r="K260" i="6"/>
  <c r="J260" i="6"/>
  <c r="I260" i="6"/>
  <c r="H260" i="6"/>
  <c r="G260" i="6"/>
  <c r="F260" i="6"/>
  <c r="E260" i="6"/>
  <c r="D260" i="6"/>
  <c r="C260" i="6"/>
  <c r="B260" i="6"/>
  <c r="A260" i="6"/>
  <c r="AE259" i="6"/>
  <c r="AD259" i="6"/>
  <c r="AC259" i="6"/>
  <c r="AB259" i="6"/>
  <c r="AA259" i="6"/>
  <c r="Z259" i="6"/>
  <c r="Y259" i="6"/>
  <c r="X259" i="6"/>
  <c r="W259" i="6"/>
  <c r="V259" i="6"/>
  <c r="U259" i="6"/>
  <c r="T259" i="6"/>
  <c r="S259" i="6"/>
  <c r="R259" i="6"/>
  <c r="Q259" i="6"/>
  <c r="P259" i="6"/>
  <c r="B259" i="6"/>
  <c r="S234" i="6"/>
  <c r="AG224" i="6"/>
  <c r="AF224" i="6"/>
  <c r="AE224" i="6"/>
  <c r="AD224" i="6"/>
  <c r="AC224" i="6"/>
  <c r="AB224" i="6"/>
  <c r="AA224" i="6"/>
  <c r="Z224" i="6"/>
  <c r="Y224" i="6"/>
  <c r="X224" i="6"/>
  <c r="W224" i="6"/>
  <c r="V224" i="6"/>
  <c r="U224" i="6"/>
  <c r="T224" i="6"/>
  <c r="S224" i="6"/>
  <c r="R224" i="6"/>
  <c r="Q224" i="6"/>
  <c r="C224" i="6"/>
  <c r="D223" i="6"/>
  <c r="C259" i="6" s="1"/>
  <c r="B223" i="6"/>
  <c r="AF259" i="6" s="1"/>
  <c r="D222" i="6"/>
  <c r="E222" i="6" s="1"/>
  <c r="F222" i="6" s="1"/>
  <c r="G222" i="6" s="1"/>
  <c r="H222" i="6" s="1"/>
  <c r="I222" i="6" s="1"/>
  <c r="J222" i="6" s="1"/>
  <c r="K222" i="6" s="1"/>
  <c r="L222" i="6" s="1"/>
  <c r="M222" i="6" s="1"/>
  <c r="N222" i="6" s="1"/>
  <c r="O222" i="6" s="1"/>
  <c r="P222" i="6" s="1"/>
  <c r="B222" i="6"/>
  <c r="D221" i="6"/>
  <c r="E221" i="6" s="1"/>
  <c r="F221" i="6" s="1"/>
  <c r="G221" i="6" s="1"/>
  <c r="H221" i="6" s="1"/>
  <c r="I221" i="6" s="1"/>
  <c r="J221" i="6" s="1"/>
  <c r="K221" i="6" s="1"/>
  <c r="L221" i="6" s="1"/>
  <c r="M221" i="6" s="1"/>
  <c r="N221" i="6" s="1"/>
  <c r="O221" i="6" s="1"/>
  <c r="P221" i="6" s="1"/>
  <c r="B221" i="6"/>
  <c r="D220" i="6"/>
  <c r="E220" i="6" s="1"/>
  <c r="F220" i="6" s="1"/>
  <c r="G220" i="6" s="1"/>
  <c r="H220" i="6" s="1"/>
  <c r="I220" i="6" s="1"/>
  <c r="J220" i="6" s="1"/>
  <c r="K220" i="6" s="1"/>
  <c r="L220" i="6" s="1"/>
  <c r="M220" i="6" s="1"/>
  <c r="N220" i="6" s="1"/>
  <c r="O220" i="6" s="1"/>
  <c r="P220" i="6" s="1"/>
  <c r="B220" i="6"/>
  <c r="D219" i="6"/>
  <c r="B219" i="6"/>
  <c r="D218" i="6"/>
  <c r="E218" i="6" s="1"/>
  <c r="F218" i="6" s="1"/>
  <c r="G218" i="6" s="1"/>
  <c r="H218" i="6" s="1"/>
  <c r="B218" i="6"/>
  <c r="AG216" i="6"/>
  <c r="AF216" i="6"/>
  <c r="AE216" i="6"/>
  <c r="AD216" i="6"/>
  <c r="AC216" i="6"/>
  <c r="AB216" i="6"/>
  <c r="AA216" i="6"/>
  <c r="Z216" i="6"/>
  <c r="Y216" i="6"/>
  <c r="X216" i="6"/>
  <c r="W216" i="6"/>
  <c r="V216" i="6"/>
  <c r="U216" i="6"/>
  <c r="T216" i="6"/>
  <c r="S216" i="6"/>
  <c r="R216" i="6"/>
  <c r="Q216" i="6"/>
  <c r="P216" i="6"/>
  <c r="O216" i="6"/>
  <c r="N216" i="6"/>
  <c r="M216" i="6"/>
  <c r="L216" i="6"/>
  <c r="K216" i="6"/>
  <c r="J216" i="6"/>
  <c r="I216" i="6"/>
  <c r="H216" i="6"/>
  <c r="G216" i="6"/>
  <c r="F216" i="6"/>
  <c r="E216" i="6"/>
  <c r="D216" i="6"/>
  <c r="C216" i="6"/>
  <c r="B216" i="6"/>
  <c r="S100" i="6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R100" i="6"/>
  <c r="Q100" i="6"/>
  <c r="D100" i="6"/>
  <c r="C100" i="6"/>
  <c r="B100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AF86" i="6"/>
  <c r="AE86" i="6"/>
  <c r="AD86" i="6"/>
  <c r="AC86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AF85" i="6"/>
  <c r="AE85" i="6"/>
  <c r="AD85" i="6"/>
  <c r="AC85" i="6"/>
  <c r="AB85" i="6"/>
  <c r="AA85" i="6"/>
  <c r="Z85" i="6"/>
  <c r="Y85" i="6"/>
  <c r="X85" i="6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H85" i="6"/>
  <c r="G85" i="6"/>
  <c r="F85" i="6"/>
  <c r="E85" i="6"/>
  <c r="D85" i="6"/>
  <c r="C85" i="6"/>
  <c r="B85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H84" i="6"/>
  <c r="G84" i="6"/>
  <c r="F84" i="6"/>
  <c r="E84" i="6"/>
  <c r="D84" i="6"/>
  <c r="C84" i="6"/>
  <c r="B84" i="6"/>
  <c r="AF83" i="6"/>
  <c r="AE83" i="6"/>
  <c r="AD83" i="6"/>
  <c r="AC83" i="6"/>
  <c r="AB83" i="6"/>
  <c r="AB89" i="6" s="1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AG78" i="6"/>
  <c r="AG74" i="6"/>
  <c r="AF74" i="6"/>
  <c r="AE74" i="6"/>
  <c r="AD74" i="6"/>
  <c r="AC74" i="6"/>
  <c r="AB5" i="6" s="1"/>
  <c r="AB74" i="6"/>
  <c r="AA74" i="6"/>
  <c r="Z74" i="6"/>
  <c r="Y74" i="6"/>
  <c r="X74" i="6"/>
  <c r="W74" i="6"/>
  <c r="V5" i="6" s="1"/>
  <c r="V74" i="6"/>
  <c r="U74" i="6"/>
  <c r="T5" i="6" s="1"/>
  <c r="T74" i="6"/>
  <c r="S74" i="6"/>
  <c r="R5" i="6" s="1"/>
  <c r="R74" i="6"/>
  <c r="Q74" i="6"/>
  <c r="P74" i="6"/>
  <c r="O74" i="6"/>
  <c r="N5" i="6" s="1"/>
  <c r="N74" i="6"/>
  <c r="M74" i="6"/>
  <c r="L5" i="6" s="1"/>
  <c r="L74" i="6"/>
  <c r="K74" i="6"/>
  <c r="J74" i="6"/>
  <c r="I74" i="6"/>
  <c r="H74" i="6"/>
  <c r="G74" i="6"/>
  <c r="F5" i="6" s="1"/>
  <c r="F74" i="6"/>
  <c r="E5" i="6" s="1"/>
  <c r="E74" i="6"/>
  <c r="D5" i="6" s="1"/>
  <c r="D74" i="6"/>
  <c r="C74" i="6"/>
  <c r="B74" i="6"/>
  <c r="AG62" i="6"/>
  <c r="AG4" i="6" s="1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AG57" i="6"/>
  <c r="AG58" i="6" s="1"/>
  <c r="AG3" i="6" s="1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G40" i="6"/>
  <c r="AF40" i="6"/>
  <c r="AF79" i="6" s="1"/>
  <c r="AF81" i="6" s="1"/>
  <c r="AE40" i="6"/>
  <c r="AE79" i="6" s="1"/>
  <c r="AE81" i="6" s="1"/>
  <c r="AD40" i="6"/>
  <c r="AD79" i="6" s="1"/>
  <c r="AD81" i="6" s="1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E79" i="6" s="1"/>
  <c r="E81" i="6" s="1"/>
  <c r="D40" i="6"/>
  <c r="C40" i="6"/>
  <c r="B40" i="6"/>
  <c r="AI11" i="6"/>
  <c r="AH11" i="6"/>
  <c r="AE5" i="6"/>
  <c r="AD5" i="6"/>
  <c r="AC5" i="6"/>
  <c r="AA5" i="6"/>
  <c r="Y5" i="6"/>
  <c r="X5" i="6"/>
  <c r="U5" i="6"/>
  <c r="Q5" i="6"/>
  <c r="P5" i="6"/>
  <c r="M5" i="6"/>
  <c r="I5" i="6"/>
  <c r="H5" i="6"/>
  <c r="K4" i="6"/>
  <c r="AG2" i="6"/>
  <c r="AA101" i="4"/>
  <c r="Z101" i="4"/>
  <c r="E4" i="6"/>
  <c r="E4" i="7"/>
  <c r="F221" i="7" l="1"/>
  <c r="D257" i="7"/>
  <c r="U87" i="7"/>
  <c r="AB79" i="6"/>
  <c r="AB81" i="6" s="1"/>
  <c r="AB90" i="6"/>
  <c r="AI83" i="7"/>
  <c r="B224" i="6"/>
  <c r="AG6" i="7"/>
  <c r="AH87" i="6"/>
  <c r="AI87" i="6"/>
  <c r="Z77" i="7"/>
  <c r="Z79" i="7" s="1"/>
  <c r="C257" i="7"/>
  <c r="AF90" i="6"/>
  <c r="AH86" i="6"/>
  <c r="AI86" i="6"/>
  <c r="AG77" i="7"/>
  <c r="AH60" i="7"/>
  <c r="AF89" i="6"/>
  <c r="AH85" i="6"/>
  <c r="AI85" i="6"/>
  <c r="Q87" i="7"/>
  <c r="Q80" i="7" s="1"/>
  <c r="Y87" i="7"/>
  <c r="M79" i="6"/>
  <c r="M81" i="6" s="1"/>
  <c r="AH44" i="6"/>
  <c r="AI44" i="6"/>
  <c r="AH62" i="6"/>
  <c r="AI62" i="6"/>
  <c r="AF5" i="6"/>
  <c r="AH74" i="6"/>
  <c r="AI74" i="6"/>
  <c r="AH84" i="6"/>
  <c r="AI84" i="6"/>
  <c r="B222" i="7"/>
  <c r="AH40" i="6"/>
  <c r="AI40" i="6"/>
  <c r="AH58" i="6"/>
  <c r="AI58" i="6"/>
  <c r="AH83" i="6"/>
  <c r="AI83" i="6"/>
  <c r="K87" i="7"/>
  <c r="AE89" i="6"/>
  <c r="AE90" i="6" s="1"/>
  <c r="AG6" i="6"/>
  <c r="J89" i="6"/>
  <c r="R89" i="6"/>
  <c r="R90" i="6" s="1"/>
  <c r="Z89" i="6"/>
  <c r="Z90" i="6" s="1"/>
  <c r="AG79" i="6"/>
  <c r="AC89" i="6"/>
  <c r="D224" i="6"/>
  <c r="U79" i="6"/>
  <c r="U81" i="6" s="1"/>
  <c r="AC79" i="6"/>
  <c r="AC81" i="6" s="1"/>
  <c r="F89" i="6"/>
  <c r="N89" i="6"/>
  <c r="N90" i="6" s="1"/>
  <c r="V89" i="6"/>
  <c r="AD89" i="6"/>
  <c r="AD90" i="6" s="1"/>
  <c r="AG81" i="6"/>
  <c r="AF77" i="7"/>
  <c r="AF79" i="7" s="1"/>
  <c r="AE77" i="7"/>
  <c r="AE79" i="7" s="1"/>
  <c r="AI60" i="7"/>
  <c r="AD77" i="7"/>
  <c r="AD79" i="7" s="1"/>
  <c r="AV236" i="7" s="1"/>
  <c r="AC87" i="7"/>
  <c r="AC88" i="7" s="1"/>
  <c r="AC77" i="7"/>
  <c r="AC79" i="7" s="1"/>
  <c r="AC7" i="7" s="1"/>
  <c r="AB87" i="7"/>
  <c r="Y5" i="7"/>
  <c r="Z87" i="7"/>
  <c r="Z88" i="7" s="1"/>
  <c r="AA87" i="7"/>
  <c r="Y77" i="7"/>
  <c r="Y79" i="7" s="1"/>
  <c r="Y88" i="7"/>
  <c r="X77" i="7"/>
  <c r="X79" i="7" s="1"/>
  <c r="AP236" i="7" s="1"/>
  <c r="V77" i="7"/>
  <c r="V79" i="7" s="1"/>
  <c r="AN236" i="7" s="1"/>
  <c r="U77" i="7"/>
  <c r="U79" i="7" s="1"/>
  <c r="AM236" i="7" s="1"/>
  <c r="AI82" i="7"/>
  <c r="T87" i="7"/>
  <c r="R77" i="7"/>
  <c r="R79" i="7" s="1"/>
  <c r="R7" i="7" s="1"/>
  <c r="Q5" i="7"/>
  <c r="Q88" i="7"/>
  <c r="P77" i="7"/>
  <c r="P79" i="7" s="1"/>
  <c r="P7" i="7" s="1"/>
  <c r="O77" i="7"/>
  <c r="O79" i="7" s="1"/>
  <c r="AG236" i="7" s="1"/>
  <c r="N77" i="7"/>
  <c r="N79" i="7" s="1"/>
  <c r="M87" i="7"/>
  <c r="M77" i="7"/>
  <c r="M79" i="7" s="1"/>
  <c r="M80" i="7" s="1"/>
  <c r="B77" i="7"/>
  <c r="B79" i="7" s="1"/>
  <c r="L87" i="7"/>
  <c r="J77" i="7"/>
  <c r="J79" i="7" s="1"/>
  <c r="J87" i="7"/>
  <c r="J88" i="7" s="1"/>
  <c r="I87" i="7"/>
  <c r="I88" i="7" s="1"/>
  <c r="I77" i="7"/>
  <c r="I79" i="7" s="1"/>
  <c r="G77" i="7"/>
  <c r="G79" i="7" s="1"/>
  <c r="AI84" i="7"/>
  <c r="E87" i="7"/>
  <c r="F77" i="7"/>
  <c r="F79" i="7" s="1"/>
  <c r="E77" i="7"/>
  <c r="E79" i="7" s="1"/>
  <c r="W236" i="7" s="1"/>
  <c r="I79" i="6"/>
  <c r="I81" i="6" s="1"/>
  <c r="Q79" i="6"/>
  <c r="Q81" i="6" s="1"/>
  <c r="AI238" i="6" s="1"/>
  <c r="Y79" i="6"/>
  <c r="Y81" i="6" s="1"/>
  <c r="I89" i="6"/>
  <c r="I90" i="6" s="1"/>
  <c r="Q89" i="6"/>
  <c r="Q90" i="6" s="1"/>
  <c r="Y89" i="6"/>
  <c r="Y90" i="6" s="1"/>
  <c r="C79" i="6"/>
  <c r="C81" i="6" s="1"/>
  <c r="C7" i="6" s="1"/>
  <c r="K79" i="6"/>
  <c r="K81" i="6" s="1"/>
  <c r="K82" i="6" s="1"/>
  <c r="S79" i="6"/>
  <c r="S81" i="6" s="1"/>
  <c r="AA79" i="6"/>
  <c r="AA81" i="6" s="1"/>
  <c r="C89" i="6"/>
  <c r="C90" i="6" s="1"/>
  <c r="K89" i="6"/>
  <c r="K90" i="6" s="1"/>
  <c r="S89" i="6"/>
  <c r="S90" i="6" s="1"/>
  <c r="AA89" i="6"/>
  <c r="E89" i="6"/>
  <c r="M89" i="6"/>
  <c r="M82" i="6" s="1"/>
  <c r="U89" i="6"/>
  <c r="J5" i="6"/>
  <c r="D89" i="6"/>
  <c r="D90" i="6" s="1"/>
  <c r="L89" i="6"/>
  <c r="L90" i="6" s="1"/>
  <c r="T89" i="6"/>
  <c r="T90" i="6" s="1"/>
  <c r="AA90" i="6"/>
  <c r="Z5" i="6"/>
  <c r="F79" i="6"/>
  <c r="F81" i="6" s="1"/>
  <c r="F7" i="6" s="1"/>
  <c r="N79" i="6"/>
  <c r="N81" i="6" s="1"/>
  <c r="N7" i="6" s="1"/>
  <c r="V79" i="6"/>
  <c r="V81" i="6" s="1"/>
  <c r="AN238" i="6" s="1"/>
  <c r="B5" i="6"/>
  <c r="J90" i="6"/>
  <c r="AH84" i="7"/>
  <c r="D87" i="7"/>
  <c r="AI56" i="7"/>
  <c r="AI37" i="7"/>
  <c r="AI42" i="7"/>
  <c r="AH37" i="7"/>
  <c r="AI72" i="7"/>
  <c r="AH82" i="7"/>
  <c r="B87" i="7"/>
  <c r="B88" i="7" s="1"/>
  <c r="H4" i="7"/>
  <c r="U7" i="7"/>
  <c r="X236" i="7"/>
  <c r="F7" i="7"/>
  <c r="AF236" i="7"/>
  <c r="N7" i="7"/>
  <c r="Y236" i="7"/>
  <c r="G7" i="7"/>
  <c r="AO236" i="7"/>
  <c r="W7" i="7"/>
  <c r="AW236" i="7"/>
  <c r="AE7" i="7"/>
  <c r="H7" i="7"/>
  <c r="Z236" i="7"/>
  <c r="AF7" i="7"/>
  <c r="AX236" i="7"/>
  <c r="I7" i="7"/>
  <c r="AA236" i="7"/>
  <c r="I80" i="7"/>
  <c r="Y7" i="7"/>
  <c r="AQ236" i="7"/>
  <c r="Y80" i="7"/>
  <c r="AB236" i="7"/>
  <c r="J7" i="7"/>
  <c r="J80" i="7"/>
  <c r="AJ236" i="7"/>
  <c r="AR236" i="7"/>
  <c r="Z7" i="7"/>
  <c r="Z80" i="7"/>
  <c r="S5" i="7"/>
  <c r="T88" i="7"/>
  <c r="G216" i="7"/>
  <c r="F98" i="7"/>
  <c r="F222" i="7"/>
  <c r="E88" i="7"/>
  <c r="D5" i="7"/>
  <c r="M88" i="7"/>
  <c r="L5" i="7"/>
  <c r="U88" i="7"/>
  <c r="T5" i="7"/>
  <c r="AB5" i="7"/>
  <c r="F87" i="7"/>
  <c r="F88" i="7" s="1"/>
  <c r="N87" i="7"/>
  <c r="N88" i="7" s="1"/>
  <c r="V87" i="7"/>
  <c r="V88" i="7" s="1"/>
  <c r="AD87" i="7"/>
  <c r="AD88" i="7" s="1"/>
  <c r="C88" i="7"/>
  <c r="S233" i="7"/>
  <c r="D233" i="7"/>
  <c r="G87" i="7"/>
  <c r="G80" i="7" s="1"/>
  <c r="O87" i="7"/>
  <c r="O88" i="7" s="1"/>
  <c r="W87" i="7"/>
  <c r="W80" i="7" s="1"/>
  <c r="AE87" i="7"/>
  <c r="AE88" i="7" s="1"/>
  <c r="AA5" i="7"/>
  <c r="AB88" i="7"/>
  <c r="H87" i="7"/>
  <c r="H88" i="7" s="1"/>
  <c r="P87" i="7"/>
  <c r="P88" i="7" s="1"/>
  <c r="X87" i="7"/>
  <c r="X88" i="7" s="1"/>
  <c r="AF87" i="7"/>
  <c r="AF88" i="7" s="1"/>
  <c r="K88" i="7"/>
  <c r="C5" i="7"/>
  <c r="D88" i="7"/>
  <c r="AH42" i="7"/>
  <c r="AH81" i="7"/>
  <c r="K5" i="7"/>
  <c r="L88" i="7"/>
  <c r="AI38" i="7"/>
  <c r="AH38" i="7"/>
  <c r="AI81" i="7"/>
  <c r="S88" i="7"/>
  <c r="C77" i="7"/>
  <c r="C79" i="7" s="1"/>
  <c r="K77" i="7"/>
  <c r="K79" i="7" s="1"/>
  <c r="S77" i="7"/>
  <c r="S79" i="7" s="1"/>
  <c r="AA77" i="7"/>
  <c r="AA79" i="7" s="1"/>
  <c r="AH56" i="7"/>
  <c r="AH72" i="7"/>
  <c r="AG79" i="7"/>
  <c r="AH83" i="7"/>
  <c r="D222" i="7"/>
  <c r="Q7" i="7"/>
  <c r="AI236" i="7"/>
  <c r="D77" i="7"/>
  <c r="D79" i="7" s="1"/>
  <c r="L77" i="7"/>
  <c r="L79" i="7" s="1"/>
  <c r="T77" i="7"/>
  <c r="T79" i="7" s="1"/>
  <c r="AB77" i="7"/>
  <c r="AB79" i="7" s="1"/>
  <c r="AI85" i="7"/>
  <c r="AA88" i="7"/>
  <c r="E98" i="7"/>
  <c r="E222" i="7"/>
  <c r="D98" i="7"/>
  <c r="AH85" i="7"/>
  <c r="C5" i="6"/>
  <c r="K5" i="6"/>
  <c r="S5" i="6"/>
  <c r="O89" i="6"/>
  <c r="W89" i="6"/>
  <c r="W90" i="6" s="1"/>
  <c r="H89" i="6"/>
  <c r="H90" i="6" s="1"/>
  <c r="P89" i="6"/>
  <c r="P90" i="6" s="1"/>
  <c r="X89" i="6"/>
  <c r="X90" i="6" s="1"/>
  <c r="G5" i="6"/>
  <c r="O5" i="6"/>
  <c r="W5" i="6"/>
  <c r="J79" i="6"/>
  <c r="J81" i="6" s="1"/>
  <c r="J82" i="6" s="1"/>
  <c r="R79" i="6"/>
  <c r="R81" i="6" s="1"/>
  <c r="R7" i="6" s="1"/>
  <c r="Z79" i="6"/>
  <c r="Z81" i="6" s="1"/>
  <c r="Z7" i="6" s="1"/>
  <c r="D79" i="6"/>
  <c r="D81" i="6" s="1"/>
  <c r="D7" i="6" s="1"/>
  <c r="L79" i="6"/>
  <c r="L81" i="6" s="1"/>
  <c r="AD238" i="6" s="1"/>
  <c r="T79" i="6"/>
  <c r="T81" i="6" s="1"/>
  <c r="T7" i="6" s="1"/>
  <c r="G79" i="6"/>
  <c r="G81" i="6" s="1"/>
  <c r="O79" i="6"/>
  <c r="O81" i="6" s="1"/>
  <c r="W79" i="6"/>
  <c r="W81" i="6" s="1"/>
  <c r="W7" i="6" s="1"/>
  <c r="H79" i="6"/>
  <c r="H81" i="6" s="1"/>
  <c r="H82" i="6" s="1"/>
  <c r="P79" i="6"/>
  <c r="P81" i="6" s="1"/>
  <c r="AH238" i="6" s="1"/>
  <c r="X79" i="6"/>
  <c r="X81" i="6" s="1"/>
  <c r="H4" i="6"/>
  <c r="W238" i="6"/>
  <c r="E7" i="6"/>
  <c r="E82" i="6"/>
  <c r="AV238" i="6"/>
  <c r="AD7" i="6"/>
  <c r="I218" i="6"/>
  <c r="AU238" i="6"/>
  <c r="AC7" i="6"/>
  <c r="AC82" i="6"/>
  <c r="F82" i="6"/>
  <c r="Y82" i="6"/>
  <c r="Y7" i="6"/>
  <c r="AQ238" i="6"/>
  <c r="AM238" i="6"/>
  <c r="U7" i="6"/>
  <c r="U82" i="6"/>
  <c r="AF238" i="6"/>
  <c r="N82" i="6"/>
  <c r="I82" i="6"/>
  <c r="I7" i="6"/>
  <c r="AA238" i="6"/>
  <c r="Z82" i="6"/>
  <c r="E90" i="6"/>
  <c r="U90" i="6"/>
  <c r="AC90" i="6"/>
  <c r="AF82" i="6"/>
  <c r="AF7" i="6"/>
  <c r="AX238" i="6"/>
  <c r="AA82" i="6"/>
  <c r="AA7" i="6"/>
  <c r="AS238" i="6"/>
  <c r="V90" i="6"/>
  <c r="AE238" i="6"/>
  <c r="M7" i="6"/>
  <c r="AW238" i="6"/>
  <c r="AE82" i="6"/>
  <c r="AE7" i="6"/>
  <c r="C82" i="6"/>
  <c r="S7" i="6"/>
  <c r="AK238" i="6"/>
  <c r="F90" i="6"/>
  <c r="AB7" i="6"/>
  <c r="AT238" i="6"/>
  <c r="AB82" i="6"/>
  <c r="O90" i="6"/>
  <c r="B79" i="6"/>
  <c r="D235" i="6"/>
  <c r="E219" i="6"/>
  <c r="E223" i="6"/>
  <c r="G89" i="6"/>
  <c r="G90" i="6" s="1"/>
  <c r="B89" i="6"/>
  <c r="Y101" i="4"/>
  <c r="X101" i="4"/>
  <c r="W101" i="4"/>
  <c r="V101" i="4"/>
  <c r="U101" i="4"/>
  <c r="S101" i="4"/>
  <c r="R101" i="4"/>
  <c r="Q101" i="4"/>
  <c r="P101" i="4"/>
  <c r="E80" i="7" l="1"/>
  <c r="AH89" i="6"/>
  <c r="AI89" i="6"/>
  <c r="X238" i="6"/>
  <c r="N80" i="7"/>
  <c r="AC238" i="6"/>
  <c r="M90" i="6"/>
  <c r="K7" i="6"/>
  <c r="AH236" i="7"/>
  <c r="X82" i="6"/>
  <c r="R80" i="7"/>
  <c r="V7" i="7"/>
  <c r="E7" i="7"/>
  <c r="AH79" i="6"/>
  <c r="AI79" i="6"/>
  <c r="G221" i="7"/>
  <c r="E257" i="7"/>
  <c r="O82" i="6"/>
  <c r="S82" i="6"/>
  <c r="AD82" i="6"/>
  <c r="Q82" i="6"/>
  <c r="V82" i="6"/>
  <c r="AG238" i="6"/>
  <c r="Q7" i="6"/>
  <c r="L82" i="6"/>
  <c r="AR238" i="6"/>
  <c r="L7" i="6"/>
  <c r="U238" i="6"/>
  <c r="O7" i="6"/>
  <c r="J7" i="6"/>
  <c r="V238" i="6"/>
  <c r="V7" i="6"/>
  <c r="AB238" i="6"/>
  <c r="AU236" i="7"/>
  <c r="AD7" i="7"/>
  <c r="AC80" i="7"/>
  <c r="X7" i="7"/>
  <c r="U80" i="7"/>
  <c r="O80" i="7"/>
  <c r="O7" i="7"/>
  <c r="M7" i="7"/>
  <c r="AE236" i="7"/>
  <c r="C231" i="7"/>
  <c r="G88" i="7"/>
  <c r="F80" i="7"/>
  <c r="Z238" i="6"/>
  <c r="H7" i="6"/>
  <c r="P82" i="6"/>
  <c r="AJ238" i="6"/>
  <c r="R82" i="6"/>
  <c r="D82" i="6"/>
  <c r="P7" i="6"/>
  <c r="C233" i="6"/>
  <c r="W82" i="6"/>
  <c r="AO238" i="6"/>
  <c r="B80" i="7"/>
  <c r="AB80" i="7"/>
  <c r="AB7" i="7"/>
  <c r="AT236" i="7"/>
  <c r="X80" i="7"/>
  <c r="AD80" i="7"/>
  <c r="T80" i="7"/>
  <c r="T7" i="7"/>
  <c r="AL236" i="7"/>
  <c r="AE80" i="7"/>
  <c r="AD236" i="7"/>
  <c r="L80" i="7"/>
  <c r="L7" i="7"/>
  <c r="AH87" i="7"/>
  <c r="AH77" i="7"/>
  <c r="D80" i="7"/>
  <c r="V236" i="7"/>
  <c r="D7" i="7"/>
  <c r="AA80" i="7"/>
  <c r="AA7" i="7"/>
  <c r="AS236" i="7"/>
  <c r="AI87" i="7"/>
  <c r="W88" i="7"/>
  <c r="T236" i="7"/>
  <c r="AH79" i="7"/>
  <c r="B7" i="7"/>
  <c r="AI79" i="7"/>
  <c r="P80" i="7"/>
  <c r="B231" i="7"/>
  <c r="K6" i="7" s="1"/>
  <c r="V80" i="7"/>
  <c r="AK236" i="7"/>
  <c r="S80" i="7"/>
  <c r="S7" i="7"/>
  <c r="AI77" i="7"/>
  <c r="AC236" i="7"/>
  <c r="K7" i="7"/>
  <c r="K80" i="7"/>
  <c r="AF80" i="7"/>
  <c r="C80" i="7"/>
  <c r="U236" i="7"/>
  <c r="C7" i="7"/>
  <c r="H216" i="7"/>
  <c r="G222" i="7"/>
  <c r="G98" i="7"/>
  <c r="H80" i="7"/>
  <c r="T82" i="6"/>
  <c r="Y238" i="6"/>
  <c r="AL238" i="6"/>
  <c r="G7" i="6"/>
  <c r="G82" i="6"/>
  <c r="B233" i="6"/>
  <c r="X7" i="6"/>
  <c r="AP238" i="6"/>
  <c r="E100" i="6"/>
  <c r="D259" i="6"/>
  <c r="F223" i="6"/>
  <c r="J218" i="6"/>
  <c r="F219" i="6"/>
  <c r="E224" i="6"/>
  <c r="B81" i="6"/>
  <c r="B90" i="6"/>
  <c r="AH88" i="7" l="1"/>
  <c r="F257" i="7"/>
  <c r="H221" i="7"/>
  <c r="AH81" i="6"/>
  <c r="AI81" i="6"/>
  <c r="AH90" i="6"/>
  <c r="AI90" i="6"/>
  <c r="K6" i="6"/>
  <c r="AH80" i="7"/>
  <c r="I216" i="7"/>
  <c r="H222" i="7"/>
  <c r="H98" i="7"/>
  <c r="A7" i="7"/>
  <c r="AI88" i="7"/>
  <c r="F100" i="6"/>
  <c r="E259" i="6"/>
  <c r="G223" i="6"/>
  <c r="K218" i="6"/>
  <c r="B7" i="6"/>
  <c r="A7" i="6" s="1"/>
  <c r="B82" i="6"/>
  <c r="T238" i="6"/>
  <c r="G219" i="6"/>
  <c r="F224" i="6"/>
  <c r="AH82" i="6" l="1"/>
  <c r="AI82" i="6"/>
  <c r="I221" i="7"/>
  <c r="G257" i="7"/>
  <c r="I98" i="7"/>
  <c r="J216" i="7"/>
  <c r="I222" i="7"/>
  <c r="L218" i="6"/>
  <c r="H219" i="6"/>
  <c r="G224" i="6"/>
  <c r="F259" i="6"/>
  <c r="H223" i="6"/>
  <c r="G100" i="6"/>
  <c r="H257" i="7" l="1"/>
  <c r="J221" i="7"/>
  <c r="J98" i="7"/>
  <c r="J222" i="7"/>
  <c r="K216" i="7"/>
  <c r="G259" i="6"/>
  <c r="I223" i="6"/>
  <c r="H100" i="6"/>
  <c r="I219" i="6"/>
  <c r="H224" i="6"/>
  <c r="M218" i="6"/>
  <c r="K221" i="7" l="1"/>
  <c r="I257" i="7"/>
  <c r="K98" i="7"/>
  <c r="K222" i="7"/>
  <c r="L216" i="7"/>
  <c r="N218" i="6"/>
  <c r="J219" i="6"/>
  <c r="I224" i="6"/>
  <c r="H259" i="6"/>
  <c r="J223" i="6"/>
  <c r="I100" i="6"/>
  <c r="J257" i="7" l="1"/>
  <c r="L221" i="7"/>
  <c r="L222" i="7"/>
  <c r="L98" i="7"/>
  <c r="M216" i="7"/>
  <c r="K219" i="6"/>
  <c r="J224" i="6"/>
  <c r="O218" i="6"/>
  <c r="K223" i="6"/>
  <c r="I259" i="6"/>
  <c r="J100" i="6"/>
  <c r="M221" i="7" l="1"/>
  <c r="K257" i="7"/>
  <c r="M98" i="7"/>
  <c r="M222" i="7"/>
  <c r="N216" i="7"/>
  <c r="J259" i="6"/>
  <c r="L223" i="6"/>
  <c r="K100" i="6"/>
  <c r="P218" i="6"/>
  <c r="L219" i="6"/>
  <c r="K224" i="6"/>
  <c r="N221" i="7" l="1"/>
  <c r="L257" i="7"/>
  <c r="O216" i="7"/>
  <c r="N98" i="7"/>
  <c r="N222" i="7"/>
  <c r="M219" i="6"/>
  <c r="L224" i="6"/>
  <c r="K259" i="6"/>
  <c r="M223" i="6"/>
  <c r="L100" i="6"/>
  <c r="M257" i="7" l="1"/>
  <c r="O221" i="7"/>
  <c r="P216" i="7"/>
  <c r="O222" i="7"/>
  <c r="O98" i="7"/>
  <c r="L259" i="6"/>
  <c r="N223" i="6"/>
  <c r="M100" i="6"/>
  <c r="N219" i="6"/>
  <c r="M224" i="6"/>
  <c r="N257" i="7" l="1"/>
  <c r="P221" i="7"/>
  <c r="O257" i="7" s="1"/>
  <c r="P98" i="7"/>
  <c r="P222" i="7"/>
  <c r="O219" i="6"/>
  <c r="N224" i="6"/>
  <c r="M259" i="6"/>
  <c r="O223" i="6"/>
  <c r="N100" i="6"/>
  <c r="AH98" i="7" l="1"/>
  <c r="AI98" i="7"/>
  <c r="N259" i="6"/>
  <c r="P223" i="6"/>
  <c r="O100" i="6"/>
  <c r="P219" i="6"/>
  <c r="P224" i="6" s="1"/>
  <c r="O224" i="6"/>
  <c r="O259" i="6" l="1"/>
  <c r="P100" i="6"/>
  <c r="AI100" i="6" l="1"/>
  <c r="AH100" i="6"/>
  <c r="N101" i="4"/>
  <c r="M101" i="4" l="1"/>
  <c r="D233" i="4" l="1"/>
  <c r="K4" i="4"/>
  <c r="AH11" i="4"/>
  <c r="AI11" i="4"/>
  <c r="AH12" i="4"/>
  <c r="AI12" i="4"/>
  <c r="AH13" i="4"/>
  <c r="AI13" i="4"/>
  <c r="AH14" i="4"/>
  <c r="AI14" i="4"/>
  <c r="AH15" i="4"/>
  <c r="AI15" i="4"/>
  <c r="AH16" i="4"/>
  <c r="AI16" i="4"/>
  <c r="AH17" i="4"/>
  <c r="AI17" i="4"/>
  <c r="AH18" i="4"/>
  <c r="AI18" i="4"/>
  <c r="AH19" i="4"/>
  <c r="AI19" i="4"/>
  <c r="AH20" i="4"/>
  <c r="AI20" i="4"/>
  <c r="AH21" i="4"/>
  <c r="AI21" i="4"/>
  <c r="AH22" i="4"/>
  <c r="AI22" i="4"/>
  <c r="AH23" i="4"/>
  <c r="AI23" i="4"/>
  <c r="AH24" i="4"/>
  <c r="AI24" i="4"/>
  <c r="AH25" i="4"/>
  <c r="AI25" i="4"/>
  <c r="AH26" i="4"/>
  <c r="AI26" i="4"/>
  <c r="AH27" i="4"/>
  <c r="AI27" i="4"/>
  <c r="AH28" i="4"/>
  <c r="AI28" i="4"/>
  <c r="AH29" i="4"/>
  <c r="AI29" i="4"/>
  <c r="AH30" i="4"/>
  <c r="AI30" i="4"/>
  <c r="AH31" i="4"/>
  <c r="AI31" i="4"/>
  <c r="AH32" i="4"/>
  <c r="AI32" i="4"/>
  <c r="AH33" i="4"/>
  <c r="AI33" i="4"/>
  <c r="AH34" i="4"/>
  <c r="AI34" i="4"/>
  <c r="AH35" i="4"/>
  <c r="AI35" i="4"/>
  <c r="AH36" i="4"/>
  <c r="AI36" i="4"/>
  <c r="AH37" i="4"/>
  <c r="AI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G2" i="4" s="1"/>
  <c r="AH39" i="4"/>
  <c r="AI39" i="4"/>
  <c r="AH40" i="4"/>
  <c r="AI40" i="4"/>
  <c r="AH41" i="4"/>
  <c r="AI41" i="4"/>
  <c r="B42" i="4"/>
  <c r="C42" i="4"/>
  <c r="C77" i="4" s="1"/>
  <c r="C79" i="4" s="1"/>
  <c r="U236" i="4" s="1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AG42" i="4"/>
  <c r="AH43" i="4"/>
  <c r="AI43" i="4"/>
  <c r="AH44" i="4"/>
  <c r="AI44" i="4"/>
  <c r="AH45" i="4"/>
  <c r="AI45" i="4"/>
  <c r="AH46" i="4"/>
  <c r="AI46" i="4"/>
  <c r="AH47" i="4"/>
  <c r="AI47" i="4"/>
  <c r="AH48" i="4"/>
  <c r="AI48" i="4"/>
  <c r="AH49" i="4"/>
  <c r="AI49" i="4"/>
  <c r="AH50" i="4"/>
  <c r="AI50" i="4"/>
  <c r="AH51" i="4"/>
  <c r="AI51" i="4"/>
  <c r="AH52" i="4"/>
  <c r="AI52" i="4"/>
  <c r="AH53" i="4"/>
  <c r="AI53" i="4"/>
  <c r="AH54" i="4"/>
  <c r="AI54" i="4"/>
  <c r="AH55" i="4"/>
  <c r="AI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H57" i="4"/>
  <c r="AI57" i="4"/>
  <c r="AH58" i="4"/>
  <c r="AI58" i="4"/>
  <c r="AH59" i="4"/>
  <c r="AI59" i="4"/>
  <c r="B60" i="4"/>
  <c r="C60" i="4"/>
  <c r="D60" i="4"/>
  <c r="D77" i="4" s="1"/>
  <c r="D79" i="4" s="1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T77" i="4" s="1"/>
  <c r="T79" i="4" s="1"/>
  <c r="T7" i="4" s="1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G4" i="4" s="1"/>
  <c r="AH61" i="4"/>
  <c r="AI61" i="4"/>
  <c r="AH62" i="4"/>
  <c r="AI62" i="4"/>
  <c r="AH63" i="4"/>
  <c r="AI63" i="4"/>
  <c r="AH64" i="4"/>
  <c r="AI64" i="4"/>
  <c r="AH65" i="4"/>
  <c r="AI65" i="4"/>
  <c r="AH66" i="4"/>
  <c r="AI66" i="4"/>
  <c r="AH67" i="4"/>
  <c r="AI67" i="4"/>
  <c r="AH68" i="4"/>
  <c r="AI68" i="4"/>
  <c r="AH69" i="4"/>
  <c r="AI69" i="4"/>
  <c r="AH70" i="4"/>
  <c r="AI70" i="4"/>
  <c r="AH71" i="4"/>
  <c r="AI71" i="4"/>
  <c r="B72" i="4"/>
  <c r="C72" i="4"/>
  <c r="B5" i="4" s="1"/>
  <c r="D72" i="4"/>
  <c r="C5" i="4" s="1"/>
  <c r="E72" i="4"/>
  <c r="D5" i="4" s="1"/>
  <c r="F72" i="4"/>
  <c r="E5" i="4" s="1"/>
  <c r="G72" i="4"/>
  <c r="F5" i="4" s="1"/>
  <c r="H72" i="4"/>
  <c r="G5" i="4" s="1"/>
  <c r="I72" i="4"/>
  <c r="H5" i="4" s="1"/>
  <c r="J72" i="4"/>
  <c r="K72" i="4"/>
  <c r="J5" i="4" s="1"/>
  <c r="L72" i="4"/>
  <c r="K5" i="4" s="1"/>
  <c r="M72" i="4"/>
  <c r="L5" i="4" s="1"/>
  <c r="N72" i="4"/>
  <c r="M5" i="4" s="1"/>
  <c r="O72" i="4"/>
  <c r="N5" i="4" s="1"/>
  <c r="P72" i="4"/>
  <c r="O5" i="4" s="1"/>
  <c r="Q72" i="4"/>
  <c r="P5" i="4" s="1"/>
  <c r="R72" i="4"/>
  <c r="S72" i="4"/>
  <c r="R5" i="4" s="1"/>
  <c r="T72" i="4"/>
  <c r="S5" i="4" s="1"/>
  <c r="U72" i="4"/>
  <c r="T5" i="4" s="1"/>
  <c r="V72" i="4"/>
  <c r="U5" i="4" s="1"/>
  <c r="W72" i="4"/>
  <c r="V5" i="4" s="1"/>
  <c r="X72" i="4"/>
  <c r="W5" i="4" s="1"/>
  <c r="Y72" i="4"/>
  <c r="X5" i="4" s="1"/>
  <c r="Z72" i="4"/>
  <c r="AA72" i="4"/>
  <c r="Z5" i="4" s="1"/>
  <c r="AB72" i="4"/>
  <c r="AA5" i="4" s="1"/>
  <c r="AC72" i="4"/>
  <c r="AB5" i="4" s="1"/>
  <c r="AD72" i="4"/>
  <c r="AC5" i="4" s="1"/>
  <c r="AE72" i="4"/>
  <c r="AD5" i="4" s="1"/>
  <c r="AF72" i="4"/>
  <c r="AE5" i="4" s="1"/>
  <c r="AG72" i="4"/>
  <c r="AH73" i="4"/>
  <c r="AI73" i="4"/>
  <c r="AH74" i="4"/>
  <c r="AI74" i="4"/>
  <c r="AH75" i="4"/>
  <c r="AI75" i="4"/>
  <c r="AG76" i="4"/>
  <c r="AH76" i="4"/>
  <c r="AI76" i="4"/>
  <c r="AH78" i="4"/>
  <c r="AI78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AF81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AF82" i="4"/>
  <c r="AF87" i="4" s="1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AF83" i="4"/>
  <c r="B84" i="4"/>
  <c r="C84" i="4"/>
  <c r="D84" i="4"/>
  <c r="D87" i="4" s="1"/>
  <c r="E84" i="4"/>
  <c r="F84" i="4"/>
  <c r="G84" i="4"/>
  <c r="H84" i="4"/>
  <c r="I84" i="4"/>
  <c r="J84" i="4"/>
  <c r="K84" i="4"/>
  <c r="L84" i="4"/>
  <c r="L87" i="4" s="1"/>
  <c r="M84" i="4"/>
  <c r="N84" i="4"/>
  <c r="O84" i="4"/>
  <c r="P84" i="4"/>
  <c r="Q84" i="4"/>
  <c r="R84" i="4"/>
  <c r="S84" i="4"/>
  <c r="T84" i="4"/>
  <c r="T87" i="4" s="1"/>
  <c r="U84" i="4"/>
  <c r="V84" i="4"/>
  <c r="W84" i="4"/>
  <c r="X84" i="4"/>
  <c r="Y84" i="4"/>
  <c r="Z84" i="4"/>
  <c r="AA84" i="4"/>
  <c r="AB84" i="4"/>
  <c r="AC84" i="4"/>
  <c r="AD84" i="4"/>
  <c r="AE84" i="4"/>
  <c r="AF84" i="4"/>
  <c r="B85" i="4"/>
  <c r="C85" i="4"/>
  <c r="C87" i="4" s="1"/>
  <c r="D85" i="4"/>
  <c r="E85" i="4"/>
  <c r="F85" i="4"/>
  <c r="G85" i="4"/>
  <c r="H85" i="4"/>
  <c r="I85" i="4"/>
  <c r="J85" i="4"/>
  <c r="K85" i="4"/>
  <c r="K87" i="4" s="1"/>
  <c r="K88" i="4" s="1"/>
  <c r="L85" i="4"/>
  <c r="M85" i="4"/>
  <c r="M87" i="4" s="1"/>
  <c r="M88" i="4" s="1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AF85" i="4"/>
  <c r="AH86" i="4"/>
  <c r="AI86" i="4"/>
  <c r="B87" i="4"/>
  <c r="AH89" i="4"/>
  <c r="AI89" i="4"/>
  <c r="AH90" i="4"/>
  <c r="AI90" i="4"/>
  <c r="AH91" i="4"/>
  <c r="AI91" i="4"/>
  <c r="AH92" i="4"/>
  <c r="AI92" i="4"/>
  <c r="AH93" i="4"/>
  <c r="AI93" i="4"/>
  <c r="AH94" i="4"/>
  <c r="AI94" i="4"/>
  <c r="AH95" i="4"/>
  <c r="AI95" i="4"/>
  <c r="AH96" i="4"/>
  <c r="AI96" i="4"/>
  <c r="AH97" i="4"/>
  <c r="AI97" i="4"/>
  <c r="C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AF98" i="4"/>
  <c r="AH99" i="4"/>
  <c r="AI99" i="4" s="1"/>
  <c r="AH100" i="4"/>
  <c r="AI100" i="4" s="1"/>
  <c r="AH101" i="4"/>
  <c r="AI101" i="4" s="1"/>
  <c r="AH102" i="4"/>
  <c r="AI102" i="4" s="1"/>
  <c r="AH103" i="4"/>
  <c r="AI103" i="4" s="1"/>
  <c r="AH104" i="4"/>
  <c r="AI104" i="4" s="1"/>
  <c r="AH105" i="4"/>
  <c r="AI105" i="4" s="1"/>
  <c r="AH106" i="4"/>
  <c r="AI106" i="4" s="1"/>
  <c r="AH107" i="4"/>
  <c r="AI107" i="4" s="1"/>
  <c r="B214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AF214" i="4"/>
  <c r="AG214" i="4"/>
  <c r="B216" i="4"/>
  <c r="B98" i="4" s="1"/>
  <c r="D216" i="4"/>
  <c r="E216" i="4" s="1"/>
  <c r="B217" i="4"/>
  <c r="D217" i="4"/>
  <c r="E217" i="4" s="1"/>
  <c r="F217" i="4" s="1"/>
  <c r="G217" i="4" s="1"/>
  <c r="H217" i="4" s="1"/>
  <c r="I217" i="4" s="1"/>
  <c r="J217" i="4" s="1"/>
  <c r="K217" i="4" s="1"/>
  <c r="L217" i="4" s="1"/>
  <c r="M217" i="4" s="1"/>
  <c r="N217" i="4" s="1"/>
  <c r="O217" i="4" s="1"/>
  <c r="P217" i="4" s="1"/>
  <c r="B218" i="4"/>
  <c r="D218" i="4"/>
  <c r="E218" i="4" s="1"/>
  <c r="F218" i="4" s="1"/>
  <c r="G218" i="4" s="1"/>
  <c r="H218" i="4" s="1"/>
  <c r="I218" i="4" s="1"/>
  <c r="J218" i="4" s="1"/>
  <c r="K218" i="4" s="1"/>
  <c r="L218" i="4" s="1"/>
  <c r="M218" i="4" s="1"/>
  <c r="N218" i="4" s="1"/>
  <c r="O218" i="4" s="1"/>
  <c r="P218" i="4" s="1"/>
  <c r="B219" i="4"/>
  <c r="D219" i="4"/>
  <c r="E219" i="4" s="1"/>
  <c r="F219" i="4" s="1"/>
  <c r="G219" i="4" s="1"/>
  <c r="H219" i="4" s="1"/>
  <c r="I219" i="4" s="1"/>
  <c r="J219" i="4" s="1"/>
  <c r="K219" i="4" s="1"/>
  <c r="L219" i="4" s="1"/>
  <c r="M219" i="4" s="1"/>
  <c r="N219" i="4" s="1"/>
  <c r="O219" i="4" s="1"/>
  <c r="P219" i="4" s="1"/>
  <c r="B220" i="4"/>
  <c r="D220" i="4"/>
  <c r="E220" i="4" s="1"/>
  <c r="F220" i="4" s="1"/>
  <c r="G220" i="4" s="1"/>
  <c r="H220" i="4" s="1"/>
  <c r="I220" i="4" s="1"/>
  <c r="J220" i="4" s="1"/>
  <c r="K220" i="4" s="1"/>
  <c r="L220" i="4" s="1"/>
  <c r="M220" i="4" s="1"/>
  <c r="N220" i="4" s="1"/>
  <c r="O220" i="4" s="1"/>
  <c r="P220" i="4" s="1"/>
  <c r="B221" i="4"/>
  <c r="D221" i="4"/>
  <c r="E221" i="4" s="1"/>
  <c r="C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AF222" i="4"/>
  <c r="AG222" i="4"/>
  <c r="AG55" i="4" s="1"/>
  <c r="AG56" i="4" s="1"/>
  <c r="S232" i="4"/>
  <c r="B257" i="4"/>
  <c r="C257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AE257" i="4"/>
  <c r="AF257" i="4"/>
  <c r="A258" i="4"/>
  <c r="B258" i="4"/>
  <c r="C258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AF258" i="4"/>
  <c r="A259" i="4"/>
  <c r="B259" i="4"/>
  <c r="C259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AF259" i="4"/>
  <c r="A260" i="4"/>
  <c r="B260" i="4"/>
  <c r="C260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261" i="4"/>
  <c r="B261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AF261" i="4"/>
  <c r="E4" i="4"/>
  <c r="W87" i="4" l="1"/>
  <c r="W88" i="4" s="1"/>
  <c r="V87" i="4"/>
  <c r="N87" i="4"/>
  <c r="Z87" i="4"/>
  <c r="Y87" i="4"/>
  <c r="B222" i="4"/>
  <c r="AF88" i="4"/>
  <c r="AE87" i="4"/>
  <c r="AE88" i="4" s="1"/>
  <c r="AE77" i="4"/>
  <c r="AE79" i="4" s="1"/>
  <c r="AW236" i="4" s="1"/>
  <c r="AD87" i="4"/>
  <c r="AC87" i="4"/>
  <c r="AC88" i="4" s="1"/>
  <c r="AD77" i="4"/>
  <c r="AD79" i="4" s="1"/>
  <c r="AD7" i="4" s="1"/>
  <c r="AC77" i="4"/>
  <c r="AC79" i="4" s="1"/>
  <c r="AU236" i="4" s="1"/>
  <c r="AB87" i="4"/>
  <c r="AB77" i="4"/>
  <c r="AB79" i="4" s="1"/>
  <c r="AB7" i="4" s="1"/>
  <c r="AL236" i="4"/>
  <c r="AA87" i="4"/>
  <c r="AA88" i="4" s="1"/>
  <c r="AA77" i="4"/>
  <c r="AA79" i="4" s="1"/>
  <c r="AS236" i="4" s="1"/>
  <c r="Z88" i="4"/>
  <c r="Z77" i="4"/>
  <c r="Z79" i="4" s="1"/>
  <c r="AR236" i="4" s="1"/>
  <c r="Y77" i="4"/>
  <c r="Y79" i="4" s="1"/>
  <c r="Y7" i="4" s="1"/>
  <c r="X87" i="4"/>
  <c r="X88" i="4"/>
  <c r="W77" i="4"/>
  <c r="W79" i="4" s="1"/>
  <c r="W80" i="4" s="1"/>
  <c r="V77" i="4"/>
  <c r="V79" i="4" s="1"/>
  <c r="V7" i="4" s="1"/>
  <c r="U87" i="4"/>
  <c r="U88" i="4" s="1"/>
  <c r="U77" i="4"/>
  <c r="U79" i="4" s="1"/>
  <c r="U7" i="4" s="1"/>
  <c r="S87" i="4"/>
  <c r="S88" i="4" s="1"/>
  <c r="S77" i="4"/>
  <c r="S79" i="4" s="1"/>
  <c r="AK236" i="4" s="1"/>
  <c r="R87" i="4"/>
  <c r="R88" i="4" s="1"/>
  <c r="R77" i="4"/>
  <c r="R79" i="4" s="1"/>
  <c r="R80" i="4" s="1"/>
  <c r="Q87" i="4"/>
  <c r="Q88" i="4" s="1"/>
  <c r="Q77" i="4"/>
  <c r="Q79" i="4" s="1"/>
  <c r="Q7" i="4" s="1"/>
  <c r="P87" i="4"/>
  <c r="P77" i="4"/>
  <c r="P79" i="4" s="1"/>
  <c r="P7" i="4" s="1"/>
  <c r="V236" i="4"/>
  <c r="D7" i="4"/>
  <c r="O87" i="4"/>
  <c r="O88" i="4" s="1"/>
  <c r="O77" i="4"/>
  <c r="O79" i="4" s="1"/>
  <c r="AG236" i="4" s="1"/>
  <c r="AH60" i="4"/>
  <c r="N77" i="4"/>
  <c r="N79" i="4" s="1"/>
  <c r="N7" i="4" s="1"/>
  <c r="M77" i="4"/>
  <c r="M79" i="4" s="1"/>
  <c r="M7" i="4" s="1"/>
  <c r="AH42" i="4"/>
  <c r="L77" i="4"/>
  <c r="L79" i="4" s="1"/>
  <c r="AD236" i="4" s="1"/>
  <c r="K77" i="4"/>
  <c r="K79" i="4" s="1"/>
  <c r="AC236" i="4" s="1"/>
  <c r="J87" i="4"/>
  <c r="J88" i="4" s="1"/>
  <c r="I77" i="4"/>
  <c r="I79" i="4" s="1"/>
  <c r="AA236" i="4" s="1"/>
  <c r="I87" i="4"/>
  <c r="J77" i="4"/>
  <c r="J79" i="4" s="1"/>
  <c r="J7" i="4" s="1"/>
  <c r="H87" i="4"/>
  <c r="H77" i="4"/>
  <c r="H79" i="4" s="1"/>
  <c r="H7" i="4" s="1"/>
  <c r="AH81" i="4"/>
  <c r="AI56" i="4"/>
  <c r="AH56" i="4"/>
  <c r="AI60" i="4"/>
  <c r="F87" i="4"/>
  <c r="AH83" i="4"/>
  <c r="AI81" i="4"/>
  <c r="F77" i="4"/>
  <c r="F79" i="4" s="1"/>
  <c r="X236" i="4" s="1"/>
  <c r="G87" i="4"/>
  <c r="G88" i="4" s="1"/>
  <c r="G77" i="4"/>
  <c r="G79" i="4" s="1"/>
  <c r="G80" i="4" s="1"/>
  <c r="AI42" i="4"/>
  <c r="AH38" i="4"/>
  <c r="H4" i="4"/>
  <c r="S233" i="4"/>
  <c r="AH82" i="4"/>
  <c r="E87" i="4"/>
  <c r="AH72" i="4"/>
  <c r="AI72" i="4"/>
  <c r="E88" i="4"/>
  <c r="E77" i="4"/>
  <c r="E79" i="4" s="1"/>
  <c r="E7" i="4" s="1"/>
  <c r="AG3" i="4"/>
  <c r="AG77" i="4"/>
  <c r="AD88" i="4"/>
  <c r="V88" i="4"/>
  <c r="N88" i="4"/>
  <c r="F88" i="4"/>
  <c r="AG79" i="4"/>
  <c r="F216" i="4"/>
  <c r="E222" i="4"/>
  <c r="E98" i="4"/>
  <c r="D257" i="4"/>
  <c r="F221" i="4"/>
  <c r="AB88" i="4"/>
  <c r="T80" i="4"/>
  <c r="T88" i="4"/>
  <c r="L88" i="4"/>
  <c r="D80" i="4"/>
  <c r="D88" i="4"/>
  <c r="Y88" i="4"/>
  <c r="I88" i="4"/>
  <c r="AE7" i="4"/>
  <c r="AG6" i="4"/>
  <c r="C88" i="4"/>
  <c r="P88" i="4"/>
  <c r="H88" i="4"/>
  <c r="AA7" i="4"/>
  <c r="C7" i="4"/>
  <c r="D98" i="4"/>
  <c r="D222" i="4"/>
  <c r="AI85" i="4"/>
  <c r="AH85" i="4"/>
  <c r="AI84" i="4"/>
  <c r="AI38" i="4"/>
  <c r="AH84" i="4"/>
  <c r="AI83" i="4"/>
  <c r="B77" i="4"/>
  <c r="Y5" i="4"/>
  <c r="Q5" i="4"/>
  <c r="I5" i="4"/>
  <c r="AI82" i="4"/>
  <c r="AA80" i="4"/>
  <c r="C80" i="4"/>
  <c r="AF5" i="4"/>
  <c r="B88" i="4"/>
  <c r="AF77" i="4"/>
  <c r="AF79" i="4" s="1"/>
  <c r="X77" i="4"/>
  <c r="X79" i="4" s="1"/>
  <c r="AO236" i="4" l="1"/>
  <c r="Z80" i="4"/>
  <c r="AE80" i="4"/>
  <c r="AB80" i="4"/>
  <c r="AV236" i="4"/>
  <c r="AD80" i="4"/>
  <c r="AC80" i="4"/>
  <c r="AC7" i="4"/>
  <c r="AT236" i="4"/>
  <c r="W7" i="4"/>
  <c r="V80" i="4"/>
  <c r="I80" i="4"/>
  <c r="I7" i="4"/>
  <c r="F7" i="4"/>
  <c r="F80" i="4"/>
  <c r="AQ236" i="4"/>
  <c r="Z236" i="4"/>
  <c r="H80" i="4"/>
  <c r="P80" i="4"/>
  <c r="Y80" i="4"/>
  <c r="Z7" i="4"/>
  <c r="AN236" i="4"/>
  <c r="U80" i="4"/>
  <c r="AM236" i="4"/>
  <c r="S80" i="4"/>
  <c r="S7" i="4"/>
  <c r="R7" i="4"/>
  <c r="AJ236" i="4"/>
  <c r="AI87" i="4"/>
  <c r="Q80" i="4"/>
  <c r="AI236" i="4"/>
  <c r="AH236" i="4"/>
  <c r="O7" i="4"/>
  <c r="O80" i="4"/>
  <c r="N80" i="4"/>
  <c r="AF236" i="4"/>
  <c r="M80" i="4"/>
  <c r="AE236" i="4"/>
  <c r="L80" i="4"/>
  <c r="L7" i="4"/>
  <c r="K80" i="4"/>
  <c r="K7" i="4"/>
  <c r="AB236" i="4"/>
  <c r="J80" i="4"/>
  <c r="AH87" i="4"/>
  <c r="Y236" i="4"/>
  <c r="C231" i="4"/>
  <c r="K6" i="4" s="1"/>
  <c r="B231" i="4"/>
  <c r="G7" i="4"/>
  <c r="E80" i="4"/>
  <c r="W236" i="4"/>
  <c r="AH77" i="4"/>
  <c r="AI77" i="4"/>
  <c r="B79" i="4"/>
  <c r="G221" i="4"/>
  <c r="E257" i="4"/>
  <c r="AI88" i="4"/>
  <c r="AH88" i="4"/>
  <c r="X7" i="4"/>
  <c r="AP236" i="4"/>
  <c r="X80" i="4"/>
  <c r="G216" i="4"/>
  <c r="F98" i="4"/>
  <c r="F222" i="4"/>
  <c r="AF7" i="4"/>
  <c r="AX236" i="4"/>
  <c r="AF80" i="4"/>
  <c r="H221" i="4" l="1"/>
  <c r="F257" i="4"/>
  <c r="G98" i="4"/>
  <c r="H216" i="4"/>
  <c r="G222" i="4"/>
  <c r="B80" i="4"/>
  <c r="AH80" i="4" s="1"/>
  <c r="B7" i="4"/>
  <c r="A7" i="4" s="1"/>
  <c r="AH79" i="4"/>
  <c r="AI79" i="4"/>
  <c r="T236" i="4"/>
  <c r="H222" i="4" l="1"/>
  <c r="H98" i="4"/>
  <c r="I216" i="4"/>
  <c r="I221" i="4"/>
  <c r="G257" i="4"/>
  <c r="J221" i="4" l="1"/>
  <c r="H257" i="4"/>
  <c r="I222" i="4"/>
  <c r="I98" i="4"/>
  <c r="J216" i="4"/>
  <c r="J222" i="4" l="1"/>
  <c r="J98" i="4"/>
  <c r="K216" i="4"/>
  <c r="K221" i="4"/>
  <c r="I257" i="4"/>
  <c r="K222" i="4" l="1"/>
  <c r="L216" i="4"/>
  <c r="K98" i="4"/>
  <c r="L221" i="4"/>
  <c r="J257" i="4"/>
  <c r="K257" i="4" l="1"/>
  <c r="M221" i="4"/>
  <c r="M216" i="4"/>
  <c r="L222" i="4"/>
  <c r="L98" i="4"/>
  <c r="N216" i="4" l="1"/>
  <c r="M222" i="4"/>
  <c r="M98" i="4"/>
  <c r="L257" i="4"/>
  <c r="N221" i="4"/>
  <c r="O221" i="4" l="1"/>
  <c r="M257" i="4"/>
  <c r="O216" i="4"/>
  <c r="N222" i="4"/>
  <c r="N98" i="4"/>
  <c r="O98" i="4" l="1"/>
  <c r="P216" i="4"/>
  <c r="O222" i="4"/>
  <c r="P221" i="4"/>
  <c r="O257" i="4" s="1"/>
  <c r="N257" i="4"/>
  <c r="P222" i="4" l="1"/>
  <c r="P98" i="4"/>
  <c r="AH98" i="4" l="1"/>
  <c r="AI9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<sst xmlns="http://schemas.openxmlformats.org/spreadsheetml/2006/main" count="8517" uniqueCount="287">
  <si>
    <t>Water Level</t>
  </si>
  <si>
    <t>Frequency</t>
  </si>
  <si>
    <t>Time</t>
  </si>
  <si>
    <t>Total</t>
  </si>
  <si>
    <t>Export</t>
  </si>
  <si>
    <t>Import</t>
  </si>
  <si>
    <t>T_Load</t>
  </si>
  <si>
    <t>KL1+KL2+KL3</t>
  </si>
  <si>
    <t xml:space="preserve"> Hrs.</t>
  </si>
  <si>
    <t>NEA(RoR+PRoR)</t>
  </si>
  <si>
    <t>IPP</t>
  </si>
  <si>
    <t>PEAK SUMMARY</t>
  </si>
  <si>
    <t>Morning Peak</t>
  </si>
  <si>
    <t>KL 1</t>
  </si>
  <si>
    <t>MRS</t>
  </si>
  <si>
    <t>MMRS</t>
  </si>
  <si>
    <t>KGA</t>
  </si>
  <si>
    <t>Other NEA Small</t>
  </si>
  <si>
    <t>SUNDARIJAL(0.66)</t>
  </si>
  <si>
    <t>TINAU(1)</t>
  </si>
  <si>
    <t>FEWA(1)</t>
  </si>
  <si>
    <t>SETI(1.5)</t>
  </si>
  <si>
    <t>TATOPANI(2)</t>
  </si>
  <si>
    <t>PANAUTI(2.4)</t>
  </si>
  <si>
    <t>Others IPP Total</t>
  </si>
  <si>
    <t>Syauri Bhumey(0.023)</t>
  </si>
  <si>
    <t>Leguwa Khola(0.04)</t>
  </si>
  <si>
    <t>Sobuwa Khola-2 MHP(0.09)</t>
  </si>
  <si>
    <t>Midim Khola(0.1)</t>
  </si>
  <si>
    <t>Syange Khola(0.183)</t>
  </si>
  <si>
    <t>Sali Nadi(0.25)</t>
  </si>
  <si>
    <t>Rairang Khola(0.5)</t>
  </si>
  <si>
    <t>Belkhu(0.518)</t>
  </si>
  <si>
    <t>Dhunge-Jiri(0.6)</t>
  </si>
  <si>
    <t>Solar(0.68)</t>
  </si>
  <si>
    <t>Sisne Khola Small(0.75)</t>
  </si>
  <si>
    <t>Bishnu Priya Solar Farm Project(0.96)</t>
  </si>
  <si>
    <t>Seti-II(0.979)</t>
  </si>
  <si>
    <t>Lower Piluwa Small(0.99)</t>
  </si>
  <si>
    <t>Upper Hadi Khola(0.991)</t>
  </si>
  <si>
    <t>Chhote Khola(0.993)</t>
  </si>
  <si>
    <t>Pheme Khola(0.995)</t>
  </si>
  <si>
    <t>Jeuligad(0.996)</t>
  </si>
  <si>
    <t>Miya Khola(0.996)</t>
  </si>
  <si>
    <t>Pati Khola Small(0.996)</t>
  </si>
  <si>
    <t>Hadi Khola Sunkoshi A(0.997)</t>
  </si>
  <si>
    <t>Lower Chhote Khola(0.997)</t>
  </si>
  <si>
    <t>Suspa Bukhari(0.998)</t>
  </si>
  <si>
    <t>Dhalkebar Saurya Aayojana(1)</t>
  </si>
  <si>
    <t>Theule Khola(1.5)</t>
  </si>
  <si>
    <t>Thoppal Khola(1.65)</t>
  </si>
  <si>
    <t>Lower Chaku Khola(1.8)</t>
  </si>
  <si>
    <t>Middle Chaku(1.8)</t>
  </si>
  <si>
    <t>Khani Khola(2)</t>
  </si>
  <si>
    <t>Jhyadi Khola(2)</t>
  </si>
  <si>
    <t>Chhandi(2)</t>
  </si>
  <si>
    <t>Jiri Khola Small(2.2)</t>
  </si>
  <si>
    <t>Upper Syange Khola(2.4)</t>
  </si>
  <si>
    <t>Ridi Khola(2.4)</t>
  </si>
  <si>
    <t>Daram Khola A(2.5)</t>
  </si>
  <si>
    <t>Sunkoshi Small(2.5)</t>
  </si>
  <si>
    <t>Chake Khola(2.83)</t>
  </si>
  <si>
    <t>Dhalkebar Solar Project(3)</t>
  </si>
  <si>
    <t>Indushankar Chini Udhyog Ltd.(3)</t>
  </si>
  <si>
    <t>Everest Sugar and Chemical Industries Ltd.(3)</t>
  </si>
  <si>
    <t>Upper Rawa(3)</t>
  </si>
  <si>
    <t>Midim Karapu(3)</t>
  </si>
  <si>
    <t>Upper Puwa -1(3)</t>
  </si>
  <si>
    <t>Bhairab Kunda(3)</t>
  </si>
  <si>
    <t>Chaku Khola(3)</t>
  </si>
  <si>
    <t>Piluwa Khola Small(3)</t>
  </si>
  <si>
    <t>Kapadi Gad(3.33)</t>
  </si>
  <si>
    <t>Charanawati  Khola(3.52)</t>
  </si>
  <si>
    <t>Dwari Khola(3.75)</t>
  </si>
  <si>
    <t>Super Mai Cascade(3.8)</t>
  </si>
  <si>
    <t>Upper Chhyangdi Khola(4)</t>
  </si>
  <si>
    <t>Chandranigahpur Solar Project(4)</t>
  </si>
  <si>
    <t>Sardi Khola(4)</t>
  </si>
  <si>
    <t>Puwa Khola -1 (4)</t>
  </si>
  <si>
    <t>Sabha Khola(4)</t>
  </si>
  <si>
    <t>Khudi Khola(4)</t>
  </si>
  <si>
    <t>Baramchi Khola(4.2)</t>
  </si>
  <si>
    <t>Tungun-Thosne(4.36)</t>
  </si>
  <si>
    <t>Radhi Khola(4.4)</t>
  </si>
  <si>
    <t>Bijayapur-1(4.41)</t>
  </si>
  <si>
    <t>Hewa Khola(4.455)</t>
  </si>
  <si>
    <t>Bijayapur 2 Khola Small(4.5)</t>
  </si>
  <si>
    <t>Mai Khola(4.5)</t>
  </si>
  <si>
    <t>Padam Khola(4.8)</t>
  </si>
  <si>
    <t>Mardi Khola(4.8)</t>
  </si>
  <si>
    <t>Phawa Khola(4.95)</t>
  </si>
  <si>
    <t>Siuri Khola(4.95)</t>
  </si>
  <si>
    <t>Richet Khola(4.98)</t>
  </si>
  <si>
    <t>Lower Tadi(4.993)</t>
  </si>
  <si>
    <t>Belchautara Solar Project(5)</t>
  </si>
  <si>
    <t>Ghatte Khola(5)</t>
  </si>
  <si>
    <t>Ghalemdi Khola(5)</t>
  </si>
  <si>
    <t>Pikhuwa Khola(5)</t>
  </si>
  <si>
    <t>Upper Hugdi Khola(5)</t>
  </si>
  <si>
    <t>Mailung Khola(5)</t>
  </si>
  <si>
    <t>Tadi Khola (Thaprek)(5)</t>
  </si>
  <si>
    <t>Upper Mai C(5.1)</t>
  </si>
  <si>
    <t>Daraudi Khola A(6)</t>
  </si>
  <si>
    <t>Lower Jogmai(6.2)</t>
  </si>
  <si>
    <t>Suri Khola(6.4)</t>
  </si>
  <si>
    <t>Sapsup Khola(6.6)</t>
  </si>
  <si>
    <t>Rudi Khola B(6.6)</t>
  </si>
  <si>
    <t>Upper Khimti II(7)</t>
  </si>
  <si>
    <t>Upper Mardi(7)</t>
  </si>
  <si>
    <t>Molung Khola(7)</t>
  </si>
  <si>
    <t>Mai Cascade(7)</t>
  </si>
  <si>
    <t>Upper Khorunga(7.5)</t>
  </si>
  <si>
    <t>Indrawati - III (7.5)</t>
  </si>
  <si>
    <t>Jogmai(7.6)</t>
  </si>
  <si>
    <t>Super Mai(7.8)</t>
  </si>
  <si>
    <t>Taksar Pikhuwa(8)</t>
  </si>
  <si>
    <t>Upper Naugad Gad(8)</t>
  </si>
  <si>
    <t>Mai sana Cascade(8)</t>
  </si>
  <si>
    <t>Ankhu Khola - 1(8.4)</t>
  </si>
  <si>
    <t>Upper Hewa Khola Small(8.5)</t>
  </si>
  <si>
    <t>Butwal Solar Project(8.5)</t>
  </si>
  <si>
    <t>Naugadh gad Khola(8.5)</t>
  </si>
  <si>
    <t>Rudi Khola A(8.8)</t>
  </si>
  <si>
    <t>Andhi Khola(9.4)</t>
  </si>
  <si>
    <t>Mai Beni(9.51)</t>
  </si>
  <si>
    <t>Super Mai 'A' (9.6)</t>
  </si>
  <si>
    <t>Sipring Khola(9.658)</t>
  </si>
  <si>
    <t>Iwa Khola(9.9)</t>
  </si>
  <si>
    <t>Kabeli B-1 Cascade(9.94)</t>
  </si>
  <si>
    <t>Upper Mai Khola(9.98)</t>
  </si>
  <si>
    <t>Others IPP Detail</t>
  </si>
  <si>
    <t>HETAUDA-KAMANE</t>
  </si>
  <si>
    <t>DAMAK-DUHABI</t>
  </si>
  <si>
    <t>NBHARATPUR-BARDGHAT</t>
  </si>
  <si>
    <t>DHALKE-CHAPUR I</t>
  </si>
  <si>
    <t>KHIMTI-LAMOSAGU</t>
  </si>
  <si>
    <t>KL1-SYU</t>
  </si>
  <si>
    <t>KL2-MATA</t>
  </si>
  <si>
    <t>NMRS-MATA</t>
  </si>
  <si>
    <t>MRS-SYU</t>
  </si>
  <si>
    <t>Kathmandu Load</t>
  </si>
  <si>
    <t xml:space="preserve">SUI 66KV </t>
  </si>
  <si>
    <t xml:space="preserve">KOHALPUR 132KV </t>
  </si>
  <si>
    <t xml:space="preserve">KG-A 132KV </t>
  </si>
  <si>
    <t xml:space="preserve">ANAMANI 132KV </t>
  </si>
  <si>
    <t xml:space="preserve">DUBI 132KV </t>
  </si>
  <si>
    <t xml:space="preserve">SUI 132KV </t>
  </si>
  <si>
    <t>HTD 132KV</t>
  </si>
  <si>
    <t>HZ</t>
  </si>
  <si>
    <t>NET IMPORT</t>
  </si>
  <si>
    <t>Total EXPORT</t>
  </si>
  <si>
    <t>OTHERS EXPORT</t>
  </si>
  <si>
    <t>TANAKPUR</t>
  </si>
  <si>
    <t>MUZAFFARPUR</t>
  </si>
  <si>
    <t>RAXAUL</t>
  </si>
  <si>
    <t>KATAIYA</t>
  </si>
  <si>
    <t>RAMNAGAR</t>
  </si>
  <si>
    <t>TOTAL NATIONAL LOAD (ACTUAL)</t>
  </si>
  <si>
    <t>TOTAL SYSTEM LOAD (EXPECTED)</t>
  </si>
  <si>
    <t>Interruption/Tripping</t>
  </si>
  <si>
    <t>TOTAL SYSTEM LOAD (ACTUAL)</t>
  </si>
  <si>
    <t>Total THERMAL</t>
  </si>
  <si>
    <t>MRS DI()</t>
  </si>
  <si>
    <t>HTD DIE(14.41)</t>
  </si>
  <si>
    <t>MULTI F(39)</t>
  </si>
  <si>
    <t>Total IMPORT</t>
  </si>
  <si>
    <t>OTHERS IMPORT</t>
  </si>
  <si>
    <t>RAXAUL(33kV)</t>
  </si>
  <si>
    <t>RAJBIRAJ(33kV)</t>
  </si>
  <si>
    <t>JALESHWOR(33kV)</t>
  </si>
  <si>
    <t>BISHANPUR(33kV)</t>
  </si>
  <si>
    <t>NANPARA(33kV)</t>
  </si>
  <si>
    <t>RAXAUL 132</t>
  </si>
  <si>
    <t>MUJAFFARPUR</t>
  </si>
  <si>
    <t>Total STORGE</t>
  </si>
  <si>
    <t>KL3(14)</t>
  </si>
  <si>
    <t>KL2(32)</t>
  </si>
  <si>
    <t>KL1(60)</t>
  </si>
  <si>
    <t>Total ROR</t>
  </si>
  <si>
    <t>PUWA(6.2)</t>
  </si>
  <si>
    <t>SUN(10.05)</t>
  </si>
  <si>
    <t>MODI(14)</t>
  </si>
  <si>
    <t>DEVI(14.1)</t>
  </si>
  <si>
    <t>GDK(15)</t>
  </si>
  <si>
    <t>TRI(24)</t>
  </si>
  <si>
    <t>NEA  SOLAR(25)</t>
  </si>
  <si>
    <t>CHM(30)</t>
  </si>
  <si>
    <t>U Trisuli 3A(60)</t>
  </si>
  <si>
    <t>MRS(69)</t>
  </si>
  <si>
    <t>Middle MRS(70)</t>
  </si>
  <si>
    <t>KGA(144)</t>
  </si>
  <si>
    <t>Total NEA SUBSIDIARIES</t>
  </si>
  <si>
    <t>Chilime(22.1)</t>
  </si>
  <si>
    <t>Khimti Khola(60)</t>
  </si>
  <si>
    <t>Upper Tamakoshi(456)</t>
  </si>
  <si>
    <t>Total IPP</t>
  </si>
  <si>
    <t>Kabeli Corridor</t>
  </si>
  <si>
    <t>Other IPP Total</t>
  </si>
  <si>
    <t>Mithila Solar PV Electric Project(10)</t>
  </si>
  <si>
    <t>Lower Modi 1(10)</t>
  </si>
  <si>
    <t>Lower Khare(11)</t>
  </si>
  <si>
    <t>Namarjun Madi(11.88)</t>
  </si>
  <si>
    <t>Upper Mai Khola (12)</t>
  </si>
  <si>
    <t>Upper Khimti(12)</t>
  </si>
  <si>
    <t>Jhimruk Khola(12)</t>
  </si>
  <si>
    <t>Madkyu Khola(13)</t>
  </si>
  <si>
    <t>Thapa Khola(13.6)</t>
  </si>
  <si>
    <t>Hewa Khola A(14.9)</t>
  </si>
  <si>
    <t>Lower Modi (20)</t>
  </si>
  <si>
    <t>Bagmati Khola Small(22)</t>
  </si>
  <si>
    <t xml:space="preserve"> Sanima Mai Khola(22)</t>
  </si>
  <si>
    <t>Tallo Hewa Khola(22.1)</t>
  </si>
  <si>
    <t>Upper Chaku A(22.2)</t>
  </si>
  <si>
    <t>Solu Khola(23.5)</t>
  </si>
  <si>
    <t>Likhu Khola A(24.2)</t>
  </si>
  <si>
    <t>Singati Khola(25)</t>
  </si>
  <si>
    <t>Kabeli B-1(25)</t>
  </si>
  <si>
    <t>Upper Madi(25)</t>
  </si>
  <si>
    <t>Nyadi(30)</t>
  </si>
  <si>
    <t>Mistri Khola(42)</t>
  </si>
  <si>
    <t>Upper Bhotekoshi Khola(45)</t>
  </si>
  <si>
    <t>Upper Marsyangdi "A"(50)</t>
  </si>
  <si>
    <t>Likhu-IV(52.4)</t>
  </si>
  <si>
    <t>Installed Capacity (MW)</t>
  </si>
  <si>
    <t xml:space="preserve">                              Hrs.               Source</t>
  </si>
  <si>
    <t>Night Shift</t>
  </si>
  <si>
    <t>Day Shift</t>
  </si>
  <si>
    <t>Morning Shift</t>
  </si>
  <si>
    <t>Night Shift(Contd..)</t>
  </si>
  <si>
    <t>Total Hydro</t>
  </si>
  <si>
    <t>NEA Storage</t>
  </si>
  <si>
    <t>Nepali Date:</t>
  </si>
  <si>
    <t>NEA RoR</t>
  </si>
  <si>
    <t>llkkjmj</t>
  </si>
  <si>
    <t>* other ipp reduced to 210 due to addition of rudi khola a in log sheet</t>
  </si>
  <si>
    <t>Brt</t>
  </si>
  <si>
    <t>Ktm</t>
  </si>
  <si>
    <t>Sim</t>
  </si>
  <si>
    <t>Bhai</t>
  </si>
  <si>
    <t>Rainfall</t>
  </si>
  <si>
    <t xml:space="preserve">LOAD DISPATCH  CENTRE,  NEPAL   ELECTRICITY   AUTHORITY
DAILY SYSTEM OPERATION LOG  FOR INPS </t>
  </si>
  <si>
    <t>.</t>
  </si>
  <si>
    <t>33..2</t>
  </si>
  <si>
    <t>33..3</t>
  </si>
  <si>
    <t>33..4</t>
  </si>
  <si>
    <t>33..5</t>
  </si>
  <si>
    <t>33..6</t>
  </si>
  <si>
    <t>33..7</t>
  </si>
  <si>
    <t>33..8</t>
  </si>
  <si>
    <t>33..9</t>
  </si>
  <si>
    <t>33..10</t>
  </si>
  <si>
    <t>33..11</t>
  </si>
  <si>
    <t>33..12</t>
  </si>
  <si>
    <t>33..13</t>
  </si>
  <si>
    <t>49..883</t>
  </si>
  <si>
    <t>S</t>
  </si>
  <si>
    <t>Y</t>
  </si>
  <si>
    <t>T</t>
  </si>
  <si>
    <t>E</t>
  </si>
  <si>
    <t>M</t>
  </si>
  <si>
    <t>D</t>
  </si>
  <si>
    <t>I</t>
  </si>
  <si>
    <t>U</t>
  </si>
  <si>
    <t>R</t>
  </si>
  <si>
    <t>B</t>
  </si>
  <si>
    <t>A</t>
  </si>
  <si>
    <t>N</t>
  </si>
  <si>
    <t>C</t>
  </si>
  <si>
    <t>Dordi(27)</t>
  </si>
  <si>
    <t>Dordi(12)</t>
  </si>
  <si>
    <t>Dordi12)</t>
  </si>
  <si>
    <t>p</t>
  </si>
  <si>
    <t>L</t>
  </si>
  <si>
    <t>Likhu Khola A(29.04)</t>
  </si>
  <si>
    <t>129..7</t>
  </si>
  <si>
    <t>9..2</t>
  </si>
  <si>
    <t>9..3</t>
  </si>
  <si>
    <t>9..4</t>
  </si>
  <si>
    <t>Spill Energy</t>
  </si>
  <si>
    <t>9..5</t>
  </si>
  <si>
    <t>9..6</t>
  </si>
  <si>
    <t>9..7</t>
  </si>
  <si>
    <t>9..8</t>
  </si>
  <si>
    <t>Spill</t>
  </si>
  <si>
    <t>-</t>
  </si>
  <si>
    <t xml:space="preserve"> </t>
  </si>
  <si>
    <t>127..7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</si>
</sst>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F800]dddd\,\ mmmm\ dd\,\ yyyy"/>
    <numFmt numFmtId="165" formatCode="0.0"/>
    <numFmt numFmtId="166" formatCode="h:mm;@"/>
    <numFmt numFmtId="167" formatCode="[hh]:mm"/>
    <numFmt numFmtId="168" formatCode="0.000"/>
    <numFmt numFmtId="169" formatCode="0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  <font>
      <sz val="8"/>
      <name val="Arial Narrow"/>
      <family val="2"/>
    </font>
    <font>
      <sz val="10"/>
      <color indexed="10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0"/>
      <color rgb="FFFF0000"/>
      <name val="Arial"/>
      <family val="2"/>
    </font>
    <font>
      <b/>
      <sz val="9"/>
      <color rgb="FF7030A0"/>
      <name val="Calibri"/>
      <family val="2"/>
      <scheme val="minor"/>
    </font>
    <font>
      <b/>
      <sz val="9"/>
      <name val="Times New Roman"/>
      <family val="1"/>
    </font>
    <font>
      <b/>
      <sz val="12"/>
      <color theme="1"/>
      <name val="Calibri"/>
      <family val="2"/>
      <scheme val="minor"/>
    </font>
    <font>
      <b/>
      <i/>
      <sz val="10"/>
      <name val="Times New Roman"/>
      <family val="1"/>
    </font>
    <font>
      <b/>
      <i/>
      <sz val="11"/>
      <name val="Times New Roman"/>
      <family val="1"/>
    </font>
    <font>
      <b/>
      <sz val="12"/>
      <name val="Calibri"/>
      <family val="2"/>
      <scheme val="minor"/>
    </font>
    <font>
      <b/>
      <sz val="8"/>
      <name val="Times New Roman"/>
      <family val="1"/>
    </font>
    <font>
      <b/>
      <sz val="12"/>
      <color rgb="FFFF0000"/>
      <name val="Times New Roman"/>
      <family val="1"/>
    </font>
    <font>
      <sz val="12"/>
      <name val="Calibri"/>
      <family val="2"/>
      <scheme val="minor"/>
    </font>
    <font>
      <b/>
      <i/>
      <sz val="10"/>
      <color indexed="12"/>
      <name val="Times New Roman"/>
      <family val="1"/>
    </font>
    <font>
      <b/>
      <sz val="14"/>
      <name val="Times New Roman"/>
      <family val="1"/>
    </font>
    <font>
      <b/>
      <i/>
      <sz val="12"/>
      <color indexed="12"/>
      <name val="Times New Roman"/>
      <family val="1"/>
    </font>
    <font>
      <sz val="12"/>
      <color theme="1"/>
      <name val="Calibri"/>
      <family val="2"/>
      <scheme val="minor"/>
    </font>
    <font>
      <sz val="14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7030A0"/>
      <name val="Times New Roman"/>
      <family val="1"/>
    </font>
    <font>
      <b/>
      <sz val="16"/>
      <color rgb="FF002060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9"/>
      <color indexed="81"/>
      <name val="Tahoma"/>
      <family val="2"/>
    </font>
    <font>
      <sz val="10"/>
      <name val="Arial"/>
      <family val="2"/>
    </font>
    <font>
      <sz val="10"/>
      <color rgb="FF000000"/>
      <name val="Times New Roman"/>
      <family val="1"/>
    </font>
    <font>
      <b/>
      <i/>
      <sz val="16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 diagonalDown="1">
      <left style="double">
        <color indexed="64"/>
      </left>
      <right style="thin">
        <color indexed="64"/>
      </right>
      <top/>
      <bottom style="double">
        <color indexed="64"/>
      </bottom>
      <diagonal style="double">
        <color indexed="64"/>
      </diagonal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 diagonalDown="1">
      <left style="double">
        <color indexed="64"/>
      </left>
      <right style="thin">
        <color indexed="64"/>
      </right>
      <top style="double">
        <color indexed="64"/>
      </top>
      <bottom/>
      <diagonal style="double">
        <color indexed="64"/>
      </diagonal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/>
    <xf numFmtId="164" fontId="33" fillId="0" borderId="0"/>
    <xf numFmtId="164" fontId="34" fillId="0" borderId="0"/>
  </cellStyleXfs>
  <cellXfs count="198">
    <xf numFmtId="0" fontId="0" fillId="0" borderId="0" xfId="0"/>
    <xf numFmtId="164" fontId="1" fillId="0" borderId="0" xfId="2"/>
    <xf numFmtId="164" fontId="1" fillId="0" borderId="0" xfId="2" applyAlignment="1">
      <alignment horizontal="center"/>
    </xf>
    <xf numFmtId="2" fontId="1" fillId="0" borderId="1" xfId="2" applyNumberFormat="1" applyBorder="1" applyAlignment="1">
      <alignment horizontal="center"/>
    </xf>
    <xf numFmtId="165" fontId="1" fillId="0" borderId="1" xfId="2" applyNumberFormat="1" applyBorder="1" applyAlignment="1">
      <alignment horizontal="center"/>
    </xf>
    <xf numFmtId="164" fontId="1" fillId="0" borderId="1" xfId="2" applyBorder="1"/>
    <xf numFmtId="164" fontId="1" fillId="2" borderId="0" xfId="2" applyFill="1" applyProtection="1">
      <protection locked="0"/>
    </xf>
    <xf numFmtId="164" fontId="4" fillId="3" borderId="0" xfId="2" applyFont="1" applyFill="1"/>
    <xf numFmtId="166" fontId="1" fillId="2" borderId="0" xfId="2" applyNumberFormat="1" applyFill="1" applyProtection="1">
      <protection locked="0"/>
    </xf>
    <xf numFmtId="1" fontId="1" fillId="0" borderId="0" xfId="2" applyNumberFormat="1" applyAlignment="1">
      <alignment horizontal="center"/>
    </xf>
    <xf numFmtId="167" fontId="5" fillId="0" borderId="2" xfId="2" applyNumberFormat="1" applyFont="1" applyBorder="1" applyAlignment="1">
      <alignment vertical="center"/>
    </xf>
    <xf numFmtId="167" fontId="5" fillId="0" borderId="3" xfId="2" applyNumberFormat="1" applyFont="1" applyBorder="1" applyAlignment="1">
      <alignment vertical="center"/>
    </xf>
    <xf numFmtId="167" fontId="5" fillId="0" borderId="4" xfId="2" applyNumberFormat="1" applyFont="1" applyBorder="1" applyAlignment="1">
      <alignment vertical="center"/>
    </xf>
    <xf numFmtId="20" fontId="5" fillId="0" borderId="2" xfId="2" applyNumberFormat="1" applyFont="1" applyBorder="1" applyAlignment="1">
      <alignment vertical="center"/>
    </xf>
    <xf numFmtId="164" fontId="6" fillId="0" borderId="0" xfId="2" applyFont="1" applyAlignment="1">
      <alignment vertical="top" wrapText="1"/>
    </xf>
    <xf numFmtId="164" fontId="1" fillId="0" borderId="0" xfId="2" applyAlignment="1">
      <alignment horizontal="left"/>
    </xf>
    <xf numFmtId="20" fontId="7" fillId="5" borderId="1" xfId="2" applyNumberFormat="1" applyFont="1" applyFill="1" applyBorder="1" applyAlignment="1">
      <alignment horizontal="center"/>
    </xf>
    <xf numFmtId="1" fontId="1" fillId="5" borderId="1" xfId="2" applyNumberFormat="1" applyFill="1" applyBorder="1"/>
    <xf numFmtId="164" fontId="5" fillId="5" borderId="1" xfId="2" applyFont="1" applyFill="1" applyBorder="1" applyAlignment="1">
      <alignment vertical="center"/>
    </xf>
    <xf numFmtId="165" fontId="1" fillId="0" borderId="0" xfId="2" applyNumberFormat="1" applyProtection="1">
      <protection locked="0"/>
    </xf>
    <xf numFmtId="165" fontId="1" fillId="0" borderId="0" xfId="2" applyNumberFormat="1" applyAlignment="1" applyProtection="1">
      <alignment horizontal="center"/>
      <protection locked="0"/>
    </xf>
    <xf numFmtId="164" fontId="1" fillId="0" borderId="5" xfId="2" applyBorder="1" applyAlignment="1">
      <alignment horizontal="center"/>
    </xf>
    <xf numFmtId="2" fontId="8" fillId="0" borderId="6" xfId="2" applyNumberFormat="1" applyFont="1" applyBorder="1" applyAlignment="1">
      <alignment horizontal="center" vertical="center"/>
    </xf>
    <xf numFmtId="2" fontId="8" fillId="0" borderId="7" xfId="2" applyNumberFormat="1" applyFont="1" applyBorder="1" applyAlignment="1">
      <alignment horizontal="center" vertical="center"/>
    </xf>
    <xf numFmtId="164" fontId="6" fillId="0" borderId="8" xfId="2" applyFont="1" applyBorder="1" applyAlignment="1">
      <alignment vertical="center"/>
    </xf>
    <xf numFmtId="2" fontId="8" fillId="0" borderId="9" xfId="2" applyNumberFormat="1" applyFont="1" applyBorder="1" applyAlignment="1">
      <alignment horizontal="center" vertical="center"/>
    </xf>
    <xf numFmtId="2" fontId="8" fillId="0" borderId="1" xfId="2" applyNumberFormat="1" applyFont="1" applyBorder="1" applyAlignment="1">
      <alignment horizontal="center" vertical="center"/>
    </xf>
    <xf numFmtId="164" fontId="6" fillId="0" borderId="10" xfId="2" applyFont="1" applyBorder="1" applyAlignment="1">
      <alignment vertical="center"/>
    </xf>
    <xf numFmtId="2" fontId="8" fillId="0" borderId="11" xfId="2" applyNumberFormat="1" applyFont="1" applyBorder="1" applyAlignment="1">
      <alignment horizontal="center" vertical="center"/>
    </xf>
    <xf numFmtId="2" fontId="8" fillId="0" borderId="12" xfId="2" applyNumberFormat="1" applyFont="1" applyBorder="1" applyAlignment="1">
      <alignment horizontal="center" vertical="center"/>
    </xf>
    <xf numFmtId="164" fontId="6" fillId="0" borderId="13" xfId="2" applyFont="1" applyBorder="1" applyAlignment="1">
      <alignment vertical="center"/>
    </xf>
    <xf numFmtId="2" fontId="8" fillId="0" borderId="14" xfId="2" applyNumberFormat="1" applyFont="1" applyBorder="1" applyAlignment="1">
      <alignment horizontal="center" vertical="center"/>
    </xf>
    <xf numFmtId="2" fontId="8" fillId="0" borderId="15" xfId="2" applyNumberFormat="1" applyFont="1" applyBorder="1" applyAlignment="1">
      <alignment horizontal="center" vertical="center"/>
    </xf>
    <xf numFmtId="164" fontId="6" fillId="0" borderId="16" xfId="2" applyFont="1" applyBorder="1" applyAlignment="1">
      <alignment vertical="center"/>
    </xf>
    <xf numFmtId="2" fontId="1" fillId="0" borderId="0" xfId="2" applyNumberFormat="1" applyAlignment="1">
      <alignment horizontal="center"/>
    </xf>
    <xf numFmtId="168" fontId="1" fillId="0" borderId="17" xfId="2" applyNumberFormat="1" applyBorder="1" applyAlignment="1">
      <alignment horizontal="center"/>
    </xf>
    <xf numFmtId="2" fontId="5" fillId="0" borderId="18" xfId="2" applyNumberFormat="1" applyFont="1" applyBorder="1" applyAlignment="1">
      <alignment horizontal="center" vertical="center"/>
    </xf>
    <xf numFmtId="164" fontId="5" fillId="0" borderId="19" xfId="2" applyFont="1" applyBorder="1" applyAlignment="1">
      <alignment horizontal="right" vertical="center"/>
    </xf>
    <xf numFmtId="168" fontId="9" fillId="0" borderId="20" xfId="2" applyNumberFormat="1" applyFont="1" applyBorder="1" applyAlignment="1">
      <alignment horizontal="center" vertical="center"/>
    </xf>
    <xf numFmtId="2" fontId="5" fillId="0" borderId="2" xfId="2" applyNumberFormat="1" applyFont="1" applyBorder="1" applyAlignment="1">
      <alignment horizontal="center" vertical="center"/>
    </xf>
    <xf numFmtId="164" fontId="5" fillId="0" borderId="21" xfId="2" applyFont="1" applyBorder="1" applyAlignment="1">
      <alignment horizontal="right" vertical="center"/>
    </xf>
    <xf numFmtId="20" fontId="1" fillId="0" borderId="0" xfId="2" applyNumberFormat="1"/>
    <xf numFmtId="168" fontId="9" fillId="0" borderId="9" xfId="2" applyNumberFormat="1" applyFont="1" applyBorder="1" applyAlignment="1">
      <alignment horizontal="center" vertical="center"/>
    </xf>
    <xf numFmtId="2" fontId="5" fillId="0" borderId="1" xfId="2" applyNumberFormat="1" applyFont="1" applyBorder="1" applyAlignment="1">
      <alignment horizontal="center" vertical="center"/>
    </xf>
    <xf numFmtId="164" fontId="5" fillId="0" borderId="10" xfId="2" applyFont="1" applyBorder="1" applyAlignment="1">
      <alignment horizontal="right" vertical="center"/>
    </xf>
    <xf numFmtId="168" fontId="9" fillId="0" borderId="14" xfId="2" applyNumberFormat="1" applyFont="1" applyBorder="1" applyAlignment="1">
      <alignment horizontal="center" vertical="center"/>
    </xf>
    <xf numFmtId="2" fontId="5" fillId="0" borderId="15" xfId="2" applyNumberFormat="1" applyFont="1" applyBorder="1" applyAlignment="1">
      <alignment horizontal="center" vertical="center"/>
    </xf>
    <xf numFmtId="164" fontId="5" fillId="0" borderId="16" xfId="2" applyFont="1" applyBorder="1" applyAlignment="1">
      <alignment horizontal="right" vertical="center"/>
    </xf>
    <xf numFmtId="168" fontId="1" fillId="0" borderId="0" xfId="2" applyNumberFormat="1" applyAlignment="1">
      <alignment horizontal="center"/>
    </xf>
    <xf numFmtId="164" fontId="6" fillId="0" borderId="0" xfId="2" applyFont="1" applyAlignment="1">
      <alignment vertical="center"/>
    </xf>
    <xf numFmtId="168" fontId="10" fillId="0" borderId="22" xfId="2" applyNumberFormat="1" applyFont="1" applyBorder="1" applyAlignment="1">
      <alignment horizontal="center" vertical="center"/>
    </xf>
    <xf numFmtId="2" fontId="5" fillId="0" borderId="23" xfId="2" applyNumberFormat="1" applyFont="1" applyBorder="1" applyAlignment="1">
      <alignment horizontal="center" vertical="center"/>
    </xf>
    <xf numFmtId="2" fontId="5" fillId="0" borderId="19" xfId="2" applyNumberFormat="1" applyFont="1" applyBorder="1" applyAlignment="1">
      <alignment horizontal="center" vertical="center"/>
    </xf>
    <xf numFmtId="164" fontId="5" fillId="0" borderId="22" xfId="2" applyFont="1" applyBorder="1" applyAlignment="1">
      <alignment vertical="center"/>
    </xf>
    <xf numFmtId="168" fontId="10" fillId="0" borderId="20" xfId="2" applyNumberFormat="1" applyFont="1" applyBorder="1" applyAlignment="1">
      <alignment horizontal="center" vertical="center"/>
    </xf>
    <xf numFmtId="2" fontId="5" fillId="0" borderId="24" xfId="2" applyNumberFormat="1" applyFont="1" applyBorder="1" applyAlignment="1" applyProtection="1">
      <alignment horizontal="center" vertical="center"/>
      <protection locked="0"/>
    </xf>
    <xf numFmtId="2" fontId="5" fillId="0" borderId="12" xfId="2" applyNumberFormat="1" applyFont="1" applyBorder="1" applyAlignment="1" applyProtection="1">
      <alignment horizontal="center" vertical="center"/>
      <protection locked="0"/>
    </xf>
    <xf numFmtId="2" fontId="5" fillId="0" borderId="1" xfId="2" applyNumberFormat="1" applyFont="1" applyBorder="1" applyAlignment="1" applyProtection="1">
      <alignment horizontal="center" vertical="center"/>
      <protection locked="0"/>
    </xf>
    <xf numFmtId="168" fontId="10" fillId="0" borderId="9" xfId="2" applyNumberFormat="1" applyFont="1" applyBorder="1" applyAlignment="1">
      <alignment horizontal="center" vertical="center"/>
    </xf>
    <xf numFmtId="168" fontId="10" fillId="0" borderId="11" xfId="2" applyNumberFormat="1" applyFont="1" applyBorder="1" applyAlignment="1">
      <alignment horizontal="center" vertical="center"/>
    </xf>
    <xf numFmtId="2" fontId="5" fillId="0" borderId="12" xfId="2" applyNumberFormat="1" applyFont="1" applyBorder="1" applyAlignment="1">
      <alignment horizontal="center" vertical="center"/>
    </xf>
    <xf numFmtId="164" fontId="5" fillId="0" borderId="13" xfId="2" applyFont="1" applyBorder="1" applyAlignment="1">
      <alignment horizontal="right" vertical="center"/>
    </xf>
    <xf numFmtId="168" fontId="1" fillId="0" borderId="25" xfId="2" applyNumberFormat="1" applyBorder="1" applyAlignment="1">
      <alignment horizontal="center"/>
    </xf>
    <xf numFmtId="164" fontId="1" fillId="0" borderId="26" xfId="2" applyBorder="1" applyAlignment="1">
      <alignment horizontal="center"/>
    </xf>
    <xf numFmtId="164" fontId="6" fillId="0" borderId="27" xfId="2" applyFont="1" applyBorder="1" applyAlignment="1">
      <alignment vertical="center"/>
    </xf>
    <xf numFmtId="166" fontId="1" fillId="0" borderId="0" xfId="2" applyNumberFormat="1" applyProtection="1">
      <protection locked="0"/>
    </xf>
    <xf numFmtId="165" fontId="5" fillId="0" borderId="1" xfId="2" applyNumberFormat="1" applyFont="1" applyBorder="1" applyAlignment="1" applyProtection="1">
      <alignment horizontal="center"/>
      <protection locked="0"/>
    </xf>
    <xf numFmtId="164" fontId="5" fillId="0" borderId="1" xfId="2" applyFont="1" applyBorder="1" applyAlignment="1">
      <alignment horizontal="right" vertical="center"/>
    </xf>
    <xf numFmtId="165" fontId="5" fillId="0" borderId="28" xfId="2" applyNumberFormat="1" applyFont="1" applyBorder="1" applyAlignment="1" applyProtection="1">
      <alignment horizontal="center"/>
      <protection locked="0"/>
    </xf>
    <xf numFmtId="168" fontId="1" fillId="0" borderId="2" xfId="2" applyNumberFormat="1" applyBorder="1" applyAlignment="1">
      <alignment horizontal="center"/>
    </xf>
    <xf numFmtId="168" fontId="1" fillId="0" borderId="1" xfId="2" applyNumberFormat="1" applyBorder="1" applyAlignment="1">
      <alignment horizontal="center"/>
    </xf>
    <xf numFmtId="165" fontId="5" fillId="0" borderId="29" xfId="2" applyNumberFormat="1" applyFont="1" applyBorder="1" applyAlignment="1" applyProtection="1">
      <alignment horizontal="center" vertical="center"/>
      <protection locked="0"/>
    </xf>
    <xf numFmtId="165" fontId="5" fillId="0" borderId="30" xfId="2" applyNumberFormat="1" applyFont="1" applyBorder="1" applyAlignment="1" applyProtection="1">
      <alignment horizontal="center" vertical="center"/>
      <protection locked="0"/>
    </xf>
    <xf numFmtId="168" fontId="1" fillId="0" borderId="0" xfId="2" applyNumberFormat="1"/>
    <xf numFmtId="165" fontId="6" fillId="0" borderId="31" xfId="2" applyNumberFormat="1" applyFont="1" applyBorder="1" applyAlignment="1">
      <alignment horizontal="center" vertical="center"/>
    </xf>
    <xf numFmtId="164" fontId="5" fillId="0" borderId="32" xfId="2" applyFont="1" applyBorder="1" applyAlignment="1">
      <alignment vertical="center"/>
    </xf>
    <xf numFmtId="168" fontId="5" fillId="0" borderId="33" xfId="2" applyNumberFormat="1" applyFont="1" applyBorder="1" applyAlignment="1">
      <alignment horizontal="center" vertical="center"/>
    </xf>
    <xf numFmtId="165" fontId="5" fillId="0" borderId="7" xfId="2" applyNumberFormat="1" applyFont="1" applyBorder="1" applyAlignment="1" applyProtection="1">
      <alignment horizontal="center" vertical="center"/>
      <protection locked="0"/>
    </xf>
    <xf numFmtId="164" fontId="6" fillId="0" borderId="0" xfId="2" applyFont="1" applyAlignment="1">
      <alignment horizontal="right" vertical="center"/>
    </xf>
    <xf numFmtId="168" fontId="5" fillId="0" borderId="34" xfId="2" applyNumberFormat="1" applyFont="1" applyBorder="1" applyAlignment="1">
      <alignment horizontal="center" vertical="center"/>
    </xf>
    <xf numFmtId="165" fontId="5" fillId="0" borderId="1" xfId="2" applyNumberFormat="1" applyFont="1" applyBorder="1" applyAlignment="1" applyProtection="1">
      <alignment horizontal="center" vertical="center"/>
      <protection locked="0"/>
    </xf>
    <xf numFmtId="168" fontId="5" fillId="0" borderId="34" xfId="2" applyNumberFormat="1" applyFont="1" applyBorder="1" applyAlignment="1">
      <alignment horizontal="center"/>
    </xf>
    <xf numFmtId="164" fontId="5" fillId="0" borderId="35" xfId="2" applyFont="1" applyBorder="1" applyAlignment="1">
      <alignment horizontal="right" vertical="center"/>
    </xf>
    <xf numFmtId="168" fontId="5" fillId="0" borderId="36" xfId="2" applyNumberFormat="1" applyFont="1" applyBorder="1" applyAlignment="1">
      <alignment horizontal="center" vertical="center"/>
    </xf>
    <xf numFmtId="2" fontId="5" fillId="0" borderId="15" xfId="2" applyNumberFormat="1" applyFont="1" applyBorder="1" applyAlignment="1" applyProtection="1">
      <alignment horizontal="center" vertical="center"/>
      <protection locked="0"/>
    </xf>
    <xf numFmtId="168" fontId="6" fillId="0" borderId="37" xfId="2" applyNumberFormat="1" applyFont="1" applyBorder="1" applyAlignment="1">
      <alignment horizontal="center" vertical="center"/>
    </xf>
    <xf numFmtId="165" fontId="6" fillId="0" borderId="18" xfId="2" applyNumberFormat="1" applyFont="1" applyBorder="1" applyAlignment="1">
      <alignment horizontal="center" vertical="center"/>
    </xf>
    <xf numFmtId="164" fontId="6" fillId="0" borderId="38" xfId="2" applyFont="1" applyBorder="1" applyAlignment="1">
      <alignment horizontal="left" vertical="center"/>
    </xf>
    <xf numFmtId="164" fontId="6" fillId="0" borderId="38" xfId="2" applyFont="1" applyBorder="1" applyAlignment="1">
      <alignment horizontal="center" vertical="center"/>
    </xf>
    <xf numFmtId="168" fontId="5" fillId="0" borderId="39" xfId="2" applyNumberFormat="1" applyFont="1" applyBorder="1" applyAlignment="1">
      <alignment horizontal="center" vertical="center"/>
    </xf>
    <xf numFmtId="165" fontId="5" fillId="0" borderId="2" xfId="2" applyNumberFormat="1" applyFont="1" applyBorder="1" applyAlignment="1">
      <alignment horizontal="center" vertical="center"/>
    </xf>
    <xf numFmtId="164" fontId="5" fillId="0" borderId="40" xfId="2" applyFont="1" applyBorder="1" applyAlignment="1">
      <alignment horizontal="right" vertical="center"/>
    </xf>
    <xf numFmtId="168" fontId="10" fillId="0" borderId="39" xfId="2" applyNumberFormat="1" applyFont="1" applyBorder="1" applyAlignment="1">
      <alignment horizontal="center" vertical="center"/>
    </xf>
    <xf numFmtId="165" fontId="5" fillId="0" borderId="12" xfId="2" applyNumberFormat="1" applyFont="1" applyBorder="1" applyAlignment="1">
      <alignment horizontal="center" vertical="center"/>
    </xf>
    <xf numFmtId="168" fontId="10" fillId="0" borderId="41" xfId="2" applyNumberFormat="1" applyFont="1" applyBorder="1" applyAlignment="1">
      <alignment horizontal="center" vertical="center"/>
    </xf>
    <xf numFmtId="164" fontId="5" fillId="0" borderId="42" xfId="2" applyFont="1" applyBorder="1" applyAlignment="1">
      <alignment horizontal="right" vertical="center"/>
    </xf>
    <xf numFmtId="168" fontId="10" fillId="0" borderId="43" xfId="2" applyNumberFormat="1" applyFont="1" applyBorder="1" applyAlignment="1">
      <alignment horizontal="center" vertical="center"/>
    </xf>
    <xf numFmtId="164" fontId="5" fillId="0" borderId="44" xfId="2" applyFont="1" applyBorder="1" applyAlignment="1">
      <alignment horizontal="right" vertical="center"/>
    </xf>
    <xf numFmtId="1" fontId="6" fillId="0" borderId="18" xfId="2" applyNumberFormat="1" applyFont="1" applyBorder="1" applyAlignment="1">
      <alignment horizontal="center" vertical="center"/>
    </xf>
    <xf numFmtId="165" fontId="5" fillId="0" borderId="18" xfId="2" applyNumberFormat="1" applyFont="1" applyBorder="1" applyAlignment="1" applyProtection="1">
      <alignment horizontal="center" vertical="center"/>
      <protection locked="0"/>
    </xf>
    <xf numFmtId="164" fontId="6" fillId="6" borderId="38" xfId="2" applyFont="1" applyFill="1" applyBorder="1" applyAlignment="1">
      <alignment vertical="center" wrapText="1"/>
    </xf>
    <xf numFmtId="168" fontId="6" fillId="0" borderId="18" xfId="2" applyNumberFormat="1" applyFont="1" applyBorder="1" applyAlignment="1">
      <alignment horizontal="center" vertical="center"/>
    </xf>
    <xf numFmtId="168" fontId="5" fillId="0" borderId="41" xfId="2" applyNumberFormat="1" applyFont="1" applyBorder="1" applyAlignment="1">
      <alignment horizontal="center" vertical="center"/>
    </xf>
    <xf numFmtId="165" fontId="5" fillId="0" borderId="1" xfId="2" applyNumberFormat="1" applyFont="1" applyBorder="1" applyAlignment="1">
      <alignment horizontal="center" vertical="center"/>
    </xf>
    <xf numFmtId="168" fontId="5" fillId="0" borderId="43" xfId="2" applyNumberFormat="1" applyFont="1" applyBorder="1" applyAlignment="1">
      <alignment horizontal="center" vertical="center"/>
    </xf>
    <xf numFmtId="165" fontId="5" fillId="0" borderId="12" xfId="2" applyNumberFormat="1" applyFont="1" applyBorder="1" applyAlignment="1" applyProtection="1">
      <alignment horizontal="center" vertical="center"/>
      <protection locked="0"/>
    </xf>
    <xf numFmtId="168" fontId="10" fillId="0" borderId="45" xfId="2" applyNumberFormat="1" applyFont="1" applyBorder="1" applyAlignment="1">
      <alignment horizontal="center" vertical="center"/>
    </xf>
    <xf numFmtId="165" fontId="5" fillId="0" borderId="24" xfId="2" applyNumberFormat="1" applyFont="1" applyBorder="1" applyAlignment="1" applyProtection="1">
      <alignment horizontal="center" vertical="center"/>
      <protection locked="0"/>
    </xf>
    <xf numFmtId="164" fontId="5" fillId="0" borderId="46" xfId="2" applyFont="1" applyBorder="1" applyAlignment="1">
      <alignment horizontal="right" vertical="center"/>
    </xf>
    <xf numFmtId="168" fontId="11" fillId="0" borderId="2" xfId="2" applyNumberFormat="1" applyFont="1" applyBorder="1" applyAlignment="1">
      <alignment horizontal="center" vertical="center"/>
    </xf>
    <xf numFmtId="2" fontId="11" fillId="0" borderId="2" xfId="2" applyNumberFormat="1" applyFont="1" applyBorder="1" applyAlignment="1">
      <alignment horizontal="center" vertical="center"/>
    </xf>
    <xf numFmtId="164" fontId="11" fillId="0" borderId="42" xfId="2" applyFont="1" applyBorder="1" applyAlignment="1">
      <alignment horizontal="right" vertical="center"/>
    </xf>
    <xf numFmtId="164" fontId="12" fillId="0" borderId="0" xfId="2" applyFont="1"/>
    <xf numFmtId="165" fontId="5" fillId="7" borderId="1" xfId="2" applyNumberFormat="1" applyFont="1" applyFill="1" applyBorder="1" applyAlignment="1" applyProtection="1">
      <alignment horizontal="center" vertical="center"/>
      <protection locked="0"/>
    </xf>
    <xf numFmtId="164" fontId="6" fillId="0" borderId="22" xfId="2" applyFont="1" applyBorder="1" applyAlignment="1">
      <alignment horizontal="left" vertical="center"/>
    </xf>
    <xf numFmtId="164" fontId="5" fillId="0" borderId="47" xfId="2" applyFont="1" applyBorder="1" applyAlignment="1">
      <alignment horizontal="right" vertical="center"/>
    </xf>
    <xf numFmtId="164" fontId="5" fillId="0" borderId="48" xfId="2" applyFont="1" applyBorder="1" applyAlignment="1">
      <alignment horizontal="right" vertical="center"/>
    </xf>
    <xf numFmtId="164" fontId="5" fillId="0" borderId="49" xfId="2" applyFont="1" applyBorder="1" applyAlignment="1">
      <alignment horizontal="right" vertical="center"/>
    </xf>
    <xf numFmtId="164" fontId="6" fillId="0" borderId="50" xfId="2" applyFont="1" applyBorder="1" applyAlignment="1">
      <alignment horizontal="left" vertical="center"/>
    </xf>
    <xf numFmtId="165" fontId="5" fillId="8" borderId="12" xfId="2" applyNumberFormat="1" applyFont="1" applyFill="1" applyBorder="1" applyAlignment="1" applyProtection="1">
      <alignment horizontal="center" vertical="center"/>
      <protection locked="0"/>
    </xf>
    <xf numFmtId="164" fontId="6" fillId="0" borderId="44" xfId="2" applyFont="1" applyBorder="1" applyAlignment="1">
      <alignment horizontal="right" vertical="center"/>
    </xf>
    <xf numFmtId="166" fontId="13" fillId="0" borderId="0" xfId="2" applyNumberFormat="1" applyFont="1"/>
    <xf numFmtId="164" fontId="5" fillId="0" borderId="0" xfId="2" applyFont="1" applyAlignment="1">
      <alignment horizontal="center" vertical="center"/>
    </xf>
    <xf numFmtId="164" fontId="5" fillId="0" borderId="0" xfId="2" applyFont="1" applyAlignment="1">
      <alignment vertical="center"/>
    </xf>
    <xf numFmtId="164" fontId="1" fillId="0" borderId="0" xfId="2" applyAlignment="1">
      <alignment horizontal="center" vertical="center"/>
    </xf>
    <xf numFmtId="2" fontId="10" fillId="0" borderId="43" xfId="2" applyNumberFormat="1" applyFont="1" applyBorder="1" applyAlignment="1">
      <alignment horizontal="center" vertical="center"/>
    </xf>
    <xf numFmtId="168" fontId="5" fillId="0" borderId="51" xfId="2" applyNumberFormat="1" applyFont="1" applyBorder="1" applyAlignment="1" applyProtection="1">
      <alignment horizontal="center" vertical="center"/>
      <protection locked="0"/>
    </xf>
    <xf numFmtId="168" fontId="5" fillId="0" borderId="12" xfId="2" applyNumberFormat="1" applyFont="1" applyBorder="1" applyAlignment="1" applyProtection="1">
      <alignment horizontal="center" vertical="center"/>
      <protection locked="0"/>
    </xf>
    <xf numFmtId="165" fontId="5" fillId="0" borderId="51" xfId="2" applyNumberFormat="1" applyFont="1" applyBorder="1" applyAlignment="1" applyProtection="1">
      <alignment horizontal="center" vertical="center"/>
      <protection locked="0"/>
    </xf>
    <xf numFmtId="164" fontId="15" fillId="0" borderId="0" xfId="2" applyFont="1"/>
    <xf numFmtId="164" fontId="15" fillId="0" borderId="0" xfId="2" applyFont="1" applyAlignment="1">
      <alignment horizontal="left"/>
    </xf>
    <xf numFmtId="164" fontId="15" fillId="0" borderId="0" xfId="2" applyFont="1" applyAlignment="1">
      <alignment horizontal="center"/>
    </xf>
    <xf numFmtId="2" fontId="5" fillId="11" borderId="56" xfId="2" applyNumberFormat="1" applyFont="1" applyFill="1" applyBorder="1" applyAlignment="1">
      <alignment horizontal="center" vertical="center"/>
    </xf>
    <xf numFmtId="164" fontId="5" fillId="0" borderId="60" xfId="2" applyFont="1" applyBorder="1" applyAlignment="1">
      <alignment vertical="center"/>
    </xf>
    <xf numFmtId="20" fontId="1" fillId="0" borderId="0" xfId="2" applyNumberFormat="1" applyAlignment="1">
      <alignment horizontal="center" vertical="center"/>
    </xf>
    <xf numFmtId="164" fontId="2" fillId="0" borderId="0" xfId="2" applyFont="1"/>
    <xf numFmtId="43" fontId="18" fillId="0" borderId="0" xfId="1" applyFont="1" applyFill="1" applyAlignment="1">
      <alignment horizontal="center" vertical="center"/>
    </xf>
    <xf numFmtId="1" fontId="19" fillId="0" borderId="0" xfId="2" applyNumberFormat="1" applyFont="1" applyAlignment="1">
      <alignment horizontal="center" vertical="center"/>
    </xf>
    <xf numFmtId="164" fontId="20" fillId="0" borderId="0" xfId="2" applyFont="1" applyAlignment="1">
      <alignment horizontal="left" vertical="center"/>
    </xf>
    <xf numFmtId="164" fontId="1" fillId="12" borderId="0" xfId="2" applyFill="1"/>
    <xf numFmtId="164" fontId="15" fillId="12" borderId="0" xfId="2" applyFont="1" applyFill="1"/>
    <xf numFmtId="43" fontId="21" fillId="12" borderId="0" xfId="1" applyFont="1" applyFill="1" applyAlignment="1">
      <alignment horizontal="center" vertical="center"/>
    </xf>
    <xf numFmtId="164" fontId="22" fillId="0" borderId="0" xfId="2" applyFont="1" applyAlignment="1">
      <alignment vertical="center"/>
    </xf>
    <xf numFmtId="164" fontId="23" fillId="0" borderId="0" xfId="2" applyFont="1" applyAlignment="1">
      <alignment vertical="center"/>
    </xf>
    <xf numFmtId="164" fontId="24" fillId="13" borderId="0" xfId="2" applyFont="1" applyFill="1" applyAlignment="1">
      <alignment horizontal="left" vertical="center"/>
    </xf>
    <xf numFmtId="164" fontId="24" fillId="13" borderId="0" xfId="2" applyFont="1" applyFill="1" applyAlignment="1">
      <alignment vertical="center"/>
    </xf>
    <xf numFmtId="164" fontId="1" fillId="14" borderId="0" xfId="2" applyFill="1"/>
    <xf numFmtId="164" fontId="25" fillId="12" borderId="0" xfId="2" applyFont="1" applyFill="1"/>
    <xf numFmtId="165" fontId="1" fillId="14" borderId="0" xfId="2" applyNumberFormat="1" applyFill="1"/>
    <xf numFmtId="164" fontId="24" fillId="13" borderId="0" xfId="2" applyFont="1" applyFill="1" applyAlignment="1">
      <alignment horizontal="right" vertical="center"/>
    </xf>
    <xf numFmtId="164" fontId="3" fillId="0" borderId="0" xfId="2" applyFont="1" applyAlignment="1">
      <alignment horizontal="center" vertical="center"/>
    </xf>
    <xf numFmtId="164" fontId="3" fillId="0" borderId="0" xfId="2" applyFont="1" applyAlignment="1">
      <alignment vertical="center"/>
    </xf>
    <xf numFmtId="164" fontId="1" fillId="0" borderId="1" xfId="2" applyBorder="1" applyAlignment="1">
      <alignment horizontal="center" vertical="center"/>
    </xf>
    <xf numFmtId="164" fontId="26" fillId="0" borderId="6" xfId="2" applyFont="1" applyBorder="1" applyAlignment="1">
      <alignment vertical="center"/>
    </xf>
    <xf numFmtId="164" fontId="26" fillId="0" borderId="7" xfId="2" applyFont="1" applyBorder="1" applyAlignment="1">
      <alignment vertical="center"/>
    </xf>
    <xf numFmtId="164" fontId="27" fillId="0" borderId="0" xfId="2" applyFont="1"/>
    <xf numFmtId="164" fontId="28" fillId="0" borderId="0" xfId="2" applyFont="1" applyAlignment="1">
      <alignment horizontal="center" vertical="center"/>
    </xf>
    <xf numFmtId="43" fontId="25" fillId="12" borderId="0" xfId="1" applyFont="1" applyFill="1" applyAlignment="1">
      <alignment horizontal="center"/>
    </xf>
    <xf numFmtId="14" fontId="29" fillId="0" borderId="0" xfId="2" applyNumberFormat="1" applyFont="1" applyAlignment="1">
      <alignment vertical="center"/>
    </xf>
    <xf numFmtId="164" fontId="23" fillId="0" borderId="1" xfId="2" applyFont="1" applyBorder="1" applyAlignment="1">
      <alignment vertical="center"/>
    </xf>
    <xf numFmtId="164" fontId="23" fillId="0" borderId="1" xfId="2" applyFont="1" applyBorder="1" applyAlignment="1">
      <alignment horizontal="center" vertical="center"/>
    </xf>
    <xf numFmtId="164" fontId="26" fillId="0" borderId="14" xfId="2" applyFont="1" applyBorder="1" applyAlignment="1">
      <alignment vertical="center"/>
    </xf>
    <xf numFmtId="164" fontId="26" fillId="0" borderId="15" xfId="2" applyFont="1" applyBorder="1" applyAlignment="1">
      <alignment vertical="center"/>
    </xf>
    <xf numFmtId="164" fontId="30" fillId="0" borderId="0" xfId="2" applyFont="1" applyAlignment="1">
      <alignment vertical="center"/>
    </xf>
    <xf numFmtId="164" fontId="1" fillId="0" borderId="0" xfId="2" applyProtection="1">
      <protection locked="0"/>
    </xf>
    <xf numFmtId="164" fontId="0" fillId="0" borderId="26" xfId="2" applyFont="1" applyBorder="1" applyAlignment="1">
      <alignment horizontal="center"/>
    </xf>
    <xf numFmtId="168" fontId="10" fillId="0" borderId="51" xfId="2" applyNumberFormat="1" applyFont="1" applyBorder="1" applyAlignment="1">
      <alignment horizontal="center" vertical="center"/>
    </xf>
    <xf numFmtId="1" fontId="1" fillId="0" borderId="0" xfId="2" applyNumberFormat="1" applyProtection="1">
      <protection locked="0"/>
    </xf>
    <xf numFmtId="1" fontId="1" fillId="0" borderId="0" xfId="2" applyNumberFormat="1"/>
    <xf numFmtId="164" fontId="35" fillId="0" borderId="0" xfId="2" applyFont="1" applyAlignment="1">
      <alignment horizontal="center"/>
    </xf>
    <xf numFmtId="164" fontId="0" fillId="0" borderId="0" xfId="2" applyFont="1"/>
    <xf numFmtId="2" fontId="1" fillId="0" borderId="0" xfId="2" applyNumberFormat="1"/>
    <xf numFmtId="165" fontId="0" fillId="14" borderId="0" xfId="2" applyNumberFormat="1" applyFont="1" applyFill="1"/>
    <xf numFmtId="164" fontId="23" fillId="0" borderId="0" xfId="2" applyFont="1" applyAlignment="1">
      <alignment horizontal="center" vertical="center" wrapText="1"/>
    </xf>
    <xf numFmtId="164" fontId="31" fillId="15" borderId="0" xfId="2" applyFont="1" applyFill="1" applyAlignment="1">
      <alignment horizontal="center" vertical="center"/>
    </xf>
    <xf numFmtId="164" fontId="23" fillId="0" borderId="32" xfId="2" applyFont="1" applyBorder="1" applyAlignment="1">
      <alignment horizontal="center" vertical="center"/>
    </xf>
    <xf numFmtId="164" fontId="23" fillId="0" borderId="64" xfId="2" applyFont="1" applyBorder="1" applyAlignment="1">
      <alignment horizontal="center" vertical="center"/>
    </xf>
    <xf numFmtId="164" fontId="23" fillId="0" borderId="31" xfId="2" applyFont="1" applyBorder="1" applyAlignment="1">
      <alignment horizontal="center" vertical="center"/>
    </xf>
    <xf numFmtId="164" fontId="23" fillId="0" borderId="63" xfId="2" applyFont="1" applyBorder="1" applyAlignment="1">
      <alignment horizontal="center" vertical="center"/>
    </xf>
    <xf numFmtId="164" fontId="1" fillId="0" borderId="62" xfId="2" applyBorder="1" applyAlignment="1">
      <alignment horizontal="center" textRotation="90"/>
    </xf>
    <xf numFmtId="164" fontId="24" fillId="13" borderId="61" xfId="2" applyFont="1" applyFill="1" applyBorder="1" applyAlignment="1">
      <alignment horizontal="left" vertical="center"/>
    </xf>
    <xf numFmtId="164" fontId="24" fillId="13" borderId="61" xfId="2" applyFont="1" applyFill="1" applyBorder="1" applyAlignment="1">
      <alignment horizontal="center" vertical="center"/>
    </xf>
    <xf numFmtId="2" fontId="17" fillId="0" borderId="59" xfId="2" applyNumberFormat="1" applyFont="1" applyBorder="1" applyAlignment="1">
      <alignment horizontal="center" vertical="center"/>
    </xf>
    <xf numFmtId="2" fontId="17" fillId="0" borderId="58" xfId="2" applyNumberFormat="1" applyFont="1" applyBorder="1" applyAlignment="1">
      <alignment horizontal="center" vertical="center"/>
    </xf>
    <xf numFmtId="2" fontId="17" fillId="0" borderId="57" xfId="2" applyNumberFormat="1" applyFont="1" applyBorder="1" applyAlignment="1">
      <alignment horizontal="center" vertical="center"/>
    </xf>
    <xf numFmtId="2" fontId="16" fillId="0" borderId="59" xfId="2" applyNumberFormat="1" applyFont="1" applyBorder="1" applyAlignment="1">
      <alignment horizontal="center" vertical="center"/>
    </xf>
    <xf numFmtId="2" fontId="16" fillId="0" borderId="58" xfId="2" applyNumberFormat="1" applyFont="1" applyBorder="1" applyAlignment="1">
      <alignment horizontal="center" vertical="center"/>
    </xf>
    <xf numFmtId="2" fontId="16" fillId="0" borderId="57" xfId="2" applyNumberFormat="1" applyFont="1" applyBorder="1" applyAlignment="1">
      <alignment horizontal="center" vertical="center"/>
    </xf>
    <xf numFmtId="164" fontId="6" fillId="0" borderId="55" xfId="2" applyFont="1" applyBorder="1" applyAlignment="1">
      <alignment horizontal="left" vertical="top" wrapText="1"/>
    </xf>
    <xf numFmtId="164" fontId="6" fillId="0" borderId="53" xfId="2" applyFont="1" applyBorder="1" applyAlignment="1">
      <alignment horizontal="left" vertical="top" wrapText="1"/>
    </xf>
    <xf numFmtId="167" fontId="5" fillId="0" borderId="24" xfId="2" applyNumberFormat="1" applyFont="1" applyBorder="1" applyAlignment="1">
      <alignment horizontal="center" vertical="center"/>
    </xf>
    <xf numFmtId="167" fontId="5" fillId="0" borderId="52" xfId="2" applyNumberFormat="1" applyFont="1" applyBorder="1" applyAlignment="1">
      <alignment horizontal="center" vertical="center"/>
    </xf>
    <xf numFmtId="167" fontId="5" fillId="0" borderId="3" xfId="2" applyNumberFormat="1" applyFont="1" applyBorder="1" applyAlignment="1">
      <alignment horizontal="center" vertical="center"/>
    </xf>
    <xf numFmtId="169" fontId="14" fillId="9" borderId="54" xfId="2" applyNumberFormat="1" applyFont="1" applyFill="1" applyBorder="1" applyAlignment="1">
      <alignment horizontal="center" vertical="center" wrapText="1"/>
    </xf>
    <xf numFmtId="169" fontId="14" fillId="9" borderId="45" xfId="2" applyNumberFormat="1" applyFont="1" applyFill="1" applyBorder="1" applyAlignment="1">
      <alignment horizontal="center" vertical="center" wrapText="1"/>
    </xf>
    <xf numFmtId="164" fontId="4" fillId="4" borderId="0" xfId="2" applyFont="1" applyFill="1" applyAlignment="1">
      <alignment horizontal="center"/>
    </xf>
    <xf numFmtId="167" fontId="5" fillId="10" borderId="3" xfId="2" applyNumberFormat="1" applyFont="1" applyFill="1" applyBorder="1" applyAlignment="1">
      <alignment horizontal="center" vertical="center"/>
    </xf>
    <xf numFmtId="167" fontId="5" fillId="10" borderId="52" xfId="2" applyNumberFormat="1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  <cellStyle name="Normal 2 3" xfId="4" xr:uid="{00000000-0005-0000-0000-000004000000}"/>
  </cellStyles>
  <dxfs count="7484"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51E2F1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'1'!$A$234:$A$238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'1'!$B$234:$B$238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'1'!$S$236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'1'!$T$234:$AX$234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'1'!$U$235:$AX$235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4511488"/>
        <c:axId val="244844032"/>
      </c:lineChart>
      <c:catAx>
        <c:axId val="2445114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844032"/>
        <c:crosses val="autoZero"/>
        <c:auto val="1"/>
        <c:lblAlgn val="ctr"/>
        <c:lblOffset val="100"/>
        <c:noMultiLvlLbl val="0"/>
      </c:catAx>
      <c:valAx>
        <c:axId val="2448440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51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'2'!$A$234:$A$238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'2'!$B$234:$B$238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'2'!$S$236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'2'!$T$234:$AX$234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'2'!$U$235:$AX$235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091264"/>
        <c:axId val="256093568"/>
      </c:lineChart>
      <c:catAx>
        <c:axId val="2560912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093568"/>
        <c:crosses val="autoZero"/>
        <c:auto val="1"/>
        <c:lblAlgn val="ctr"/>
        <c:lblOffset val="100"/>
        <c:noMultiLvlLbl val="0"/>
      </c:catAx>
      <c:valAx>
        <c:axId val="2560935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09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'3'!$A$234:$A$238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'3'!$B$234:$B$238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'3'!$S$236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'3'!$T$234:$AX$234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'3'!$U$235:$AX$235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6756864"/>
        <c:axId val="286758784"/>
      </c:lineChart>
      <c:catAx>
        <c:axId val="2867568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758784"/>
        <c:crosses val="autoZero"/>
        <c:auto val="1"/>
        <c:lblAlgn val="ctr"/>
        <c:lblOffset val="100"/>
        <c:noMultiLvlLbl val="0"/>
      </c:catAx>
      <c:valAx>
        <c:axId val="2867587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75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'4'!$A$234:$A$238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'4'!$B$234:$B$238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'4'!$S$236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'4'!$T$234:$AX$234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'4'!$U$235:$AX$235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951360"/>
        <c:axId val="338027264"/>
      </c:lineChart>
      <c:catAx>
        <c:axId val="337951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027264"/>
        <c:crosses val="autoZero"/>
        <c:auto val="1"/>
        <c:lblAlgn val="ctr"/>
        <c:lblOffset val="100"/>
        <c:noMultiLvlLbl val="0"/>
      </c:catAx>
      <c:valAx>
        <c:axId val="3380272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5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'5'!$A$234:$A$238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'5'!$B$234:$B$238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'5'!$S$236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'5'!$T$234:$AX$234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'5'!$U$235:$AX$235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718784"/>
        <c:axId val="367720704"/>
      </c:lineChart>
      <c:catAx>
        <c:axId val="36771878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20704"/>
        <c:crosses val="autoZero"/>
        <c:auto val="1"/>
        <c:lblAlgn val="ctr"/>
        <c:lblOffset val="100"/>
        <c:noMultiLvlLbl val="0"/>
      </c:catAx>
      <c:valAx>
        <c:axId val="3677207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1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'6'!$A$236:$A$240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'6'!$B$236:$B$240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'6'!$U$237:$AX$237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567424"/>
        <c:axId val="366569344"/>
      </c:lineChart>
      <c:catAx>
        <c:axId val="3665674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569344"/>
        <c:crosses val="autoZero"/>
        <c:auto val="1"/>
        <c:lblAlgn val="ctr"/>
        <c:lblOffset val="100"/>
        <c:noMultiLvlLbl val="0"/>
      </c:catAx>
      <c:valAx>
        <c:axId val="366569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56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'7'!$A$236:$A$240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'7'!$B$236:$B$240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'7'!$S$238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'7'!$T$236:$AX$236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'7'!$U$237:$AX$237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960192"/>
        <c:axId val="385974656"/>
      </c:lineChart>
      <c:catAx>
        <c:axId val="3859601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974656"/>
        <c:crosses val="autoZero"/>
        <c:auto val="1"/>
        <c:lblAlgn val="ctr"/>
        <c:lblOffset val="100"/>
        <c:noMultiLvlLbl val="0"/>
      </c:catAx>
      <c:valAx>
        <c:axId val="3859746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96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'8'!$B$236:$B$240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'8'!$T$236:$AX$236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'8'!$U$237:$AX$237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6863872"/>
        <c:axId val="386865792"/>
      </c:lineChart>
      <c:catAx>
        <c:axId val="38686387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865792"/>
        <c:crosses val="autoZero"/>
        <c:auto val="1"/>
        <c:lblAlgn val="ctr"/>
        <c:lblOffset val="100"/>
        <c:noMultiLvlLbl val="0"/>
      </c:catAx>
      <c:valAx>
        <c:axId val="3868657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86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'9'!$A$236:$A$240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'9'!$B$236:$B$240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'9'!$S$238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'9'!$T$236:$AX$236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'9'!$U$237:$AX$237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109632"/>
        <c:axId val="387111552"/>
      </c:lineChart>
      <c:catAx>
        <c:axId val="3871096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11552"/>
        <c:crosses val="autoZero"/>
        <c:auto val="1"/>
        <c:lblAlgn val="ctr"/>
        <c:lblOffset val="100"/>
        <c:noMultiLvlLbl val="0"/>
      </c:catAx>
      <c:valAx>
        <c:axId val="38711155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0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'10'!$A$236:$A$240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'10'!$B$236:$B$240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'10'!$T$236:$AX$236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'10'!$U$237:$AX$237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863296"/>
        <c:axId val="387865216"/>
      </c:lineChart>
      <c:catAx>
        <c:axId val="3878632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865216"/>
        <c:crosses val="autoZero"/>
        <c:auto val="1"/>
        <c:lblAlgn val="ctr"/>
        <c:lblOffset val="100"/>
        <c:noMultiLvlLbl val="0"/>
      </c:catAx>
      <c:valAx>
        <c:axId val="38786521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86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'11'!$B$236:$B$240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'11'!$T$236:$AX$236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'11'!$U$237:$AX$237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236992"/>
        <c:axId val="387238912"/>
      </c:lineChart>
      <c:catAx>
        <c:axId val="38723699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238912"/>
        <c:crosses val="autoZero"/>
        <c:auto val="1"/>
        <c:lblAlgn val="ctr"/>
        <c:lblOffset val="100"/>
        <c:noMultiLvlLbl val="0"/>
      </c:catAx>
      <c:valAx>
        <c:axId val="3872389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23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'12'!$B$236:$B$240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'12'!$T$236:$AX$236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'12'!$U$237:$AX$237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625920"/>
        <c:axId val="366627840"/>
      </c:lineChart>
      <c:catAx>
        <c:axId val="36662592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627840"/>
        <c:crosses val="autoZero"/>
        <c:auto val="1"/>
        <c:lblAlgn val="ctr"/>
        <c:lblOffset val="100"/>
        <c:noMultiLvlLbl val="0"/>
      </c:catAx>
      <c:valAx>
        <c:axId val="366627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62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'13'!$B$236:$B$240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'13'!$T$236:$AX$236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'13'!$U$237:$AX$237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9671936"/>
        <c:axId val="389698688"/>
      </c:lineChart>
      <c:catAx>
        <c:axId val="3896719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98688"/>
        <c:crosses val="autoZero"/>
        <c:auto val="1"/>
        <c:lblAlgn val="ctr"/>
        <c:lblOffset val="100"/>
        <c:noMultiLvlLbl val="0"/>
      </c:catAx>
      <c:valAx>
        <c:axId val="38969868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7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'14'!$B$236:$B$240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'14'!$T$236:$AX$236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'14'!$U$237:$AX$237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9034880"/>
        <c:axId val="387781760"/>
      </c:lineChart>
      <c:catAx>
        <c:axId val="2790348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81760"/>
        <c:crosses val="autoZero"/>
        <c:auto val="1"/>
        <c:lblAlgn val="ctr"/>
        <c:lblOffset val="100"/>
        <c:noMultiLvlLbl val="0"/>
      </c:catAx>
      <c:valAx>
        <c:axId val="3877817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03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'15'!$B$236:$B$240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'15'!$T$236:$AX$236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'15'!$U$237:$AX$237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1456256"/>
        <c:axId val="391458176"/>
      </c:lineChart>
      <c:catAx>
        <c:axId val="39145625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458176"/>
        <c:crosses val="autoZero"/>
        <c:auto val="1"/>
        <c:lblAlgn val="ctr"/>
        <c:lblOffset val="100"/>
        <c:noMultiLvlLbl val="0"/>
      </c:catAx>
      <c:valAx>
        <c:axId val="3914581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45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'16'!$B$236:$B$240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'16'!$T$236:$AX$236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'16'!$U$237:$AX$237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2013312"/>
        <c:axId val="392015232"/>
      </c:lineChart>
      <c:catAx>
        <c:axId val="3920133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15232"/>
        <c:crosses val="autoZero"/>
        <c:auto val="1"/>
        <c:lblAlgn val="ctr"/>
        <c:lblOffset val="100"/>
        <c:noMultiLvlLbl val="0"/>
      </c:catAx>
      <c:valAx>
        <c:axId val="3920152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01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'17'!$B$236:$B$240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'17'!$T$236:$AX$236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'17'!$U$237:$AX$237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1570944"/>
        <c:axId val="391572864"/>
      </c:lineChart>
      <c:catAx>
        <c:axId val="3915709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572864"/>
        <c:crosses val="autoZero"/>
        <c:auto val="1"/>
        <c:lblAlgn val="ctr"/>
        <c:lblOffset val="100"/>
        <c:noMultiLvlLbl val="0"/>
      </c:catAx>
      <c:valAx>
        <c:axId val="3915728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570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'18'!$A$236:$A$240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'18'!$B$236:$B$240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'18'!$S$238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'18'!$T$236:$AX$236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'18'!$U$237:$AX$237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659904"/>
        <c:axId val="393661824"/>
      </c:lineChart>
      <c:catAx>
        <c:axId val="3936599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61824"/>
        <c:crosses val="autoZero"/>
        <c:auto val="1"/>
        <c:lblAlgn val="ctr"/>
        <c:lblOffset val="100"/>
        <c:noMultiLvlLbl val="0"/>
      </c:catAx>
      <c:valAx>
        <c:axId val="393661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65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'19'!$A$236:$A$240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'19'!$B$236:$B$240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'19'!$S$238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'19'!$T$236:$AX$236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'19'!$U$237:$AX$237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307264"/>
        <c:axId val="393309184"/>
      </c:lineChart>
      <c:catAx>
        <c:axId val="3933072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309184"/>
        <c:crosses val="autoZero"/>
        <c:auto val="1"/>
        <c:lblAlgn val="ctr"/>
        <c:lblOffset val="100"/>
        <c:noMultiLvlLbl val="0"/>
      </c:catAx>
      <c:valAx>
        <c:axId val="3933091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30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'20'!$B$236:$B$240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'20'!$T$236:$AX$236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'20'!$U$237:$AX$237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4693248"/>
        <c:axId val="394707712"/>
      </c:lineChart>
      <c:catAx>
        <c:axId val="3946932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707712"/>
        <c:crosses val="autoZero"/>
        <c:auto val="1"/>
        <c:lblAlgn val="ctr"/>
        <c:lblOffset val="100"/>
        <c:noMultiLvlLbl val="0"/>
      </c:catAx>
      <c:valAx>
        <c:axId val="3947077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69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'21'!$A$236:$A$240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'21'!$B$236:$B$240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'21'!$S$238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'21'!$T$236:$AX$236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'21'!$U$237:$AX$237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2886912"/>
        <c:axId val="392712960"/>
      </c:lineChart>
      <c:catAx>
        <c:axId val="3928869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712960"/>
        <c:crosses val="autoZero"/>
        <c:auto val="1"/>
        <c:lblAlgn val="ctr"/>
        <c:lblOffset val="100"/>
        <c:noMultiLvlLbl val="0"/>
      </c:catAx>
      <c:valAx>
        <c:axId val="3927129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88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'22'!$A$236:$A$240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'22'!$B$236:$B$240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'22'!$S$238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'22'!$T$236:$AX$236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'22'!$U$237:$AX$237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0811648"/>
        <c:axId val="390813568"/>
      </c:lineChart>
      <c:catAx>
        <c:axId val="3908116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813568"/>
        <c:crosses val="autoZero"/>
        <c:auto val="1"/>
        <c:lblAlgn val="ctr"/>
        <c:lblOffset val="100"/>
        <c:noMultiLvlLbl val="0"/>
      </c:catAx>
      <c:valAx>
        <c:axId val="3908135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81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'23'!$B$236:$B$240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'23'!$T$236:$AX$236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'23'!$U$237:$AX$237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063104"/>
        <c:axId val="396065024"/>
      </c:lineChart>
      <c:catAx>
        <c:axId val="3960631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65024"/>
        <c:crosses val="autoZero"/>
        <c:auto val="1"/>
        <c:lblAlgn val="ctr"/>
        <c:lblOffset val="100"/>
        <c:noMultiLvlLbl val="0"/>
      </c:catAx>
      <c:valAx>
        <c:axId val="3960650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063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'24'!$B$236:$B$240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'24'!$T$236:$AX$236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'24'!$U$237:$AX$237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508608"/>
        <c:axId val="397510528"/>
      </c:lineChart>
      <c:catAx>
        <c:axId val="3975086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510528"/>
        <c:crosses val="autoZero"/>
        <c:auto val="1"/>
        <c:lblAlgn val="ctr"/>
        <c:lblOffset val="100"/>
        <c:noMultiLvlLbl val="0"/>
      </c:catAx>
      <c:valAx>
        <c:axId val="3975105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508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'25'!$B$236:$B$240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'25'!$T$236:$AX$236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'25'!$U$237:$AX$237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938816"/>
        <c:axId val="393940992"/>
      </c:lineChart>
      <c:catAx>
        <c:axId val="39393881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40992"/>
        <c:crosses val="autoZero"/>
        <c:auto val="1"/>
        <c:lblAlgn val="ctr"/>
        <c:lblOffset val="100"/>
        <c:noMultiLvlLbl val="0"/>
      </c:catAx>
      <c:valAx>
        <c:axId val="39394099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93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'26'!$B$236:$B$240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'26'!$T$236:$AX$236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'26'!$U$237:$AX$237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8153600"/>
        <c:axId val="398155776"/>
      </c:lineChart>
      <c:catAx>
        <c:axId val="3981536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155776"/>
        <c:crosses val="autoZero"/>
        <c:auto val="1"/>
        <c:lblAlgn val="ctr"/>
        <c:lblOffset val="100"/>
        <c:noMultiLvlLbl val="0"/>
      </c:catAx>
      <c:valAx>
        <c:axId val="39815577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815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'27'!$B$236:$B$240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'27'!$T$236:$AX$236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'27'!$U$237:$AX$237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9325824"/>
        <c:axId val="399328000"/>
      </c:lineChart>
      <c:catAx>
        <c:axId val="3993258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28000"/>
        <c:crosses val="autoZero"/>
        <c:auto val="1"/>
        <c:lblAlgn val="ctr"/>
        <c:lblOffset val="100"/>
        <c:noMultiLvlLbl val="0"/>
      </c:catAx>
      <c:valAx>
        <c:axId val="399328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32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'28'!$B$236:$B$240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'28'!$T$236:$AX$236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'28'!$U$237:$AX$237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9834112"/>
        <c:axId val="395347072"/>
      </c:lineChart>
      <c:catAx>
        <c:axId val="3998341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47072"/>
        <c:crosses val="autoZero"/>
        <c:auto val="1"/>
        <c:lblAlgn val="ctr"/>
        <c:lblOffset val="100"/>
        <c:noMultiLvlLbl val="0"/>
      </c:catAx>
      <c:valAx>
        <c:axId val="3953470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834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'29'!$B$236:$B$240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'29'!$T$236:$AX$236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'29'!$U$237:$AX$237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0555008"/>
        <c:axId val="400585856"/>
      </c:lineChart>
      <c:catAx>
        <c:axId val="4005550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585856"/>
        <c:crosses val="autoZero"/>
        <c:auto val="1"/>
        <c:lblAlgn val="ctr"/>
        <c:lblOffset val="100"/>
        <c:noMultiLvlLbl val="0"/>
      </c:catAx>
      <c:valAx>
        <c:axId val="4005858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55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'30'!$B$236:$B$240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'30'!$T$236:$AX$236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'30'!$U$237:$AX$237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419648"/>
        <c:axId val="401421824"/>
      </c:lineChart>
      <c:catAx>
        <c:axId val="4014196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21824"/>
        <c:crosses val="autoZero"/>
        <c:auto val="1"/>
        <c:lblAlgn val="ctr"/>
        <c:lblOffset val="100"/>
        <c:noMultiLvlLbl val="0"/>
      </c:catAx>
      <c:valAx>
        <c:axId val="4014218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41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'31'!$A$236:$A$240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'31'!$B$236:$B$240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'31'!$S$238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'31'!$T$236:$AX$236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'31'!$U$237:$AX$237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9835136"/>
        <c:axId val="399837056"/>
      </c:lineChart>
      <c:catAx>
        <c:axId val="3998351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837056"/>
        <c:crosses val="autoZero"/>
        <c:auto val="1"/>
        <c:lblAlgn val="ctr"/>
        <c:lblOffset val="100"/>
        <c:noMultiLvlLbl val="0"/>
      </c:catAx>
      <c:valAx>
        <c:axId val="39983705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83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kartik1!$A$236:$A$240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kartik1!$B$236:$B$240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kartik1!$S$238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kartik1!$T$236:$AX$236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kartik1!$U$237:$AX$237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907712"/>
        <c:axId val="401909632"/>
      </c:lineChart>
      <c:catAx>
        <c:axId val="4019077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909632"/>
        <c:crosses val="autoZero"/>
        <c:auto val="1"/>
        <c:lblAlgn val="ctr"/>
        <c:lblOffset val="100"/>
        <c:noMultiLvlLbl val="0"/>
      </c:catAx>
      <c:valAx>
        <c:axId val="4019096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90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Peak Demand(Inclusive of Export)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835-4B6C-9C49-6E007D2CD6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835-4B6C-9C49-6E007D2CD6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835-4B6C-9C49-6E007D2CD63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835-4B6C-9C49-6E007D2CD63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835-4B6C-9C49-6E007D2CD63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Sample!$A$236:$A$240</c:f>
              <c:strCache>
                <c:ptCount val="5"/>
                <c:pt idx="0">
                  <c:v>IPP</c:v>
                </c:pt>
                <c:pt idx="1">
                  <c:v>NEA(RoR+PRoR)</c:v>
                </c:pt>
                <c:pt idx="2">
                  <c:v>KL1+KL2+KL3</c:v>
                </c:pt>
                <c:pt idx="3">
                  <c:v>Import</c:v>
                </c:pt>
                <c:pt idx="4">
                  <c:v>Export</c:v>
                </c:pt>
              </c:strCache>
            </c:strRef>
          </c:cat>
          <c:val>
            <c:numRef>
              <c:f>Sample!$B$236:$B$240</c:f>
              <c:numCache>
                <c:formatCode>[$-F800]dddd\,\ mmmm\ dd\,\ yyyy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9835-4B6C-9C49-6E007D2CD6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Load Curve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Sample!$S$238</c:f>
              <c:strCache>
                <c:ptCount val="1"/>
                <c:pt idx="0">
                  <c:v>T_Load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Sample!$T$236:$AX$236</c:f>
              <c:numCache>
                <c:formatCode>[$-F800]dddd\,\ mmmm\ dd\,\ yyyy</c:formatCode>
                <c:ptCount val="31"/>
              </c:numCache>
            </c:numRef>
          </c:cat>
          <c:val>
            <c:numRef>
              <c:f>Sample!$U$237:$AX$237</c:f>
              <c:numCache>
                <c:formatCode>[hh]:mm</c:formatCode>
                <c:ptCount val="30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0.22916666666666666</c:v>
                </c:pt>
                <c:pt idx="6">
                  <c:v>0.25</c:v>
                </c:pt>
                <c:pt idx="7">
                  <c:v>0.27083333333333331</c:v>
                </c:pt>
                <c:pt idx="8">
                  <c:v>0.29166666666666669</c:v>
                </c:pt>
                <c:pt idx="9">
                  <c:v>0.3125</c:v>
                </c:pt>
                <c:pt idx="10">
                  <c:v>0.33333333333333331</c:v>
                </c:pt>
                <c:pt idx="11">
                  <c:v>0.375</c:v>
                </c:pt>
                <c:pt idx="12">
                  <c:v>0.41666666666666702</c:v>
                </c:pt>
                <c:pt idx="13">
                  <c:v>0.45833333333333298</c:v>
                </c:pt>
                <c:pt idx="14">
                  <c:v>0.5</c:v>
                </c:pt>
                <c:pt idx="15">
                  <c:v>0.54166666666666696</c:v>
                </c:pt>
                <c:pt idx="16">
                  <c:v>0.58333333333333304</c:v>
                </c:pt>
                <c:pt idx="17">
                  <c:v>0.625</c:v>
                </c:pt>
                <c:pt idx="18">
                  <c:v>0.66666666666666696</c:v>
                </c:pt>
                <c:pt idx="19">
                  <c:v>0.70833333333333304</c:v>
                </c:pt>
                <c:pt idx="20">
                  <c:v>0.72916666666666663</c:v>
                </c:pt>
                <c:pt idx="21">
                  <c:v>0.75</c:v>
                </c:pt>
                <c:pt idx="22">
                  <c:v>0.77083333333333337</c:v>
                </c:pt>
                <c:pt idx="23">
                  <c:v>0.79166666666666663</c:v>
                </c:pt>
                <c:pt idx="24">
                  <c:v>0.8125</c:v>
                </c:pt>
                <c:pt idx="25">
                  <c:v>0.83333333333333337</c:v>
                </c:pt>
                <c:pt idx="26">
                  <c:v>0.85416666666666663</c:v>
                </c:pt>
                <c:pt idx="27">
                  <c:v>0.875</c:v>
                </c:pt>
                <c:pt idx="28">
                  <c:v>0.91666666666666696</c:v>
                </c:pt>
                <c:pt idx="29">
                  <c:v>0.95833333333333304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7F1-4DC0-9F6E-D834055B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2837504"/>
        <c:axId val="402839424"/>
      </c:lineChart>
      <c:catAx>
        <c:axId val="40283750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Time(Hrs.)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839424"/>
        <c:crosses val="autoZero"/>
        <c:auto val="1"/>
        <c:lblAlgn val="ctr"/>
        <c:lblOffset val="100"/>
        <c:noMultiLvlLbl val="0"/>
      </c:catAx>
      <c:valAx>
        <c:axId val="40283942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Load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8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6.xml"/><Relationship Id="rId1" Type="http://schemas.openxmlformats.org/officeDocument/2006/relationships/chart" Target="../charts/chart45.xml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8.xml"/><Relationship Id="rId1" Type="http://schemas.openxmlformats.org/officeDocument/2006/relationships/chart" Target="../charts/chart47.xml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0.xml"/><Relationship Id="rId1" Type="http://schemas.openxmlformats.org/officeDocument/2006/relationships/chart" Target="../charts/chart49.xml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2.xml"/><Relationship Id="rId1" Type="http://schemas.openxmlformats.org/officeDocument/2006/relationships/chart" Target="../charts/chart5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4.xml"/><Relationship Id="rId1" Type="http://schemas.openxmlformats.org/officeDocument/2006/relationships/chart" Target="../charts/chart53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6.xml"/><Relationship Id="rId1" Type="http://schemas.openxmlformats.org/officeDocument/2006/relationships/chart" Target="../charts/chart55.xml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2.xml"/><Relationship Id="rId1" Type="http://schemas.openxmlformats.org/officeDocument/2006/relationships/chart" Target="../charts/chart61.xml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4.xml"/><Relationship Id="rId1" Type="http://schemas.openxmlformats.org/officeDocument/2006/relationships/chart" Target="../charts/chart63.xml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233</xdr:row>
      <xdr:rowOff>57156</xdr:rowOff>
    </xdr:from>
    <xdr:to>
      <xdr:col>15</xdr:col>
      <xdr:colOff>219074</xdr:colOff>
      <xdr:row>255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236</xdr:row>
      <xdr:rowOff>133356</xdr:rowOff>
    </xdr:from>
    <xdr:to>
      <xdr:col>32</xdr:col>
      <xdr:colOff>9524</xdr:colOff>
      <xdr:row>254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233</xdr:row>
      <xdr:rowOff>57156</xdr:rowOff>
    </xdr:from>
    <xdr:to>
      <xdr:col>15</xdr:col>
      <xdr:colOff>219074</xdr:colOff>
      <xdr:row>255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236</xdr:row>
      <xdr:rowOff>133356</xdr:rowOff>
    </xdr:from>
    <xdr:to>
      <xdr:col>32</xdr:col>
      <xdr:colOff>9524</xdr:colOff>
      <xdr:row>254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233</xdr:row>
      <xdr:rowOff>57156</xdr:rowOff>
    </xdr:from>
    <xdr:to>
      <xdr:col>15</xdr:col>
      <xdr:colOff>219074</xdr:colOff>
      <xdr:row>255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236</xdr:row>
      <xdr:rowOff>133356</xdr:rowOff>
    </xdr:from>
    <xdr:to>
      <xdr:col>32</xdr:col>
      <xdr:colOff>9524</xdr:colOff>
      <xdr:row>254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233</xdr:row>
      <xdr:rowOff>57156</xdr:rowOff>
    </xdr:from>
    <xdr:to>
      <xdr:col>15</xdr:col>
      <xdr:colOff>219074</xdr:colOff>
      <xdr:row>255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236</xdr:row>
      <xdr:rowOff>133356</xdr:rowOff>
    </xdr:from>
    <xdr:to>
      <xdr:col>32</xdr:col>
      <xdr:colOff>9524</xdr:colOff>
      <xdr:row>254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233</xdr:row>
      <xdr:rowOff>57156</xdr:rowOff>
    </xdr:from>
    <xdr:to>
      <xdr:col>15</xdr:col>
      <xdr:colOff>219074</xdr:colOff>
      <xdr:row>255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236</xdr:row>
      <xdr:rowOff>133356</xdr:rowOff>
    </xdr:from>
    <xdr:to>
      <xdr:col>32</xdr:col>
      <xdr:colOff>9524</xdr:colOff>
      <xdr:row>254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266705</xdr:colOff>
      <xdr:row>235</xdr:row>
      <xdr:rowOff>57156</xdr:rowOff>
    </xdr:from>
    <xdr:to>
      <xdr:col>15</xdr:col>
      <xdr:colOff>219074</xdr:colOff>
      <xdr:row>257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238124</xdr:colOff>
      <xdr:row>238</xdr:row>
      <xdr:rowOff>133356</xdr:rowOff>
    </xdr:from>
    <xdr:to>
      <xdr:col>32</xdr:col>
      <xdr:colOff>9524</xdr:colOff>
      <xdr:row>256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Roaming\Microsoft\AddIns\SkyDateConverter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ata%20Server\AppData\Local\Microsoft\Windows\INetCache\Content.MSO\Daily-Logsheet-2079-04%20Shraw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Sheet1"/>
      <sheetName val="Sheet2"/>
      <sheetName val="Sheet3"/>
      <sheetName val="SkyDateConverter"/>
    </sheetNames>
    <definedNames>
      <definedName name="DateBStoAD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Sample_new"/>
      <sheetName val="Sheet7"/>
      <sheetName val="Sheet8"/>
      <sheetName val="Sheet9"/>
      <sheetName val="Sheet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>
        <row r="233">
          <cell r="A233" t="str">
            <v>IPP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6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7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30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3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2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68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N107" sqref="N10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AG38</f>
        <v>665.78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AG56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2079/06/1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("&amp;ROUND(B239,0)&amp;" MW)"&amp;"    IPP   = "&amp;ROUND(B234,0)&amp;" MW     NEA RoR = "&amp;ROUND(B235,0)&amp;" MWImport   = "&amp;ROUND(B237,0)&amp;" MW      KL1+KL2+K3 = "&amp;ROUND(B236,0) &amp;" MW    EXPORT = "&amp;ROUND(B238,0)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AG60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C72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0</v>
      </c>
      <c r="X5" s="148">
        <f t="shared" si="0"/>
        <v>0</v>
      </c>
      <c r="Y5" s="148">
        <f t="shared" si="0"/>
        <v>0</v>
      </c>
      <c r="Z5" s="148">
        <f t="shared" si="0"/>
        <v>0</v>
      </c>
      <c r="AA5" s="148">
        <f t="shared" si="0"/>
        <v>0</v>
      </c>
      <c r="AB5" s="148">
        <f t="shared" si="0"/>
        <v>0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B72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"&amp;ROUND(B239,0)&amp;"MW at "&amp;TRUNC(B240*24,0)&amp;":"&amp;ROUND((B240*24-TRUNC(B240*24,0))*60,0)&amp;"hr at "&amp;ROUND(B241,1)&amp;"Hz     "&amp;A231&amp;" "&amp;ROUND(B231,0)&amp;"MW at "&amp;TRUNC(C231*24,0)&amp;":"&amp;ROUND((C231*24-TRUNC(C231*24,0))*6,0)&amp;"0hr"</f>
        <v>Evening Peak 0MW at 0:0hr at 0Hz     Morning Peak 1221MW at 9:00hr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1261.69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Load=4</v>
      </c>
      <c r="B7" s="137">
        <f t="shared" ref="B7:AF7" si="1">B79</f>
        <v>1464.14</v>
      </c>
      <c r="C7" s="137">
        <f t="shared" si="1"/>
        <v>1468.04</v>
      </c>
      <c r="D7" s="137">
        <f t="shared" si="1"/>
        <v>1460.04</v>
      </c>
      <c r="E7" s="137">
        <f t="shared" si="1"/>
        <v>1305.04</v>
      </c>
      <c r="F7" s="137">
        <f t="shared" si="1"/>
        <v>1305.04</v>
      </c>
      <c r="G7" s="137">
        <f t="shared" si="1"/>
        <v>1073.04</v>
      </c>
      <c r="H7" s="137">
        <f t="shared" si="1"/>
        <v>1059.04</v>
      </c>
      <c r="I7" s="137">
        <f t="shared" si="1"/>
        <v>1059.04</v>
      </c>
      <c r="J7" s="137">
        <f t="shared" si="1"/>
        <v>1133.04</v>
      </c>
      <c r="K7" s="137">
        <f t="shared" si="1"/>
        <v>1156.04</v>
      </c>
      <c r="L7" s="137">
        <f t="shared" si="1"/>
        <v>1160.04</v>
      </c>
      <c r="M7" s="137">
        <f t="shared" si="1"/>
        <v>1204.44</v>
      </c>
      <c r="N7" s="137">
        <f t="shared" si="1"/>
        <v>1220.54</v>
      </c>
      <c r="O7" s="137">
        <f t="shared" si="1"/>
        <v>1226.1399999999999</v>
      </c>
      <c r="P7" s="137">
        <f t="shared" si="1"/>
        <v>1209.74</v>
      </c>
      <c r="Q7" s="137">
        <f t="shared" si="1"/>
        <v>1198.1399999999999</v>
      </c>
      <c r="R7" s="137">
        <f t="shared" si="1"/>
        <v>1181.1400000000001</v>
      </c>
      <c r="S7" s="137">
        <f t="shared" si="1"/>
        <v>1054.1400000000001</v>
      </c>
      <c r="T7" s="137">
        <f t="shared" si="1"/>
        <v>3.54</v>
      </c>
      <c r="U7" s="137">
        <f t="shared" si="1"/>
        <v>959.74</v>
      </c>
      <c r="V7" s="137">
        <f t="shared" si="1"/>
        <v>992.74</v>
      </c>
      <c r="W7" s="137">
        <f t="shared" si="1"/>
        <v>1017.94</v>
      </c>
      <c r="X7" s="137">
        <f t="shared" si="1"/>
        <v>1067.04</v>
      </c>
      <c r="Y7" s="137">
        <f t="shared" si="1"/>
        <v>1185.74</v>
      </c>
      <c r="Z7" s="137">
        <f t="shared" si="1"/>
        <v>1262.04</v>
      </c>
      <c r="AA7" s="137">
        <f t="shared" si="1"/>
        <v>1254.04</v>
      </c>
      <c r="AB7" s="137">
        <f t="shared" si="1"/>
        <v>1270.54</v>
      </c>
      <c r="AC7" s="137">
        <f t="shared" si="1"/>
        <v>1268.54</v>
      </c>
      <c r="AD7" s="137">
        <f t="shared" si="1"/>
        <v>1163.94</v>
      </c>
      <c r="AE7" s="137">
        <f t="shared" si="1"/>
        <v>1134.6400000000001</v>
      </c>
      <c r="AF7" s="137">
        <f t="shared" si="1"/>
        <v>1232.9399999999998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53.7</v>
      </c>
      <c r="C11" s="105">
        <v>53.7</v>
      </c>
      <c r="D11" s="105">
        <v>53.7</v>
      </c>
      <c r="E11" s="105">
        <v>53.7</v>
      </c>
      <c r="F11" s="105">
        <v>53.7</v>
      </c>
      <c r="G11" s="105">
        <v>53.7</v>
      </c>
      <c r="H11" s="105">
        <v>53.7</v>
      </c>
      <c r="I11" s="105">
        <v>53.7</v>
      </c>
      <c r="J11" s="105">
        <v>53.7</v>
      </c>
      <c r="K11" s="105">
        <v>53.7</v>
      </c>
      <c r="L11" s="105">
        <v>53.7</v>
      </c>
      <c r="M11" s="105">
        <v>53.7</v>
      </c>
      <c r="N11" s="105">
        <v>53.7</v>
      </c>
      <c r="O11" s="105">
        <v>53.7</v>
      </c>
      <c r="P11" s="105">
        <v>53.7</v>
      </c>
      <c r="Q11" s="105">
        <v>53.7</v>
      </c>
      <c r="R11" s="105">
        <v>53.6</v>
      </c>
      <c r="S11" s="105">
        <v>53.6</v>
      </c>
      <c r="T11" s="128"/>
      <c r="U11" s="128">
        <v>53.6</v>
      </c>
      <c r="V11" s="128">
        <v>53.6</v>
      </c>
      <c r="W11" s="128">
        <v>53.6</v>
      </c>
      <c r="X11" s="128">
        <v>53.6</v>
      </c>
      <c r="Y11" s="128">
        <v>53.6</v>
      </c>
      <c r="Z11" s="128">
        <v>53.6</v>
      </c>
      <c r="AA11" s="128">
        <v>53.6</v>
      </c>
      <c r="AB11" s="128">
        <v>53.6</v>
      </c>
      <c r="AC11" s="128">
        <v>53.6</v>
      </c>
      <c r="AD11" s="128">
        <v>53.7</v>
      </c>
      <c r="AE11" s="128">
        <v>53.8</v>
      </c>
      <c r="AF11" s="128">
        <v>53.8</v>
      </c>
      <c r="AG11" s="127">
        <v>52.4</v>
      </c>
      <c r="AH11" s="20">
        <f t="shared" ref="AH11:AH42" si="2">MAX(B11:AF11)</f>
        <v>53.8</v>
      </c>
      <c r="AI11" s="19">
        <f t="shared" ref="AI11:AI42" si="3">MIN(B11:AF11)</f>
        <v>53.6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</v>
      </c>
      <c r="C12" s="105">
        <v>50</v>
      </c>
      <c r="D12" s="105">
        <v>50</v>
      </c>
      <c r="E12" s="105">
        <v>50</v>
      </c>
      <c r="F12" s="105">
        <v>50</v>
      </c>
      <c r="G12" s="105">
        <v>50</v>
      </c>
      <c r="H12" s="105">
        <v>50</v>
      </c>
      <c r="I12" s="105">
        <v>50</v>
      </c>
      <c r="J12" s="105">
        <v>50</v>
      </c>
      <c r="K12" s="105">
        <v>50</v>
      </c>
      <c r="L12" s="105">
        <v>50</v>
      </c>
      <c r="M12" s="105">
        <v>50</v>
      </c>
      <c r="N12" s="105">
        <v>50</v>
      </c>
      <c r="O12" s="105">
        <v>50</v>
      </c>
      <c r="P12" s="105">
        <v>50</v>
      </c>
      <c r="Q12" s="105">
        <v>50</v>
      </c>
      <c r="R12" s="105">
        <v>50.4</v>
      </c>
      <c r="S12" s="105">
        <v>0</v>
      </c>
      <c r="T12" s="105"/>
      <c r="U12" s="105">
        <v>0</v>
      </c>
      <c r="V12" s="105">
        <v>0</v>
      </c>
      <c r="W12" s="105">
        <v>0</v>
      </c>
      <c r="X12" s="105">
        <v>0</v>
      </c>
      <c r="Y12" s="105">
        <v>0</v>
      </c>
      <c r="Z12" s="105">
        <v>50</v>
      </c>
      <c r="AA12" s="105">
        <v>50</v>
      </c>
      <c r="AB12" s="105">
        <v>50</v>
      </c>
      <c r="AC12" s="105">
        <v>50</v>
      </c>
      <c r="AD12" s="105">
        <v>50.4</v>
      </c>
      <c r="AE12" s="105">
        <v>50.4</v>
      </c>
      <c r="AF12" s="105">
        <v>50.4</v>
      </c>
      <c r="AG12" s="126">
        <v>50</v>
      </c>
      <c r="AH12" s="20">
        <f t="shared" si="2"/>
        <v>50.4</v>
      </c>
      <c r="AI12" s="19">
        <f t="shared" si="3"/>
        <v>0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46</v>
      </c>
      <c r="C13" s="105">
        <v>46</v>
      </c>
      <c r="D13" s="105">
        <v>46</v>
      </c>
      <c r="E13" s="105">
        <v>46</v>
      </c>
      <c r="F13" s="105">
        <v>46</v>
      </c>
      <c r="G13" s="105">
        <v>46</v>
      </c>
      <c r="H13" s="105">
        <v>46</v>
      </c>
      <c r="I13" s="105">
        <v>46</v>
      </c>
      <c r="J13" s="105">
        <v>46</v>
      </c>
      <c r="K13" s="105">
        <v>46</v>
      </c>
      <c r="L13" s="105">
        <v>46</v>
      </c>
      <c r="M13" s="105">
        <v>46</v>
      </c>
      <c r="N13" s="105">
        <v>46</v>
      </c>
      <c r="O13" s="105">
        <v>46</v>
      </c>
      <c r="P13" s="105">
        <v>46</v>
      </c>
      <c r="Q13" s="105">
        <v>46</v>
      </c>
      <c r="R13" s="105">
        <v>46.1</v>
      </c>
      <c r="S13" s="105">
        <v>46.1</v>
      </c>
      <c r="T13" s="105"/>
      <c r="U13" s="105">
        <v>46.1</v>
      </c>
      <c r="V13" s="105">
        <v>46.1</v>
      </c>
      <c r="W13" s="105">
        <v>46.1</v>
      </c>
      <c r="X13" s="105">
        <v>46.1</v>
      </c>
      <c r="Y13" s="105">
        <v>46.1</v>
      </c>
      <c r="Z13" s="105">
        <v>46.1</v>
      </c>
      <c r="AA13" s="105">
        <v>46.1</v>
      </c>
      <c r="AB13" s="105">
        <v>46.1</v>
      </c>
      <c r="AC13" s="105">
        <v>46.1</v>
      </c>
      <c r="AD13" s="105">
        <v>46</v>
      </c>
      <c r="AE13" s="105">
        <v>46.1</v>
      </c>
      <c r="AF13" s="105">
        <v>37.200000000000003</v>
      </c>
      <c r="AG13" s="126">
        <v>45</v>
      </c>
      <c r="AH13" s="20">
        <f t="shared" si="2"/>
        <v>46.1</v>
      </c>
      <c r="AI13" s="19">
        <f t="shared" si="3"/>
        <v>37.200000000000003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27</v>
      </c>
      <c r="C14" s="105">
        <v>27</v>
      </c>
      <c r="D14" s="105">
        <v>27</v>
      </c>
      <c r="E14" s="105">
        <v>27</v>
      </c>
      <c r="F14" s="105">
        <v>27</v>
      </c>
      <c r="G14" s="105">
        <v>27</v>
      </c>
      <c r="H14" s="105">
        <v>27</v>
      </c>
      <c r="I14" s="105">
        <v>27</v>
      </c>
      <c r="J14" s="105">
        <v>27</v>
      </c>
      <c r="K14" s="105">
        <v>27</v>
      </c>
      <c r="L14" s="105">
        <v>27</v>
      </c>
      <c r="M14" s="105">
        <v>27</v>
      </c>
      <c r="N14" s="105">
        <v>25</v>
      </c>
      <c r="O14" s="105">
        <v>26.5</v>
      </c>
      <c r="P14" s="105">
        <v>26.5</v>
      </c>
      <c r="Q14" s="105">
        <v>26.5</v>
      </c>
      <c r="R14" s="105">
        <v>26.5</v>
      </c>
      <c r="S14" s="105">
        <v>0</v>
      </c>
      <c r="T14" s="105"/>
      <c r="U14" s="105">
        <v>26.5</v>
      </c>
      <c r="V14" s="105">
        <v>26.5</v>
      </c>
      <c r="W14" s="105">
        <v>26.5</v>
      </c>
      <c r="X14" s="105">
        <v>26.5</v>
      </c>
      <c r="Y14" s="105">
        <v>26.5</v>
      </c>
      <c r="Z14" s="105">
        <v>28</v>
      </c>
      <c r="AA14" s="105">
        <v>28</v>
      </c>
      <c r="AB14" s="105">
        <v>28</v>
      </c>
      <c r="AC14" s="105">
        <v>26</v>
      </c>
      <c r="AD14" s="105">
        <v>26</v>
      </c>
      <c r="AE14" s="105">
        <v>26</v>
      </c>
      <c r="AF14" s="105">
        <v>25</v>
      </c>
      <c r="AG14" s="126">
        <v>42</v>
      </c>
      <c r="AH14" s="20">
        <f t="shared" si="2"/>
        <v>28</v>
      </c>
      <c r="AI14" s="19">
        <f t="shared" si="3"/>
        <v>0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0</v>
      </c>
      <c r="N15" s="105">
        <v>0</v>
      </c>
      <c r="O15" s="105">
        <v>0</v>
      </c>
      <c r="P15" s="105">
        <v>0</v>
      </c>
      <c r="Q15" s="105">
        <v>0</v>
      </c>
      <c r="R15" s="105">
        <v>0</v>
      </c>
      <c r="S15" s="105">
        <v>0</v>
      </c>
      <c r="T15" s="105"/>
      <c r="U15" s="105">
        <v>0</v>
      </c>
      <c r="V15" s="105">
        <v>0</v>
      </c>
      <c r="W15" s="105">
        <v>0</v>
      </c>
      <c r="X15" s="105">
        <v>0</v>
      </c>
      <c r="Y15" s="105">
        <v>0</v>
      </c>
      <c r="Z15" s="105">
        <v>13</v>
      </c>
      <c r="AA15" s="105">
        <v>5</v>
      </c>
      <c r="AB15" s="105">
        <v>0</v>
      </c>
      <c r="AC15" s="105">
        <v>0</v>
      </c>
      <c r="AD15" s="105">
        <v>0</v>
      </c>
      <c r="AE15" s="105">
        <v>0</v>
      </c>
      <c r="AF15" s="105">
        <v>0</v>
      </c>
      <c r="AG15" s="96">
        <v>30</v>
      </c>
      <c r="AH15" s="20">
        <f t="shared" si="2"/>
        <v>13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217</v>
      </c>
      <c r="B16" s="105">
        <v>25.1</v>
      </c>
      <c r="C16" s="105">
        <v>25.1</v>
      </c>
      <c r="D16" s="105">
        <v>25.1</v>
      </c>
      <c r="E16" s="105">
        <v>25.1</v>
      </c>
      <c r="F16" s="105">
        <v>25.1</v>
      </c>
      <c r="G16" s="105">
        <v>25.1</v>
      </c>
      <c r="H16" s="105">
        <v>25.1</v>
      </c>
      <c r="I16" s="105">
        <v>25.1</v>
      </c>
      <c r="J16" s="105">
        <v>25.1</v>
      </c>
      <c r="K16" s="105">
        <v>25.1</v>
      </c>
      <c r="L16" s="105">
        <v>25.1</v>
      </c>
      <c r="M16" s="105">
        <v>25.1</v>
      </c>
      <c r="N16" s="105">
        <v>24.2</v>
      </c>
      <c r="O16" s="105">
        <v>24.2</v>
      </c>
      <c r="P16" s="105">
        <v>24.2</v>
      </c>
      <c r="Q16" s="105">
        <v>24.2</v>
      </c>
      <c r="R16" s="105">
        <v>24.1</v>
      </c>
      <c r="S16" s="105">
        <v>26.1</v>
      </c>
      <c r="T16" s="105"/>
      <c r="U16" s="105">
        <v>25</v>
      </c>
      <c r="V16" s="105">
        <v>25</v>
      </c>
      <c r="W16" s="105">
        <v>25</v>
      </c>
      <c r="X16" s="105">
        <v>25</v>
      </c>
      <c r="Y16" s="105">
        <v>25</v>
      </c>
      <c r="Z16" s="105">
        <v>25</v>
      </c>
      <c r="AA16" s="105">
        <v>25</v>
      </c>
      <c r="AB16" s="105">
        <v>25</v>
      </c>
      <c r="AC16" s="105">
        <v>25</v>
      </c>
      <c r="AD16" s="105">
        <v>25</v>
      </c>
      <c r="AE16" s="105">
        <v>25.3</v>
      </c>
      <c r="AF16" s="105">
        <v>25</v>
      </c>
      <c r="AG16" s="126">
        <v>25</v>
      </c>
      <c r="AH16" s="20">
        <f t="shared" si="2"/>
        <v>26.1</v>
      </c>
      <c r="AI16" s="19">
        <f t="shared" si="3"/>
        <v>24.1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216</v>
      </c>
      <c r="B17" s="105">
        <v>25</v>
      </c>
      <c r="C17" s="105">
        <v>25</v>
      </c>
      <c r="D17" s="105">
        <v>25</v>
      </c>
      <c r="E17" s="105">
        <v>25</v>
      </c>
      <c r="F17" s="105">
        <v>25</v>
      </c>
      <c r="G17" s="105">
        <v>25</v>
      </c>
      <c r="H17" s="105">
        <v>25</v>
      </c>
      <c r="I17" s="105">
        <v>25</v>
      </c>
      <c r="J17" s="105">
        <v>25</v>
      </c>
      <c r="K17" s="105">
        <v>25</v>
      </c>
      <c r="L17" s="105">
        <v>25</v>
      </c>
      <c r="M17" s="105">
        <v>25</v>
      </c>
      <c r="N17" s="105">
        <v>25</v>
      </c>
      <c r="O17" s="105">
        <v>25</v>
      </c>
      <c r="P17" s="105">
        <v>25</v>
      </c>
      <c r="Q17" s="105">
        <v>25</v>
      </c>
      <c r="R17" s="105">
        <v>12.5</v>
      </c>
      <c r="S17" s="105">
        <v>12.5</v>
      </c>
      <c r="T17" s="105"/>
      <c r="U17" s="105">
        <v>12.5</v>
      </c>
      <c r="V17" s="105">
        <v>12.5</v>
      </c>
      <c r="W17" s="105">
        <v>12.5</v>
      </c>
      <c r="X17" s="105">
        <v>12.5</v>
      </c>
      <c r="Y17" s="105">
        <v>12.5</v>
      </c>
      <c r="Z17" s="105">
        <v>12.5</v>
      </c>
      <c r="AA17" s="105">
        <v>12.5</v>
      </c>
      <c r="AB17" s="105">
        <v>25</v>
      </c>
      <c r="AC17" s="105">
        <v>25</v>
      </c>
      <c r="AD17" s="105">
        <v>25</v>
      </c>
      <c r="AE17" s="105">
        <v>25</v>
      </c>
      <c r="AF17" s="105">
        <v>25</v>
      </c>
      <c r="AG17" s="126">
        <v>25</v>
      </c>
      <c r="AH17" s="20">
        <f t="shared" si="2"/>
        <v>25</v>
      </c>
      <c r="AI17" s="19">
        <f t="shared" si="3"/>
        <v>12.5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215</v>
      </c>
      <c r="B18" s="105">
        <v>25</v>
      </c>
      <c r="C18" s="105">
        <v>25</v>
      </c>
      <c r="D18" s="105">
        <v>25</v>
      </c>
      <c r="E18" s="105">
        <v>25</v>
      </c>
      <c r="F18" s="105">
        <v>25</v>
      </c>
      <c r="G18" s="105">
        <v>25</v>
      </c>
      <c r="H18" s="105">
        <v>25</v>
      </c>
      <c r="I18" s="105">
        <v>25</v>
      </c>
      <c r="J18" s="105">
        <v>25</v>
      </c>
      <c r="K18" s="105">
        <v>25</v>
      </c>
      <c r="L18" s="105">
        <v>25</v>
      </c>
      <c r="M18" s="105">
        <v>25</v>
      </c>
      <c r="N18" s="105">
        <v>25</v>
      </c>
      <c r="O18" s="105">
        <v>25</v>
      </c>
      <c r="P18" s="105">
        <v>25</v>
      </c>
      <c r="Q18" s="105">
        <v>25</v>
      </c>
      <c r="R18" s="105">
        <v>25</v>
      </c>
      <c r="S18" s="105">
        <v>25</v>
      </c>
      <c r="T18" s="105"/>
      <c r="U18" s="105">
        <v>25</v>
      </c>
      <c r="V18" s="105">
        <v>25</v>
      </c>
      <c r="W18" s="105">
        <v>25</v>
      </c>
      <c r="X18" s="105">
        <v>25</v>
      </c>
      <c r="Y18" s="105">
        <v>25</v>
      </c>
      <c r="Z18" s="105">
        <v>25</v>
      </c>
      <c r="AA18" s="105">
        <v>25</v>
      </c>
      <c r="AB18" s="105">
        <v>25</v>
      </c>
      <c r="AC18" s="105">
        <v>25</v>
      </c>
      <c r="AD18" s="105">
        <v>25</v>
      </c>
      <c r="AE18" s="105">
        <v>25</v>
      </c>
      <c r="AF18" s="105">
        <v>25</v>
      </c>
      <c r="AG18" s="126">
        <v>25</v>
      </c>
      <c r="AH18" s="20">
        <f t="shared" si="2"/>
        <v>25</v>
      </c>
      <c r="AI18" s="19">
        <f t="shared" si="3"/>
        <v>25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214</v>
      </c>
      <c r="B19" s="105">
        <v>25</v>
      </c>
      <c r="C19" s="105">
        <v>25</v>
      </c>
      <c r="D19" s="105">
        <v>25</v>
      </c>
      <c r="E19" s="105">
        <v>25</v>
      </c>
      <c r="F19" s="105">
        <v>25</v>
      </c>
      <c r="G19" s="105">
        <v>33</v>
      </c>
      <c r="H19" s="105">
        <v>33</v>
      </c>
      <c r="I19" s="105">
        <v>33</v>
      </c>
      <c r="J19" s="105">
        <v>33</v>
      </c>
      <c r="K19" s="105">
        <v>33</v>
      </c>
      <c r="L19" s="105">
        <v>33</v>
      </c>
      <c r="M19" s="105">
        <v>33</v>
      </c>
      <c r="N19" s="105">
        <v>33</v>
      </c>
      <c r="O19" s="105">
        <v>33</v>
      </c>
      <c r="P19" s="105">
        <v>33</v>
      </c>
      <c r="Q19" s="105">
        <v>33</v>
      </c>
      <c r="R19" s="105">
        <v>33</v>
      </c>
      <c r="S19" s="105">
        <v>33</v>
      </c>
      <c r="T19" s="105"/>
      <c r="U19" s="105">
        <v>33.200000000000003</v>
      </c>
      <c r="V19" s="105">
        <v>33.200000000000003</v>
      </c>
      <c r="W19" s="105">
        <v>33.200000000000003</v>
      </c>
      <c r="X19" s="105">
        <v>33.200000000000003</v>
      </c>
      <c r="Y19" s="105">
        <v>33.200000000000003</v>
      </c>
      <c r="Z19" s="105">
        <v>33.200000000000003</v>
      </c>
      <c r="AA19" s="105">
        <v>33.200000000000003</v>
      </c>
      <c r="AB19" s="105">
        <v>33.200000000000003</v>
      </c>
      <c r="AC19" s="105">
        <v>33.200000000000003</v>
      </c>
      <c r="AD19" s="105">
        <v>33.200000000000003</v>
      </c>
      <c r="AE19" s="105">
        <v>33.200000000000003</v>
      </c>
      <c r="AF19" s="105">
        <v>33.1</v>
      </c>
      <c r="AG19" s="126">
        <v>24.2</v>
      </c>
      <c r="AH19" s="20">
        <f t="shared" si="2"/>
        <v>33.200000000000003</v>
      </c>
      <c r="AI19" s="19">
        <f t="shared" si="3"/>
        <v>25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213</v>
      </c>
      <c r="B20" s="105">
        <v>23.5</v>
      </c>
      <c r="C20" s="105">
        <v>23.5</v>
      </c>
      <c r="D20" s="105">
        <v>23.5</v>
      </c>
      <c r="E20" s="105">
        <v>23.5</v>
      </c>
      <c r="F20" s="105">
        <v>23.5</v>
      </c>
      <c r="G20" s="105">
        <v>23.5</v>
      </c>
      <c r="H20" s="105">
        <v>23.5</v>
      </c>
      <c r="I20" s="105">
        <v>23.5</v>
      </c>
      <c r="J20" s="105">
        <v>23.5</v>
      </c>
      <c r="K20" s="105">
        <v>23.5</v>
      </c>
      <c r="L20" s="105">
        <v>23.5</v>
      </c>
      <c r="M20" s="105">
        <v>23.5</v>
      </c>
      <c r="N20" s="105">
        <v>23.5</v>
      </c>
      <c r="O20" s="105">
        <v>23.5</v>
      </c>
      <c r="P20" s="105">
        <v>23.5</v>
      </c>
      <c r="Q20" s="105">
        <v>23.5</v>
      </c>
      <c r="R20" s="105">
        <v>23.5</v>
      </c>
      <c r="S20" s="105">
        <v>23.5</v>
      </c>
      <c r="T20" s="105"/>
      <c r="U20" s="105">
        <v>23.5</v>
      </c>
      <c r="V20" s="105">
        <v>23.5</v>
      </c>
      <c r="W20" s="105">
        <v>23.5</v>
      </c>
      <c r="X20" s="105">
        <v>23.5</v>
      </c>
      <c r="Y20" s="105">
        <v>23.5</v>
      </c>
      <c r="Z20" s="105">
        <v>23.5</v>
      </c>
      <c r="AA20" s="105">
        <v>23.5</v>
      </c>
      <c r="AB20" s="105">
        <v>23.5</v>
      </c>
      <c r="AC20" s="105">
        <v>23.5</v>
      </c>
      <c r="AD20" s="105">
        <v>23.5</v>
      </c>
      <c r="AE20" s="105">
        <v>23.5</v>
      </c>
      <c r="AF20" s="105">
        <v>23.5</v>
      </c>
      <c r="AG20" s="126">
        <v>23.5</v>
      </c>
      <c r="AH20" s="20">
        <f t="shared" si="2"/>
        <v>23.5</v>
      </c>
      <c r="AI20" s="19">
        <f t="shared" si="3"/>
        <v>23.5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212</v>
      </c>
      <c r="B21" s="105">
        <v>19</v>
      </c>
      <c r="C21" s="105">
        <v>19</v>
      </c>
      <c r="D21" s="105">
        <v>19</v>
      </c>
      <c r="E21" s="105">
        <v>19</v>
      </c>
      <c r="F21" s="105">
        <v>19</v>
      </c>
      <c r="G21" s="105">
        <v>19</v>
      </c>
      <c r="H21" s="105">
        <v>19</v>
      </c>
      <c r="I21" s="105">
        <v>19</v>
      </c>
      <c r="J21" s="105">
        <v>19</v>
      </c>
      <c r="K21" s="105">
        <v>19</v>
      </c>
      <c r="L21" s="105">
        <v>19</v>
      </c>
      <c r="M21" s="105">
        <v>19</v>
      </c>
      <c r="N21" s="105">
        <v>19</v>
      </c>
      <c r="O21" s="105">
        <v>19</v>
      </c>
      <c r="P21" s="105">
        <v>19</v>
      </c>
      <c r="Q21" s="105">
        <v>19</v>
      </c>
      <c r="R21" s="105">
        <v>19</v>
      </c>
      <c r="S21" s="105">
        <v>19</v>
      </c>
      <c r="T21" s="105"/>
      <c r="U21" s="105">
        <v>19</v>
      </c>
      <c r="V21" s="105">
        <v>19</v>
      </c>
      <c r="W21" s="105">
        <v>19</v>
      </c>
      <c r="X21" s="105">
        <v>19</v>
      </c>
      <c r="Y21" s="105">
        <v>19</v>
      </c>
      <c r="Z21" s="105">
        <v>19</v>
      </c>
      <c r="AA21" s="105">
        <v>19</v>
      </c>
      <c r="AB21" s="105">
        <v>19</v>
      </c>
      <c r="AC21" s="105">
        <v>19</v>
      </c>
      <c r="AD21" s="105">
        <v>19</v>
      </c>
      <c r="AE21" s="105">
        <v>19</v>
      </c>
      <c r="AF21" s="105">
        <v>19</v>
      </c>
      <c r="AG21" s="126">
        <v>22.2</v>
      </c>
      <c r="AH21" s="20">
        <f t="shared" si="2"/>
        <v>19</v>
      </c>
      <c r="AI21" s="19">
        <f t="shared" si="3"/>
        <v>19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211</v>
      </c>
      <c r="B22" s="105">
        <v>22</v>
      </c>
      <c r="C22" s="105">
        <v>22</v>
      </c>
      <c r="D22" s="105">
        <v>22</v>
      </c>
      <c r="E22" s="105">
        <v>22</v>
      </c>
      <c r="F22" s="105">
        <v>22</v>
      </c>
      <c r="G22" s="105">
        <v>22</v>
      </c>
      <c r="H22" s="105">
        <v>22</v>
      </c>
      <c r="I22" s="105">
        <v>22</v>
      </c>
      <c r="J22" s="105">
        <v>22</v>
      </c>
      <c r="K22" s="105">
        <v>22</v>
      </c>
      <c r="L22" s="105">
        <v>22</v>
      </c>
      <c r="M22" s="105">
        <v>22</v>
      </c>
      <c r="N22" s="105">
        <v>22</v>
      </c>
      <c r="O22" s="105">
        <v>22</v>
      </c>
      <c r="P22" s="105">
        <v>22</v>
      </c>
      <c r="Q22" s="105">
        <v>22</v>
      </c>
      <c r="R22" s="105">
        <v>22</v>
      </c>
      <c r="S22" s="105">
        <v>22</v>
      </c>
      <c r="T22" s="105"/>
      <c r="U22" s="105">
        <v>22</v>
      </c>
      <c r="V22" s="105">
        <v>22</v>
      </c>
      <c r="W22" s="105">
        <v>22</v>
      </c>
      <c r="X22" s="105">
        <v>22</v>
      </c>
      <c r="Y22" s="105">
        <v>22</v>
      </c>
      <c r="Z22" s="105">
        <v>22</v>
      </c>
      <c r="AA22" s="105">
        <v>22</v>
      </c>
      <c r="AB22" s="105">
        <v>22</v>
      </c>
      <c r="AC22" s="105">
        <v>22</v>
      </c>
      <c r="AD22" s="105">
        <v>22</v>
      </c>
      <c r="AE22" s="105">
        <v>22</v>
      </c>
      <c r="AF22" s="105">
        <v>22</v>
      </c>
      <c r="AG22" s="126">
        <v>22.1</v>
      </c>
      <c r="AH22" s="20">
        <f t="shared" si="2"/>
        <v>22</v>
      </c>
      <c r="AI22" s="19">
        <f t="shared" si="3"/>
        <v>22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210</v>
      </c>
      <c r="B23" s="105">
        <v>22</v>
      </c>
      <c r="C23" s="105">
        <v>22</v>
      </c>
      <c r="D23" s="105">
        <v>22</v>
      </c>
      <c r="E23" s="105">
        <v>22</v>
      </c>
      <c r="F23" s="105">
        <v>22</v>
      </c>
      <c r="G23" s="105">
        <v>22</v>
      </c>
      <c r="H23" s="105">
        <v>22</v>
      </c>
      <c r="I23" s="105">
        <v>22</v>
      </c>
      <c r="J23" s="105">
        <v>22</v>
      </c>
      <c r="K23" s="105">
        <v>22</v>
      </c>
      <c r="L23" s="105">
        <v>22</v>
      </c>
      <c r="M23" s="105">
        <v>22</v>
      </c>
      <c r="N23" s="105">
        <v>22</v>
      </c>
      <c r="O23" s="105">
        <v>22</v>
      </c>
      <c r="P23" s="105">
        <v>22</v>
      </c>
      <c r="Q23" s="105">
        <v>22</v>
      </c>
      <c r="R23" s="105">
        <v>22</v>
      </c>
      <c r="S23" s="105">
        <v>22</v>
      </c>
      <c r="T23" s="105"/>
      <c r="U23" s="105">
        <v>22</v>
      </c>
      <c r="V23" s="105">
        <v>22</v>
      </c>
      <c r="W23" s="105">
        <v>22</v>
      </c>
      <c r="X23" s="105">
        <v>22</v>
      </c>
      <c r="Y23" s="105">
        <v>22</v>
      </c>
      <c r="Z23" s="105">
        <v>22</v>
      </c>
      <c r="AA23" s="105">
        <v>22</v>
      </c>
      <c r="AB23" s="105">
        <v>22</v>
      </c>
      <c r="AC23" s="105">
        <v>22</v>
      </c>
      <c r="AD23" s="105">
        <v>22</v>
      </c>
      <c r="AE23" s="105">
        <v>22</v>
      </c>
      <c r="AF23" s="105">
        <v>22</v>
      </c>
      <c r="AG23" s="126">
        <v>22</v>
      </c>
      <c r="AH23" s="20">
        <f t="shared" si="2"/>
        <v>22</v>
      </c>
      <c r="AI23" s="19">
        <f t="shared" si="3"/>
        <v>22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209</v>
      </c>
      <c r="B24" s="105">
        <v>20</v>
      </c>
      <c r="C24" s="105">
        <v>20</v>
      </c>
      <c r="D24" s="105">
        <v>20</v>
      </c>
      <c r="E24" s="105">
        <v>20</v>
      </c>
      <c r="F24" s="105">
        <v>20</v>
      </c>
      <c r="G24" s="105">
        <v>20</v>
      </c>
      <c r="H24" s="105">
        <v>20</v>
      </c>
      <c r="I24" s="105">
        <v>20</v>
      </c>
      <c r="J24" s="105">
        <v>20</v>
      </c>
      <c r="K24" s="105">
        <v>20</v>
      </c>
      <c r="L24" s="105">
        <v>20</v>
      </c>
      <c r="M24" s="105">
        <v>20</v>
      </c>
      <c r="N24" s="105">
        <v>22</v>
      </c>
      <c r="O24" s="105">
        <v>22</v>
      </c>
      <c r="P24" s="105">
        <v>22</v>
      </c>
      <c r="Q24" s="105">
        <v>22</v>
      </c>
      <c r="R24" s="105">
        <v>22</v>
      </c>
      <c r="S24" s="105">
        <v>25.8</v>
      </c>
      <c r="T24" s="105"/>
      <c r="U24" s="105">
        <v>25.8</v>
      </c>
      <c r="V24" s="105">
        <v>25.8</v>
      </c>
      <c r="W24" s="105">
        <v>25.8</v>
      </c>
      <c r="X24" s="105">
        <v>25.8</v>
      </c>
      <c r="Y24" s="105">
        <v>25.8</v>
      </c>
      <c r="Z24" s="105">
        <v>25.8</v>
      </c>
      <c r="AA24" s="105">
        <v>25.8</v>
      </c>
      <c r="AB24" s="105">
        <v>25.8</v>
      </c>
      <c r="AC24" s="105">
        <v>25.8</v>
      </c>
      <c r="AD24" s="105">
        <v>25.8</v>
      </c>
      <c r="AE24" s="105">
        <v>25.8</v>
      </c>
      <c r="AF24" s="105">
        <v>25.8</v>
      </c>
      <c r="AG24" s="126">
        <v>22</v>
      </c>
      <c r="AH24" s="20">
        <f t="shared" si="2"/>
        <v>25.8</v>
      </c>
      <c r="AI24" s="19">
        <f t="shared" si="3"/>
        <v>20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208</v>
      </c>
      <c r="B25" s="105">
        <v>0</v>
      </c>
      <c r="C25" s="105">
        <v>0</v>
      </c>
      <c r="D25" s="105">
        <v>0</v>
      </c>
      <c r="E25" s="105">
        <v>0</v>
      </c>
      <c r="F25" s="105">
        <v>0</v>
      </c>
      <c r="G25" s="105">
        <v>0</v>
      </c>
      <c r="H25" s="105">
        <v>0</v>
      </c>
      <c r="I25" s="105">
        <v>0</v>
      </c>
      <c r="J25" s="105">
        <v>0</v>
      </c>
      <c r="K25" s="105">
        <v>0</v>
      </c>
      <c r="L25" s="105">
        <v>0</v>
      </c>
      <c r="M25" s="105">
        <v>0</v>
      </c>
      <c r="N25" s="105">
        <v>0</v>
      </c>
      <c r="O25" s="105">
        <v>0</v>
      </c>
      <c r="P25" s="105">
        <v>0</v>
      </c>
      <c r="Q25" s="105">
        <v>0</v>
      </c>
      <c r="R25" s="105">
        <v>0</v>
      </c>
      <c r="S25" s="105">
        <v>0</v>
      </c>
      <c r="T25" s="105"/>
      <c r="U25" s="105">
        <v>0</v>
      </c>
      <c r="V25" s="105">
        <v>0</v>
      </c>
      <c r="W25" s="105">
        <v>0</v>
      </c>
      <c r="X25" s="105">
        <v>0</v>
      </c>
      <c r="Y25" s="105">
        <v>0</v>
      </c>
      <c r="Z25" s="105">
        <v>0</v>
      </c>
      <c r="AA25" s="105">
        <v>0</v>
      </c>
      <c r="AB25" s="105">
        <v>0</v>
      </c>
      <c r="AC25" s="105">
        <v>0</v>
      </c>
      <c r="AD25" s="105">
        <v>0</v>
      </c>
      <c r="AE25" s="105">
        <v>0</v>
      </c>
      <c r="AF25" s="105">
        <v>0</v>
      </c>
      <c r="AG25" s="126">
        <v>20</v>
      </c>
      <c r="AH25" s="20">
        <f t="shared" si="2"/>
        <v>0</v>
      </c>
      <c r="AI25" s="19">
        <f t="shared" si="3"/>
        <v>0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207</v>
      </c>
      <c r="B26" s="105">
        <v>14</v>
      </c>
      <c r="C26" s="105">
        <v>14</v>
      </c>
      <c r="D26" s="105">
        <v>14</v>
      </c>
      <c r="E26" s="105">
        <v>14</v>
      </c>
      <c r="F26" s="105">
        <v>14</v>
      </c>
      <c r="G26" s="105">
        <v>14</v>
      </c>
      <c r="H26" s="105">
        <v>14</v>
      </c>
      <c r="I26" s="105">
        <v>14</v>
      </c>
      <c r="J26" s="105">
        <v>14</v>
      </c>
      <c r="K26" s="105">
        <v>14</v>
      </c>
      <c r="L26" s="105">
        <v>14</v>
      </c>
      <c r="M26" s="105">
        <v>14</v>
      </c>
      <c r="N26" s="105">
        <v>14</v>
      </c>
      <c r="O26" s="105">
        <v>14</v>
      </c>
      <c r="P26" s="105">
        <v>14</v>
      </c>
      <c r="Q26" s="105">
        <v>14</v>
      </c>
      <c r="R26" s="105">
        <v>14</v>
      </c>
      <c r="S26" s="105">
        <v>14</v>
      </c>
      <c r="T26" s="105"/>
      <c r="U26" s="105">
        <v>14</v>
      </c>
      <c r="V26" s="105">
        <v>14</v>
      </c>
      <c r="W26" s="105">
        <v>14</v>
      </c>
      <c r="X26" s="105">
        <v>14</v>
      </c>
      <c r="Y26" s="105">
        <v>14</v>
      </c>
      <c r="Z26" s="105">
        <v>14</v>
      </c>
      <c r="AA26" s="105">
        <v>14</v>
      </c>
      <c r="AB26" s="105">
        <v>14</v>
      </c>
      <c r="AC26" s="105">
        <v>14</v>
      </c>
      <c r="AD26" s="105">
        <v>14</v>
      </c>
      <c r="AE26" s="105">
        <v>14</v>
      </c>
      <c r="AF26" s="105">
        <v>14</v>
      </c>
      <c r="AG26" s="126">
        <v>14.9</v>
      </c>
      <c r="AH26" s="20">
        <f t="shared" si="2"/>
        <v>14</v>
      </c>
      <c r="AI26" s="19">
        <f t="shared" si="3"/>
        <v>14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206</v>
      </c>
      <c r="B27" s="105">
        <v>6</v>
      </c>
      <c r="C27" s="105">
        <v>6</v>
      </c>
      <c r="D27" s="105">
        <v>6</v>
      </c>
      <c r="E27" s="105">
        <v>6</v>
      </c>
      <c r="F27" s="105">
        <v>6</v>
      </c>
      <c r="G27" s="105">
        <v>6</v>
      </c>
      <c r="H27" s="105">
        <v>6</v>
      </c>
      <c r="I27" s="105">
        <v>6</v>
      </c>
      <c r="J27" s="105">
        <v>6</v>
      </c>
      <c r="K27" s="105">
        <v>6</v>
      </c>
      <c r="L27" s="105">
        <v>6</v>
      </c>
      <c r="M27" s="105">
        <v>6</v>
      </c>
      <c r="N27" s="105">
        <v>6</v>
      </c>
      <c r="O27" s="105">
        <v>6</v>
      </c>
      <c r="P27" s="105">
        <v>6</v>
      </c>
      <c r="Q27" s="105">
        <v>6</v>
      </c>
      <c r="R27" s="105">
        <v>6</v>
      </c>
      <c r="S27" s="105">
        <v>6</v>
      </c>
      <c r="T27" s="105"/>
      <c r="U27" s="105">
        <v>6</v>
      </c>
      <c r="V27" s="105">
        <v>6</v>
      </c>
      <c r="W27" s="105">
        <v>6</v>
      </c>
      <c r="X27" s="105">
        <v>6</v>
      </c>
      <c r="Y27" s="105">
        <v>6</v>
      </c>
      <c r="Z27" s="105">
        <v>6</v>
      </c>
      <c r="AA27" s="105">
        <v>6</v>
      </c>
      <c r="AB27" s="105">
        <v>6</v>
      </c>
      <c r="AC27" s="105">
        <v>6</v>
      </c>
      <c r="AD27" s="105">
        <v>6</v>
      </c>
      <c r="AE27" s="105">
        <v>6</v>
      </c>
      <c r="AF27" s="105">
        <v>6</v>
      </c>
      <c r="AG27" s="126">
        <v>13.6</v>
      </c>
      <c r="AH27" s="20">
        <f t="shared" si="2"/>
        <v>6</v>
      </c>
      <c r="AI27" s="19">
        <f t="shared" si="3"/>
        <v>6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205</v>
      </c>
      <c r="B28" s="105">
        <v>10</v>
      </c>
      <c r="C28" s="105">
        <v>10</v>
      </c>
      <c r="D28" s="105">
        <v>10</v>
      </c>
      <c r="E28" s="105">
        <v>10</v>
      </c>
      <c r="F28" s="105">
        <v>10</v>
      </c>
      <c r="G28" s="105">
        <v>10</v>
      </c>
      <c r="H28" s="105">
        <v>10</v>
      </c>
      <c r="I28" s="105">
        <v>10</v>
      </c>
      <c r="J28" s="105">
        <v>10</v>
      </c>
      <c r="K28" s="105">
        <v>10</v>
      </c>
      <c r="L28" s="105">
        <v>10</v>
      </c>
      <c r="M28" s="105">
        <v>10</v>
      </c>
      <c r="N28" s="105">
        <v>10</v>
      </c>
      <c r="O28" s="105">
        <v>10</v>
      </c>
      <c r="P28" s="105">
        <v>10</v>
      </c>
      <c r="Q28" s="105">
        <v>10</v>
      </c>
      <c r="R28" s="105">
        <v>10</v>
      </c>
      <c r="S28" s="105">
        <v>10</v>
      </c>
      <c r="T28" s="105"/>
      <c r="U28" s="105">
        <v>10</v>
      </c>
      <c r="V28" s="105">
        <v>10</v>
      </c>
      <c r="W28" s="105">
        <v>10</v>
      </c>
      <c r="X28" s="105">
        <v>10</v>
      </c>
      <c r="Y28" s="105">
        <v>10</v>
      </c>
      <c r="Z28" s="105">
        <v>10</v>
      </c>
      <c r="AA28" s="105">
        <v>10</v>
      </c>
      <c r="AB28" s="105">
        <v>10</v>
      </c>
      <c r="AC28" s="105">
        <v>10</v>
      </c>
      <c r="AD28" s="105">
        <v>10</v>
      </c>
      <c r="AE28" s="105">
        <v>10</v>
      </c>
      <c r="AF28" s="105">
        <v>10</v>
      </c>
      <c r="AG28" s="126">
        <v>13</v>
      </c>
      <c r="AH28" s="20">
        <f t="shared" si="2"/>
        <v>10</v>
      </c>
      <c r="AI28" s="19">
        <f t="shared" si="3"/>
        <v>10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204</v>
      </c>
      <c r="B29" s="105">
        <v>4</v>
      </c>
      <c r="C29" s="105">
        <v>8</v>
      </c>
      <c r="D29" s="105">
        <v>8</v>
      </c>
      <c r="E29" s="105">
        <v>8</v>
      </c>
      <c r="F29" s="105">
        <v>8</v>
      </c>
      <c r="G29" s="105">
        <v>8</v>
      </c>
      <c r="H29" s="105">
        <v>8</v>
      </c>
      <c r="I29" s="105">
        <v>8</v>
      </c>
      <c r="J29" s="105">
        <v>8</v>
      </c>
      <c r="K29" s="105">
        <v>8</v>
      </c>
      <c r="L29" s="105">
        <v>8</v>
      </c>
      <c r="M29" s="105">
        <v>8</v>
      </c>
      <c r="N29" s="105">
        <v>8</v>
      </c>
      <c r="O29" s="105">
        <v>8</v>
      </c>
      <c r="P29" s="105">
        <v>8</v>
      </c>
      <c r="Q29" s="105">
        <v>8</v>
      </c>
      <c r="R29" s="105">
        <v>8</v>
      </c>
      <c r="S29" s="105">
        <v>8</v>
      </c>
      <c r="T29" s="105"/>
      <c r="U29" s="105">
        <v>8</v>
      </c>
      <c r="V29" s="105">
        <v>8</v>
      </c>
      <c r="W29" s="105">
        <v>8</v>
      </c>
      <c r="X29" s="105">
        <v>8</v>
      </c>
      <c r="Y29" s="105">
        <v>8</v>
      </c>
      <c r="Z29" s="105">
        <v>8</v>
      </c>
      <c r="AA29" s="105">
        <v>8</v>
      </c>
      <c r="AB29" s="105">
        <v>8</v>
      </c>
      <c r="AC29" s="105">
        <v>8</v>
      </c>
      <c r="AD29" s="105">
        <v>8</v>
      </c>
      <c r="AE29" s="105">
        <v>8</v>
      </c>
      <c r="AF29" s="105">
        <v>8</v>
      </c>
      <c r="AG29" s="126">
        <v>12</v>
      </c>
      <c r="AH29" s="20">
        <f t="shared" si="2"/>
        <v>8</v>
      </c>
      <c r="AI29" s="19">
        <f t="shared" si="3"/>
        <v>4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203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0</v>
      </c>
      <c r="N30" s="105">
        <v>0</v>
      </c>
      <c r="O30" s="105">
        <v>0</v>
      </c>
      <c r="P30" s="105">
        <v>0</v>
      </c>
      <c r="Q30" s="105">
        <v>0</v>
      </c>
      <c r="R30" s="105">
        <v>0</v>
      </c>
      <c r="S30" s="105">
        <v>0</v>
      </c>
      <c r="T30" s="105"/>
      <c r="U30" s="105">
        <v>0</v>
      </c>
      <c r="V30" s="105">
        <v>0</v>
      </c>
      <c r="W30" s="105">
        <v>0</v>
      </c>
      <c r="X30" s="105">
        <v>0</v>
      </c>
      <c r="Y30" s="105">
        <v>0</v>
      </c>
      <c r="Z30" s="105">
        <v>0</v>
      </c>
      <c r="AA30" s="105">
        <v>0</v>
      </c>
      <c r="AB30" s="105">
        <v>0</v>
      </c>
      <c r="AC30" s="105">
        <v>0</v>
      </c>
      <c r="AD30" s="105">
        <v>0</v>
      </c>
      <c r="AE30" s="105">
        <v>0</v>
      </c>
      <c r="AF30" s="105">
        <v>0</v>
      </c>
      <c r="AG30" s="126">
        <v>12</v>
      </c>
      <c r="AH30" s="20">
        <f t="shared" si="2"/>
        <v>0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ht="14.25" customHeight="1" x14ac:dyDescent="0.25">
      <c r="A31" s="97" t="s">
        <v>202</v>
      </c>
      <c r="B31" s="105">
        <v>9</v>
      </c>
      <c r="C31" s="105">
        <v>9</v>
      </c>
      <c r="D31" s="105">
        <v>9</v>
      </c>
      <c r="E31" s="105">
        <v>9</v>
      </c>
      <c r="F31" s="105">
        <v>9</v>
      </c>
      <c r="G31" s="105">
        <v>9</v>
      </c>
      <c r="H31" s="105">
        <v>9</v>
      </c>
      <c r="I31" s="105">
        <v>9</v>
      </c>
      <c r="J31" s="105">
        <v>9</v>
      </c>
      <c r="K31" s="105">
        <v>9</v>
      </c>
      <c r="L31" s="105">
        <v>9</v>
      </c>
      <c r="M31" s="105">
        <v>9</v>
      </c>
      <c r="N31" s="105">
        <v>9</v>
      </c>
      <c r="O31" s="105">
        <v>9</v>
      </c>
      <c r="P31" s="105">
        <v>9</v>
      </c>
      <c r="Q31" s="105">
        <v>9</v>
      </c>
      <c r="R31" s="105">
        <v>9</v>
      </c>
      <c r="S31" s="105">
        <v>9</v>
      </c>
      <c r="T31" s="105"/>
      <c r="U31" s="105">
        <v>9</v>
      </c>
      <c r="V31" s="105">
        <v>9</v>
      </c>
      <c r="W31" s="105">
        <v>9</v>
      </c>
      <c r="X31" s="105">
        <v>9</v>
      </c>
      <c r="Y31" s="105">
        <v>9</v>
      </c>
      <c r="Z31" s="105">
        <v>9</v>
      </c>
      <c r="AA31" s="105">
        <v>9</v>
      </c>
      <c r="AB31" s="105">
        <v>9</v>
      </c>
      <c r="AC31" s="105">
        <v>9</v>
      </c>
      <c r="AD31" s="105">
        <v>9</v>
      </c>
      <c r="AE31" s="105">
        <v>9</v>
      </c>
      <c r="AF31" s="105">
        <v>9</v>
      </c>
      <c r="AG31" s="125">
        <v>22</v>
      </c>
      <c r="AH31" s="20">
        <f t="shared" si="2"/>
        <v>9</v>
      </c>
      <c r="AI31" s="19">
        <f t="shared" si="3"/>
        <v>9</v>
      </c>
      <c r="AK31" s="41"/>
      <c r="AL31" s="124"/>
      <c r="AM31" s="121"/>
      <c r="AN31" s="121"/>
      <c r="AO31" s="121"/>
      <c r="AP31" s="121"/>
      <c r="AQ31" s="123"/>
      <c r="AR31" s="122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ht="14.25" customHeight="1" x14ac:dyDescent="0.25">
      <c r="A32" s="97" t="s">
        <v>201</v>
      </c>
      <c r="B32" s="105">
        <v>11</v>
      </c>
      <c r="C32" s="105">
        <v>11</v>
      </c>
      <c r="D32" s="105">
        <v>11</v>
      </c>
      <c r="E32" s="105">
        <v>11</v>
      </c>
      <c r="F32" s="105">
        <v>11</v>
      </c>
      <c r="G32" s="105">
        <v>11</v>
      </c>
      <c r="H32" s="105">
        <v>11</v>
      </c>
      <c r="I32" s="105">
        <v>11</v>
      </c>
      <c r="J32" s="105">
        <v>11</v>
      </c>
      <c r="K32" s="105">
        <v>11</v>
      </c>
      <c r="L32" s="105">
        <v>11</v>
      </c>
      <c r="M32" s="105">
        <v>11</v>
      </c>
      <c r="N32" s="105">
        <v>11</v>
      </c>
      <c r="O32" s="105">
        <v>11</v>
      </c>
      <c r="P32" s="105">
        <v>11</v>
      </c>
      <c r="Q32" s="105">
        <v>11</v>
      </c>
      <c r="R32" s="105">
        <v>11</v>
      </c>
      <c r="S32" s="105">
        <v>11</v>
      </c>
      <c r="T32" s="105"/>
      <c r="U32" s="105">
        <v>11</v>
      </c>
      <c r="V32" s="105">
        <v>11</v>
      </c>
      <c r="W32" s="105">
        <v>11</v>
      </c>
      <c r="X32" s="105">
        <v>11</v>
      </c>
      <c r="Y32" s="105">
        <v>11</v>
      </c>
      <c r="Z32" s="105">
        <v>11</v>
      </c>
      <c r="AA32" s="105">
        <v>11</v>
      </c>
      <c r="AB32" s="105">
        <v>11</v>
      </c>
      <c r="AC32" s="105">
        <v>11</v>
      </c>
      <c r="AD32" s="105">
        <v>11</v>
      </c>
      <c r="AE32" s="105">
        <v>11</v>
      </c>
      <c r="AF32" s="105">
        <v>11</v>
      </c>
      <c r="AG32" s="96">
        <v>11.88</v>
      </c>
      <c r="AH32" s="20">
        <f t="shared" si="2"/>
        <v>11</v>
      </c>
      <c r="AI32" s="19">
        <f t="shared" si="3"/>
        <v>11</v>
      </c>
      <c r="AK32" s="41"/>
      <c r="AL32" s="124"/>
      <c r="AM32" s="121"/>
      <c r="AN32" s="121"/>
      <c r="AO32" s="121"/>
      <c r="AP32" s="121"/>
      <c r="AQ32" s="123"/>
      <c r="AR32" s="122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5" t="s">
        <v>200</v>
      </c>
      <c r="B33" s="105">
        <v>10</v>
      </c>
      <c r="C33" s="105">
        <v>10</v>
      </c>
      <c r="D33" s="105">
        <v>10</v>
      </c>
      <c r="E33" s="105">
        <v>10</v>
      </c>
      <c r="F33" s="105">
        <v>10</v>
      </c>
      <c r="G33" s="105">
        <v>10</v>
      </c>
      <c r="H33" s="105">
        <v>10</v>
      </c>
      <c r="I33" s="105">
        <v>10</v>
      </c>
      <c r="J33" s="105">
        <v>10</v>
      </c>
      <c r="K33" s="105">
        <v>10</v>
      </c>
      <c r="L33" s="105">
        <v>10</v>
      </c>
      <c r="M33" s="105">
        <v>10</v>
      </c>
      <c r="N33" s="105">
        <v>10</v>
      </c>
      <c r="O33" s="105">
        <v>10</v>
      </c>
      <c r="P33" s="105">
        <v>10</v>
      </c>
      <c r="Q33" s="105">
        <v>10</v>
      </c>
      <c r="R33" s="105">
        <v>10</v>
      </c>
      <c r="S33" s="105">
        <v>10</v>
      </c>
      <c r="T33" s="105"/>
      <c r="U33" s="105">
        <v>10</v>
      </c>
      <c r="V33" s="105">
        <v>10</v>
      </c>
      <c r="W33" s="105">
        <v>10</v>
      </c>
      <c r="X33" s="105">
        <v>10</v>
      </c>
      <c r="Y33" s="105">
        <v>10</v>
      </c>
      <c r="Z33" s="105">
        <v>10</v>
      </c>
      <c r="AA33" s="105">
        <v>10</v>
      </c>
      <c r="AB33" s="105">
        <v>10</v>
      </c>
      <c r="AC33" s="105">
        <v>10</v>
      </c>
      <c r="AD33" s="105">
        <v>10</v>
      </c>
      <c r="AE33" s="105">
        <v>10</v>
      </c>
      <c r="AF33" s="105">
        <v>10</v>
      </c>
      <c r="AG33" s="94">
        <v>11</v>
      </c>
      <c r="AH33" s="20">
        <f t="shared" si="2"/>
        <v>10</v>
      </c>
      <c r="AI33" s="19">
        <f t="shared" si="3"/>
        <v>10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5" t="s">
        <v>199</v>
      </c>
      <c r="B34" s="105">
        <v>7.5</v>
      </c>
      <c r="C34" s="105">
        <v>7.5</v>
      </c>
      <c r="D34" s="105">
        <v>7.5</v>
      </c>
      <c r="E34" s="105">
        <v>7.5</v>
      </c>
      <c r="F34" s="105">
        <v>7.5</v>
      </c>
      <c r="G34" s="105">
        <v>7.5</v>
      </c>
      <c r="H34" s="105">
        <v>7.5</v>
      </c>
      <c r="I34" s="105">
        <v>7.5</v>
      </c>
      <c r="J34" s="105">
        <v>7.5</v>
      </c>
      <c r="K34" s="105">
        <v>7.5</v>
      </c>
      <c r="L34" s="105">
        <v>7.5</v>
      </c>
      <c r="M34" s="105">
        <v>7.5</v>
      </c>
      <c r="N34" s="105">
        <v>7.5</v>
      </c>
      <c r="O34" s="105">
        <v>7.5</v>
      </c>
      <c r="P34" s="105">
        <v>7.5</v>
      </c>
      <c r="Q34" s="105">
        <v>7.5</v>
      </c>
      <c r="R34" s="105">
        <v>7.5</v>
      </c>
      <c r="S34" s="105">
        <v>7.5</v>
      </c>
      <c r="T34" s="105"/>
      <c r="U34" s="105">
        <v>7.5</v>
      </c>
      <c r="V34" s="105">
        <v>7.5</v>
      </c>
      <c r="W34" s="105">
        <v>7.5</v>
      </c>
      <c r="X34" s="105">
        <v>7.5</v>
      </c>
      <c r="Y34" s="105">
        <v>7.5</v>
      </c>
      <c r="Z34" s="105">
        <v>7.5</v>
      </c>
      <c r="AA34" s="105">
        <v>7.5</v>
      </c>
      <c r="AB34" s="105">
        <v>7.5</v>
      </c>
      <c r="AC34" s="105">
        <v>7.5</v>
      </c>
      <c r="AD34" s="105">
        <v>7.5</v>
      </c>
      <c r="AE34" s="105">
        <v>7.5</v>
      </c>
      <c r="AF34" s="105">
        <v>7.5</v>
      </c>
      <c r="AG34" s="94">
        <v>10</v>
      </c>
      <c r="AH34" s="20">
        <f t="shared" si="2"/>
        <v>7.5</v>
      </c>
      <c r="AI34" s="19">
        <f t="shared" si="3"/>
        <v>7.5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x14ac:dyDescent="0.25">
      <c r="A35" s="95" t="s">
        <v>198</v>
      </c>
      <c r="B35" s="105">
        <v>0</v>
      </c>
      <c r="C35" s="105">
        <v>0</v>
      </c>
      <c r="D35" s="105">
        <v>0</v>
      </c>
      <c r="E35" s="105">
        <v>0</v>
      </c>
      <c r="F35" s="105">
        <v>0</v>
      </c>
      <c r="G35" s="105">
        <v>0</v>
      </c>
      <c r="H35" s="105">
        <v>0</v>
      </c>
      <c r="I35" s="105">
        <v>0</v>
      </c>
      <c r="J35" s="105">
        <v>0</v>
      </c>
      <c r="K35" s="105">
        <v>0</v>
      </c>
      <c r="L35" s="105">
        <v>0</v>
      </c>
      <c r="M35" s="105">
        <v>0</v>
      </c>
      <c r="N35" s="105">
        <v>0</v>
      </c>
      <c r="O35" s="105">
        <v>0</v>
      </c>
      <c r="P35" s="105">
        <v>0</v>
      </c>
      <c r="Q35" s="105">
        <v>0</v>
      </c>
      <c r="R35" s="105">
        <v>0</v>
      </c>
      <c r="S35" s="105">
        <v>0</v>
      </c>
      <c r="T35" s="105"/>
      <c r="U35" s="105">
        <v>0</v>
      </c>
      <c r="V35" s="105">
        <v>0</v>
      </c>
      <c r="W35" s="105">
        <v>0</v>
      </c>
      <c r="X35" s="105">
        <v>0</v>
      </c>
      <c r="Y35" s="105">
        <v>0</v>
      </c>
      <c r="Z35" s="105">
        <v>0</v>
      </c>
      <c r="AA35" s="105">
        <v>0</v>
      </c>
      <c r="AB35" s="105">
        <v>0</v>
      </c>
      <c r="AC35" s="105">
        <v>0</v>
      </c>
      <c r="AD35" s="105">
        <v>0</v>
      </c>
      <c r="AE35" s="105">
        <v>0</v>
      </c>
      <c r="AF35" s="105">
        <v>0</v>
      </c>
      <c r="AG35" s="94">
        <v>10</v>
      </c>
      <c r="AH35" s="20">
        <f t="shared" si="2"/>
        <v>0</v>
      </c>
      <c r="AI35" s="19">
        <f t="shared" si="3"/>
        <v>0</v>
      </c>
      <c r="AK35" s="41"/>
      <c r="AL35" s="124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x14ac:dyDescent="0.25">
      <c r="A36" s="111" t="s">
        <v>197</v>
      </c>
      <c r="B36" s="113">
        <v>300</v>
      </c>
      <c r="C36" s="113">
        <v>300</v>
      </c>
      <c r="D36" s="113">
        <v>300</v>
      </c>
      <c r="E36" s="113">
        <v>300</v>
      </c>
      <c r="F36" s="113">
        <v>300</v>
      </c>
      <c r="G36" s="113">
        <v>300</v>
      </c>
      <c r="H36" s="113">
        <v>300</v>
      </c>
      <c r="I36" s="113">
        <v>300</v>
      </c>
      <c r="J36" s="113">
        <v>300</v>
      </c>
      <c r="K36" s="113">
        <v>300</v>
      </c>
      <c r="L36" s="113">
        <v>300</v>
      </c>
      <c r="M36" s="113">
        <v>300</v>
      </c>
      <c r="N36" s="113">
        <v>300</v>
      </c>
      <c r="O36" s="113">
        <v>300</v>
      </c>
      <c r="P36" s="113">
        <v>300</v>
      </c>
      <c r="Q36" s="113">
        <v>300</v>
      </c>
      <c r="R36" s="113">
        <v>300</v>
      </c>
      <c r="S36" s="113">
        <v>300</v>
      </c>
      <c r="T36" s="113"/>
      <c r="U36" s="113">
        <v>300</v>
      </c>
      <c r="V36" s="113">
        <v>300</v>
      </c>
      <c r="W36" s="113">
        <v>300</v>
      </c>
      <c r="X36" s="113">
        <v>300</v>
      </c>
      <c r="Y36" s="113">
        <v>300</v>
      </c>
      <c r="Z36" s="113">
        <v>300</v>
      </c>
      <c r="AA36" s="113">
        <v>300</v>
      </c>
      <c r="AB36" s="113">
        <v>300</v>
      </c>
      <c r="AC36" s="113">
        <v>300</v>
      </c>
      <c r="AD36" s="113">
        <v>300</v>
      </c>
      <c r="AE36" s="113">
        <v>300</v>
      </c>
      <c r="AF36" s="113">
        <v>300</v>
      </c>
      <c r="AG36" s="94">
        <v>85</v>
      </c>
      <c r="AH36" s="20">
        <f t="shared" si="2"/>
        <v>300</v>
      </c>
      <c r="AI36" s="19">
        <f t="shared" si="3"/>
        <v>300</v>
      </c>
      <c r="AK36" s="41"/>
    </row>
    <row r="37" spans="1:88" ht="15.75" thickBot="1" x14ac:dyDescent="0.3">
      <c r="A37" s="120" t="s">
        <v>196</v>
      </c>
      <c r="B37" s="119">
        <v>165</v>
      </c>
      <c r="C37" s="119">
        <v>120</v>
      </c>
      <c r="D37" s="119">
        <v>120</v>
      </c>
      <c r="E37" s="119">
        <v>120</v>
      </c>
      <c r="F37" s="119">
        <v>120</v>
      </c>
      <c r="G37" s="119">
        <v>120</v>
      </c>
      <c r="H37" s="119">
        <v>120</v>
      </c>
      <c r="I37" s="119">
        <v>120</v>
      </c>
      <c r="J37" s="119">
        <v>120</v>
      </c>
      <c r="K37" s="119">
        <v>120</v>
      </c>
      <c r="L37" s="113">
        <f>84.6+69.6</f>
        <v>154.19999999999999</v>
      </c>
      <c r="M37" s="113">
        <f>84.6+69.6</f>
        <v>154.19999999999999</v>
      </c>
      <c r="N37" s="113">
        <f>83.3+77</f>
        <v>160.30000000000001</v>
      </c>
      <c r="O37" s="113">
        <f>83.7+77.3</f>
        <v>161</v>
      </c>
      <c r="P37" s="113">
        <f>88.8+79.3</f>
        <v>168.1</v>
      </c>
      <c r="Q37" s="113">
        <v>168</v>
      </c>
      <c r="R37" s="113">
        <f>92.4+65.5</f>
        <v>157.9</v>
      </c>
      <c r="S37" s="119">
        <f>67.5+91</f>
        <v>158.5</v>
      </c>
      <c r="T37" s="119"/>
      <c r="U37" s="119">
        <f>69+90.7</f>
        <v>159.69999999999999</v>
      </c>
      <c r="V37" s="119">
        <f>54.5+94.5</f>
        <v>149</v>
      </c>
      <c r="W37" s="119">
        <f>54.2+98.9</f>
        <v>153.10000000000002</v>
      </c>
      <c r="X37" s="119">
        <f>53.4+98</f>
        <v>151.4</v>
      </c>
      <c r="Y37" s="119">
        <f>52.7+97.5</f>
        <v>150.19999999999999</v>
      </c>
      <c r="Z37" s="119">
        <f>52.7+97.5</f>
        <v>150.19999999999999</v>
      </c>
      <c r="AA37" s="119">
        <f>52.7+97.5</f>
        <v>150.19999999999999</v>
      </c>
      <c r="AB37" s="119">
        <f>68.9+97.8</f>
        <v>166.7</v>
      </c>
      <c r="AC37" s="119">
        <f>68.9+97.8</f>
        <v>166.7</v>
      </c>
      <c r="AD37" s="119">
        <f>70.1+98.6</f>
        <v>168.7</v>
      </c>
      <c r="AE37" s="119">
        <f>70.1+98.6</f>
        <v>168.7</v>
      </c>
      <c r="AF37" s="119">
        <f>70.2+99.4</f>
        <v>169.60000000000002</v>
      </c>
      <c r="AG37" s="94">
        <v>240</v>
      </c>
      <c r="AH37" s="20">
        <f t="shared" si="2"/>
        <v>169.60000000000002</v>
      </c>
      <c r="AI37" s="19">
        <f t="shared" si="3"/>
        <v>120</v>
      </c>
      <c r="AK37" s="41"/>
    </row>
    <row r="38" spans="1:88" ht="15.75" thickBot="1" x14ac:dyDescent="0.3">
      <c r="A38" s="118" t="s">
        <v>195</v>
      </c>
      <c r="B38" s="86">
        <f t="shared" ref="B38:AG38" si="4">SUM(B11:B36)</f>
        <v>754.8</v>
      </c>
      <c r="C38" s="86">
        <f t="shared" si="4"/>
        <v>758.8</v>
      </c>
      <c r="D38" s="86">
        <f t="shared" si="4"/>
        <v>758.8</v>
      </c>
      <c r="E38" s="86">
        <f t="shared" si="4"/>
        <v>758.8</v>
      </c>
      <c r="F38" s="86">
        <f t="shared" si="4"/>
        <v>758.8</v>
      </c>
      <c r="G38" s="86">
        <f t="shared" si="4"/>
        <v>766.8</v>
      </c>
      <c r="H38" s="86">
        <f t="shared" si="4"/>
        <v>766.8</v>
      </c>
      <c r="I38" s="86">
        <f t="shared" si="4"/>
        <v>766.8</v>
      </c>
      <c r="J38" s="86">
        <f t="shared" si="4"/>
        <v>766.8</v>
      </c>
      <c r="K38" s="86">
        <f t="shared" si="4"/>
        <v>766.8</v>
      </c>
      <c r="L38" s="86">
        <f t="shared" si="4"/>
        <v>766.8</v>
      </c>
      <c r="M38" s="86">
        <f t="shared" si="4"/>
        <v>766.8</v>
      </c>
      <c r="N38" s="86">
        <f t="shared" si="4"/>
        <v>765.9</v>
      </c>
      <c r="O38" s="86">
        <f t="shared" si="4"/>
        <v>767.4</v>
      </c>
      <c r="P38" s="86">
        <f t="shared" si="4"/>
        <v>767.4</v>
      </c>
      <c r="Q38" s="86">
        <f t="shared" si="4"/>
        <v>767.4</v>
      </c>
      <c r="R38" s="86">
        <f t="shared" si="4"/>
        <v>755.2</v>
      </c>
      <c r="S38" s="86">
        <f t="shared" si="4"/>
        <v>684.1</v>
      </c>
      <c r="T38" s="86">
        <f t="shared" si="4"/>
        <v>0</v>
      </c>
      <c r="U38" s="86">
        <f t="shared" si="4"/>
        <v>709.7</v>
      </c>
      <c r="V38" s="86">
        <f t="shared" si="4"/>
        <v>709.7</v>
      </c>
      <c r="W38" s="86">
        <f t="shared" si="4"/>
        <v>709.7</v>
      </c>
      <c r="X38" s="86">
        <f t="shared" si="4"/>
        <v>709.7</v>
      </c>
      <c r="Y38" s="86">
        <f t="shared" si="4"/>
        <v>709.7</v>
      </c>
      <c r="Z38" s="86">
        <f t="shared" si="4"/>
        <v>774.2</v>
      </c>
      <c r="AA38" s="86">
        <f t="shared" si="4"/>
        <v>766.2</v>
      </c>
      <c r="AB38" s="86">
        <f t="shared" si="4"/>
        <v>773.7</v>
      </c>
      <c r="AC38" s="86">
        <f t="shared" si="4"/>
        <v>771.7</v>
      </c>
      <c r="AD38" s="86">
        <f t="shared" si="4"/>
        <v>772.1</v>
      </c>
      <c r="AE38" s="86">
        <f t="shared" si="4"/>
        <v>772.6</v>
      </c>
      <c r="AF38" s="86">
        <f t="shared" si="4"/>
        <v>762.3</v>
      </c>
      <c r="AG38" s="101">
        <f t="shared" si="4"/>
        <v>665.78</v>
      </c>
      <c r="AH38" s="20">
        <f t="shared" si="2"/>
        <v>774.2</v>
      </c>
      <c r="AI38" s="19">
        <f t="shared" si="3"/>
        <v>0</v>
      </c>
      <c r="AK38" s="41"/>
    </row>
    <row r="39" spans="1:88" x14ac:dyDescent="0.25">
      <c r="A39" s="117" t="s">
        <v>194</v>
      </c>
      <c r="B39" s="105">
        <v>370</v>
      </c>
      <c r="C39" s="105">
        <v>370</v>
      </c>
      <c r="D39" s="105">
        <v>380</v>
      </c>
      <c r="E39" s="105">
        <v>250</v>
      </c>
      <c r="F39" s="105">
        <v>250</v>
      </c>
      <c r="G39" s="105">
        <v>0</v>
      </c>
      <c r="H39" s="105">
        <v>0</v>
      </c>
      <c r="I39" s="105">
        <v>0</v>
      </c>
      <c r="J39" s="105">
        <v>0</v>
      </c>
      <c r="K39" s="105">
        <v>0</v>
      </c>
      <c r="L39" s="105">
        <v>0</v>
      </c>
      <c r="M39" s="105">
        <v>0</v>
      </c>
      <c r="N39" s="105">
        <v>0</v>
      </c>
      <c r="O39" s="105">
        <v>0</v>
      </c>
      <c r="P39" s="105">
        <v>0</v>
      </c>
      <c r="Q39" s="105">
        <v>0</v>
      </c>
      <c r="R39" s="105">
        <v>0</v>
      </c>
      <c r="S39" s="105">
        <v>0</v>
      </c>
      <c r="T39" s="105"/>
      <c r="U39" s="105">
        <v>0</v>
      </c>
      <c r="V39" s="105">
        <v>0</v>
      </c>
      <c r="W39" s="105">
        <v>0</v>
      </c>
      <c r="X39" s="105">
        <v>0</v>
      </c>
      <c r="Y39" s="105">
        <v>0</v>
      </c>
      <c r="Z39" s="105">
        <v>0</v>
      </c>
      <c r="AA39" s="105">
        <v>0</v>
      </c>
      <c r="AB39" s="105">
        <v>0</v>
      </c>
      <c r="AC39" s="105">
        <v>0</v>
      </c>
      <c r="AD39" s="105">
        <v>0</v>
      </c>
      <c r="AE39" s="105">
        <v>76</v>
      </c>
      <c r="AF39" s="105">
        <f>76*3</f>
        <v>228</v>
      </c>
      <c r="AG39" s="96">
        <v>456</v>
      </c>
      <c r="AH39" s="20">
        <f t="shared" si="2"/>
        <v>380</v>
      </c>
      <c r="AI39" s="19">
        <f t="shared" si="3"/>
        <v>0</v>
      </c>
      <c r="AK39" s="41"/>
    </row>
    <row r="40" spans="1:88" x14ac:dyDescent="0.25">
      <c r="A40" s="116" t="s">
        <v>193</v>
      </c>
      <c r="B40" s="80">
        <v>60</v>
      </c>
      <c r="C40" s="80">
        <v>60</v>
      </c>
      <c r="D40" s="80">
        <v>60</v>
      </c>
      <c r="E40" s="80">
        <v>60</v>
      </c>
      <c r="F40" s="80">
        <v>60</v>
      </c>
      <c r="G40" s="80">
        <v>60</v>
      </c>
      <c r="H40" s="80">
        <v>60</v>
      </c>
      <c r="I40" s="80">
        <v>60</v>
      </c>
      <c r="J40" s="80">
        <v>60</v>
      </c>
      <c r="K40" s="80">
        <v>60</v>
      </c>
      <c r="L40" s="80">
        <v>60</v>
      </c>
      <c r="M40" s="80">
        <v>60</v>
      </c>
      <c r="N40" s="80">
        <v>60</v>
      </c>
      <c r="O40" s="80">
        <v>60</v>
      </c>
      <c r="P40" s="80">
        <v>60</v>
      </c>
      <c r="Q40" s="80">
        <v>60</v>
      </c>
      <c r="R40" s="80">
        <v>60</v>
      </c>
      <c r="S40" s="80">
        <v>60</v>
      </c>
      <c r="T40" s="80"/>
      <c r="U40" s="80">
        <v>60</v>
      </c>
      <c r="V40" s="80">
        <v>60</v>
      </c>
      <c r="W40" s="80">
        <v>60</v>
      </c>
      <c r="X40" s="80">
        <v>60</v>
      </c>
      <c r="Y40" s="80">
        <v>60</v>
      </c>
      <c r="Z40" s="80">
        <v>60</v>
      </c>
      <c r="AA40" s="80">
        <v>60</v>
      </c>
      <c r="AB40" s="80">
        <v>60</v>
      </c>
      <c r="AC40" s="80">
        <v>60</v>
      </c>
      <c r="AD40" s="80">
        <v>60</v>
      </c>
      <c r="AE40" s="80">
        <v>60</v>
      </c>
      <c r="AF40" s="80">
        <v>60</v>
      </c>
      <c r="AG40" s="94">
        <v>60</v>
      </c>
      <c r="AH40" s="20">
        <f t="shared" si="2"/>
        <v>60</v>
      </c>
      <c r="AI40" s="19">
        <f t="shared" si="3"/>
        <v>60</v>
      </c>
      <c r="AK40" s="41"/>
    </row>
    <row r="41" spans="1:88" ht="15.75" thickBot="1" x14ac:dyDescent="0.3">
      <c r="A41" s="115" t="s">
        <v>192</v>
      </c>
      <c r="B41" s="107">
        <v>22.1</v>
      </c>
      <c r="C41" s="107">
        <v>22</v>
      </c>
      <c r="D41" s="107">
        <v>22</v>
      </c>
      <c r="E41" s="107">
        <v>22</v>
      </c>
      <c r="F41" s="107">
        <v>22</v>
      </c>
      <c r="G41" s="107">
        <v>22</v>
      </c>
      <c r="H41" s="107">
        <v>22</v>
      </c>
      <c r="I41" s="107">
        <v>22</v>
      </c>
      <c r="J41" s="107">
        <v>22</v>
      </c>
      <c r="K41" s="107">
        <v>22</v>
      </c>
      <c r="L41" s="107">
        <v>22</v>
      </c>
      <c r="M41" s="107">
        <v>22</v>
      </c>
      <c r="N41" s="107">
        <v>22</v>
      </c>
      <c r="O41" s="107">
        <v>22</v>
      </c>
      <c r="P41" s="107">
        <v>22</v>
      </c>
      <c r="Q41" s="107">
        <v>22</v>
      </c>
      <c r="R41" s="107">
        <v>22</v>
      </c>
      <c r="S41" s="107">
        <v>25.5</v>
      </c>
      <c r="T41" s="107"/>
      <c r="U41" s="107">
        <v>22</v>
      </c>
      <c r="V41" s="107">
        <v>22</v>
      </c>
      <c r="W41" s="107">
        <v>22</v>
      </c>
      <c r="X41" s="107">
        <v>22</v>
      </c>
      <c r="Y41" s="107">
        <v>22</v>
      </c>
      <c r="Z41" s="107">
        <v>22</v>
      </c>
      <c r="AA41" s="107">
        <v>22</v>
      </c>
      <c r="AB41" s="107">
        <v>22</v>
      </c>
      <c r="AC41" s="107">
        <v>22</v>
      </c>
      <c r="AD41" s="107">
        <v>22</v>
      </c>
      <c r="AE41" s="107">
        <v>22</v>
      </c>
      <c r="AF41" s="107">
        <v>22</v>
      </c>
      <c r="AG41" s="106">
        <v>22.1</v>
      </c>
      <c r="AH41" s="20">
        <f t="shared" si="2"/>
        <v>25.5</v>
      </c>
      <c r="AI41" s="19">
        <f t="shared" si="3"/>
        <v>22</v>
      </c>
      <c r="AK41" s="41"/>
    </row>
    <row r="42" spans="1:88" ht="15.75" thickBot="1" x14ac:dyDescent="0.3">
      <c r="A42" s="114" t="s">
        <v>191</v>
      </c>
      <c r="B42" s="86">
        <f t="shared" ref="B42:AG42" si="5">SUM(B39:B41)</f>
        <v>452.1</v>
      </c>
      <c r="C42" s="86">
        <f t="shared" si="5"/>
        <v>452</v>
      </c>
      <c r="D42" s="86">
        <f t="shared" si="5"/>
        <v>462</v>
      </c>
      <c r="E42" s="86">
        <f t="shared" si="5"/>
        <v>332</v>
      </c>
      <c r="F42" s="86">
        <f t="shared" si="5"/>
        <v>332</v>
      </c>
      <c r="G42" s="86">
        <f t="shared" si="5"/>
        <v>82</v>
      </c>
      <c r="H42" s="86">
        <f t="shared" si="5"/>
        <v>82</v>
      </c>
      <c r="I42" s="86">
        <f t="shared" si="5"/>
        <v>82</v>
      </c>
      <c r="J42" s="86">
        <f t="shared" si="5"/>
        <v>82</v>
      </c>
      <c r="K42" s="86">
        <f t="shared" si="5"/>
        <v>82</v>
      </c>
      <c r="L42" s="86">
        <f t="shared" si="5"/>
        <v>82</v>
      </c>
      <c r="M42" s="86">
        <f t="shared" si="5"/>
        <v>82</v>
      </c>
      <c r="N42" s="86">
        <f t="shared" si="5"/>
        <v>82</v>
      </c>
      <c r="O42" s="86">
        <f t="shared" si="5"/>
        <v>82</v>
      </c>
      <c r="P42" s="86">
        <f t="shared" si="5"/>
        <v>82</v>
      </c>
      <c r="Q42" s="86">
        <f t="shared" si="5"/>
        <v>82</v>
      </c>
      <c r="R42" s="86">
        <f t="shared" si="5"/>
        <v>82</v>
      </c>
      <c r="S42" s="86">
        <f t="shared" si="5"/>
        <v>85.5</v>
      </c>
      <c r="T42" s="86">
        <f t="shared" si="5"/>
        <v>0</v>
      </c>
      <c r="U42" s="86">
        <f t="shared" si="5"/>
        <v>82</v>
      </c>
      <c r="V42" s="86">
        <f t="shared" si="5"/>
        <v>82</v>
      </c>
      <c r="W42" s="86">
        <f t="shared" si="5"/>
        <v>82</v>
      </c>
      <c r="X42" s="86">
        <f t="shared" si="5"/>
        <v>82</v>
      </c>
      <c r="Y42" s="86">
        <f t="shared" si="5"/>
        <v>82</v>
      </c>
      <c r="Z42" s="86">
        <f t="shared" si="5"/>
        <v>82</v>
      </c>
      <c r="AA42" s="86">
        <f t="shared" si="5"/>
        <v>82</v>
      </c>
      <c r="AB42" s="86">
        <f t="shared" si="5"/>
        <v>82</v>
      </c>
      <c r="AC42" s="86">
        <f t="shared" si="5"/>
        <v>82</v>
      </c>
      <c r="AD42" s="86">
        <f t="shared" si="5"/>
        <v>82</v>
      </c>
      <c r="AE42" s="86">
        <f t="shared" si="5"/>
        <v>158</v>
      </c>
      <c r="AF42" s="86">
        <f t="shared" si="5"/>
        <v>310</v>
      </c>
      <c r="AG42" s="101">
        <f t="shared" si="5"/>
        <v>538.1</v>
      </c>
      <c r="AH42" s="20">
        <f t="shared" si="2"/>
        <v>462</v>
      </c>
      <c r="AI42" s="19">
        <f t="shared" si="3"/>
        <v>0</v>
      </c>
      <c r="AK42" s="41"/>
    </row>
    <row r="43" spans="1:88" x14ac:dyDescent="0.25">
      <c r="A43" s="97" t="s">
        <v>190</v>
      </c>
      <c r="B43" s="105">
        <v>81</v>
      </c>
      <c r="C43" s="105">
        <v>81</v>
      </c>
      <c r="D43" s="105">
        <v>66</v>
      </c>
      <c r="E43" s="105">
        <v>57</v>
      </c>
      <c r="F43" s="105">
        <v>57</v>
      </c>
      <c r="G43" s="105">
        <v>60</v>
      </c>
      <c r="H43" s="105">
        <v>46</v>
      </c>
      <c r="I43" s="105">
        <v>46</v>
      </c>
      <c r="J43" s="105">
        <v>70</v>
      </c>
      <c r="K43" s="105">
        <v>76</v>
      </c>
      <c r="L43" s="105">
        <v>80</v>
      </c>
      <c r="M43" s="105">
        <v>120</v>
      </c>
      <c r="N43" s="105">
        <v>131.69999999999999</v>
      </c>
      <c r="O43" s="105">
        <v>135.9</v>
      </c>
      <c r="P43" s="105">
        <v>126.3</v>
      </c>
      <c r="Q43" s="105">
        <v>122.9</v>
      </c>
      <c r="R43" s="105">
        <v>130.69999999999999</v>
      </c>
      <c r="S43" s="105">
        <v>0</v>
      </c>
      <c r="T43" s="105"/>
      <c r="U43" s="105">
        <v>50.9</v>
      </c>
      <c r="V43" s="105">
        <v>60.4</v>
      </c>
      <c r="W43" s="105">
        <v>75.8</v>
      </c>
      <c r="X43" s="105">
        <v>90.4</v>
      </c>
      <c r="Y43" s="105">
        <v>130</v>
      </c>
      <c r="Z43" s="105">
        <v>140</v>
      </c>
      <c r="AA43" s="105">
        <v>140</v>
      </c>
      <c r="AB43" s="105">
        <v>140</v>
      </c>
      <c r="AC43" s="105">
        <v>140</v>
      </c>
      <c r="AD43" s="105">
        <v>92</v>
      </c>
      <c r="AE43" s="105">
        <v>60.6</v>
      </c>
      <c r="AF43" s="105">
        <v>40.4</v>
      </c>
      <c r="AG43" s="96">
        <v>144</v>
      </c>
      <c r="AH43" s="20">
        <f t="shared" ref="AH43:AH74" si="6">MAX(B43:AF43)</f>
        <v>140</v>
      </c>
      <c r="AI43" s="19">
        <f t="shared" ref="AI43:AI79" si="7">MIN(B43:AF43)</f>
        <v>0</v>
      </c>
      <c r="AK43" s="41"/>
    </row>
    <row r="44" spans="1:88" x14ac:dyDescent="0.25">
      <c r="A44" s="95" t="s">
        <v>189</v>
      </c>
      <c r="B44" s="80">
        <v>35</v>
      </c>
      <c r="C44" s="80">
        <v>35</v>
      </c>
      <c r="D44" s="80">
        <v>35</v>
      </c>
      <c r="E44" s="80">
        <v>25</v>
      </c>
      <c r="F44" s="80">
        <v>25</v>
      </c>
      <c r="G44" s="80">
        <v>34</v>
      </c>
      <c r="H44" s="80">
        <v>34</v>
      </c>
      <c r="I44" s="80">
        <v>34</v>
      </c>
      <c r="J44" s="80">
        <v>53</v>
      </c>
      <c r="K44" s="80">
        <v>60</v>
      </c>
      <c r="L44" s="80">
        <v>60</v>
      </c>
      <c r="M44" s="80">
        <v>60</v>
      </c>
      <c r="N44" s="105">
        <v>63.5</v>
      </c>
      <c r="O44" s="105">
        <v>63.5</v>
      </c>
      <c r="P44" s="105">
        <v>60.2</v>
      </c>
      <c r="Q44" s="105">
        <v>60.6</v>
      </c>
      <c r="R44" s="105">
        <v>65.2</v>
      </c>
      <c r="S44" s="80">
        <v>32.299999999999997</v>
      </c>
      <c r="T44" s="80"/>
      <c r="U44" s="80">
        <v>36.1</v>
      </c>
      <c r="V44" s="80">
        <v>36.1</v>
      </c>
      <c r="W44" s="80">
        <v>36.1</v>
      </c>
      <c r="X44" s="80">
        <v>50.1</v>
      </c>
      <c r="Y44" s="80">
        <v>71.3</v>
      </c>
      <c r="Z44" s="80">
        <v>71.3</v>
      </c>
      <c r="AA44" s="80">
        <v>71.3</v>
      </c>
      <c r="AB44" s="80">
        <v>71.3</v>
      </c>
      <c r="AC44" s="80">
        <v>71.3</v>
      </c>
      <c r="AD44" s="80">
        <v>51.1</v>
      </c>
      <c r="AE44" s="80">
        <v>25.9</v>
      </c>
      <c r="AF44" s="80">
        <v>25.9</v>
      </c>
      <c r="AG44" s="94">
        <v>70</v>
      </c>
      <c r="AH44" s="20">
        <f t="shared" si="6"/>
        <v>71.3</v>
      </c>
      <c r="AI44" s="19">
        <f t="shared" si="7"/>
        <v>25</v>
      </c>
      <c r="AK44" s="41"/>
    </row>
    <row r="45" spans="1:88" x14ac:dyDescent="0.25">
      <c r="A45" s="95" t="s">
        <v>188</v>
      </c>
      <c r="B45" s="80">
        <v>50</v>
      </c>
      <c r="C45" s="80">
        <v>50</v>
      </c>
      <c r="D45" s="80">
        <v>50</v>
      </c>
      <c r="E45" s="80">
        <v>65</v>
      </c>
      <c r="F45" s="80">
        <v>65</v>
      </c>
      <c r="G45" s="80">
        <v>53</v>
      </c>
      <c r="H45" s="80">
        <v>53</v>
      </c>
      <c r="I45" s="80">
        <v>53</v>
      </c>
      <c r="J45" s="80">
        <v>64</v>
      </c>
      <c r="K45" s="80">
        <v>64</v>
      </c>
      <c r="L45" s="80">
        <v>64</v>
      </c>
      <c r="M45" s="80">
        <v>64</v>
      </c>
      <c r="N45" s="105">
        <v>65.099999999999994</v>
      </c>
      <c r="O45" s="105">
        <v>65.099999999999994</v>
      </c>
      <c r="P45" s="105">
        <v>64.599999999999994</v>
      </c>
      <c r="Q45" s="105">
        <v>65</v>
      </c>
      <c r="R45" s="105">
        <v>65</v>
      </c>
      <c r="S45" s="80">
        <v>65.2</v>
      </c>
      <c r="T45" s="80"/>
      <c r="U45" s="80">
        <v>35.299999999999997</v>
      </c>
      <c r="V45" s="80">
        <v>45.3</v>
      </c>
      <c r="W45" s="80">
        <v>51.5</v>
      </c>
      <c r="X45" s="80">
        <v>56</v>
      </c>
      <c r="Y45" s="80">
        <v>64.400000000000006</v>
      </c>
      <c r="Z45" s="80">
        <v>64.400000000000006</v>
      </c>
      <c r="AA45" s="80">
        <v>64.400000000000006</v>
      </c>
      <c r="AB45" s="80">
        <v>64.400000000000006</v>
      </c>
      <c r="AC45" s="80">
        <v>64.400000000000006</v>
      </c>
      <c r="AD45" s="80">
        <v>49.2</v>
      </c>
      <c r="AE45" s="80">
        <v>32</v>
      </c>
      <c r="AF45" s="80">
        <v>17.899999999999999</v>
      </c>
      <c r="AG45" s="94">
        <v>69</v>
      </c>
      <c r="AH45" s="20">
        <f t="shared" si="6"/>
        <v>65.2</v>
      </c>
      <c r="AI45" s="19">
        <f t="shared" si="7"/>
        <v>17.899999999999999</v>
      </c>
      <c r="AK45" s="41"/>
    </row>
    <row r="46" spans="1:88" x14ac:dyDescent="0.25">
      <c r="A46" s="95" t="s">
        <v>187</v>
      </c>
      <c r="B46" s="113">
        <v>41</v>
      </c>
      <c r="C46" s="113">
        <v>41</v>
      </c>
      <c r="D46" s="113">
        <v>41</v>
      </c>
      <c r="E46" s="113">
        <v>20</v>
      </c>
      <c r="F46" s="113">
        <v>20</v>
      </c>
      <c r="G46" s="113">
        <v>30</v>
      </c>
      <c r="H46" s="113">
        <v>30</v>
      </c>
      <c r="I46" s="113">
        <v>30</v>
      </c>
      <c r="J46" s="113">
        <v>50</v>
      </c>
      <c r="K46" s="113">
        <v>60</v>
      </c>
      <c r="L46" s="113">
        <v>60</v>
      </c>
      <c r="M46" s="113">
        <v>60</v>
      </c>
      <c r="N46" s="105">
        <v>60.7</v>
      </c>
      <c r="O46" s="105">
        <v>60.7</v>
      </c>
      <c r="P46" s="105">
        <v>60.7</v>
      </c>
      <c r="Q46" s="105">
        <v>60.7</v>
      </c>
      <c r="R46" s="105">
        <v>42.1</v>
      </c>
      <c r="S46" s="105">
        <v>61.2</v>
      </c>
      <c r="T46" s="105"/>
      <c r="U46" s="105">
        <v>10.6</v>
      </c>
      <c r="V46" s="80">
        <v>10.6</v>
      </c>
      <c r="W46" s="80">
        <v>14.4</v>
      </c>
      <c r="X46" s="80">
        <v>30.2</v>
      </c>
      <c r="Y46" s="80">
        <v>60.7</v>
      </c>
      <c r="Z46" s="80">
        <v>60.7</v>
      </c>
      <c r="AA46" s="80">
        <v>60.7</v>
      </c>
      <c r="AB46" s="80">
        <v>60.7</v>
      </c>
      <c r="AC46" s="80">
        <v>60.7</v>
      </c>
      <c r="AD46" s="80">
        <v>39.1</v>
      </c>
      <c r="AE46" s="113">
        <v>19.899999999999999</v>
      </c>
      <c r="AF46" s="113">
        <v>10.8</v>
      </c>
      <c r="AG46" s="94">
        <v>60</v>
      </c>
      <c r="AH46" s="20">
        <f t="shared" si="6"/>
        <v>61.2</v>
      </c>
      <c r="AI46" s="19">
        <f t="shared" si="7"/>
        <v>10.6</v>
      </c>
      <c r="AK46" s="41"/>
    </row>
    <row r="47" spans="1:88" x14ac:dyDescent="0.25">
      <c r="A47" s="95" t="s">
        <v>186</v>
      </c>
      <c r="B47" s="113">
        <v>0</v>
      </c>
      <c r="C47" s="113">
        <v>0</v>
      </c>
      <c r="D47" s="113">
        <v>0</v>
      </c>
      <c r="E47" s="113">
        <v>0</v>
      </c>
      <c r="F47" s="113">
        <v>0</v>
      </c>
      <c r="G47" s="113">
        <v>0</v>
      </c>
      <c r="H47" s="113">
        <v>0</v>
      </c>
      <c r="I47" s="113">
        <v>0</v>
      </c>
      <c r="J47" s="113">
        <v>0</v>
      </c>
      <c r="K47" s="113">
        <v>0</v>
      </c>
      <c r="L47" s="113">
        <v>0</v>
      </c>
      <c r="M47" s="113">
        <v>0</v>
      </c>
      <c r="N47" s="113">
        <v>0</v>
      </c>
      <c r="O47" s="113">
        <v>0</v>
      </c>
      <c r="P47" s="113">
        <v>0</v>
      </c>
      <c r="Q47" s="113">
        <v>0</v>
      </c>
      <c r="R47" s="105">
        <v>0</v>
      </c>
      <c r="S47" s="105">
        <v>0</v>
      </c>
      <c r="T47" s="105"/>
      <c r="U47" s="105">
        <v>0</v>
      </c>
      <c r="V47" s="80">
        <v>13.5</v>
      </c>
      <c r="W47" s="80">
        <v>13.3</v>
      </c>
      <c r="X47" s="80">
        <v>13.5</v>
      </c>
      <c r="Y47" s="80">
        <v>28.7</v>
      </c>
      <c r="Z47" s="80">
        <v>28.7</v>
      </c>
      <c r="AA47" s="80">
        <v>28.7</v>
      </c>
      <c r="AB47" s="80">
        <v>28.7</v>
      </c>
      <c r="AC47" s="80">
        <v>28.7</v>
      </c>
      <c r="AD47" s="80">
        <v>28.8</v>
      </c>
      <c r="AE47" s="113">
        <v>14.4</v>
      </c>
      <c r="AF47" s="113">
        <v>14.4</v>
      </c>
      <c r="AG47" s="94">
        <v>30</v>
      </c>
      <c r="AH47" s="20">
        <f t="shared" si="6"/>
        <v>28.8</v>
      </c>
      <c r="AI47" s="19">
        <f t="shared" si="7"/>
        <v>0</v>
      </c>
      <c r="AK47" s="41"/>
    </row>
    <row r="48" spans="1:88" x14ac:dyDescent="0.25">
      <c r="A48" s="95" t="s">
        <v>185</v>
      </c>
      <c r="B48" s="80">
        <v>0</v>
      </c>
      <c r="C48" s="80">
        <v>0</v>
      </c>
      <c r="D48" s="80">
        <v>0</v>
      </c>
      <c r="E48" s="80">
        <v>0</v>
      </c>
      <c r="F48" s="80">
        <v>0</v>
      </c>
      <c r="G48" s="80">
        <v>0</v>
      </c>
      <c r="H48" s="80">
        <v>0</v>
      </c>
      <c r="I48" s="80">
        <v>0</v>
      </c>
      <c r="J48" s="80">
        <v>0</v>
      </c>
      <c r="K48" s="80">
        <v>0</v>
      </c>
      <c r="L48" s="80">
        <v>0</v>
      </c>
      <c r="M48" s="80">
        <v>0</v>
      </c>
      <c r="N48" s="80">
        <v>0</v>
      </c>
      <c r="O48" s="80">
        <v>0</v>
      </c>
      <c r="P48" s="80">
        <v>0</v>
      </c>
      <c r="Q48" s="80">
        <v>0</v>
      </c>
      <c r="R48" s="105">
        <v>0</v>
      </c>
      <c r="S48" s="105">
        <v>0</v>
      </c>
      <c r="T48" s="105"/>
      <c r="U48" s="105">
        <v>0</v>
      </c>
      <c r="V48" s="105">
        <v>0</v>
      </c>
      <c r="W48" s="105">
        <v>0</v>
      </c>
      <c r="X48" s="105">
        <v>0</v>
      </c>
      <c r="Y48" s="105">
        <v>0</v>
      </c>
      <c r="Z48" s="105">
        <v>0</v>
      </c>
      <c r="AA48" s="105">
        <v>0</v>
      </c>
      <c r="AB48" s="105">
        <v>0</v>
      </c>
      <c r="AC48" s="105">
        <v>0</v>
      </c>
      <c r="AD48" s="105">
        <v>0</v>
      </c>
      <c r="AE48" s="80">
        <v>0</v>
      </c>
      <c r="AF48" s="80">
        <v>0</v>
      </c>
      <c r="AG48" s="94">
        <v>25</v>
      </c>
      <c r="AH48" s="20">
        <f t="shared" si="6"/>
        <v>0</v>
      </c>
      <c r="AI48" s="19">
        <f t="shared" si="7"/>
        <v>0</v>
      </c>
      <c r="AK48" s="41"/>
    </row>
    <row r="49" spans="1:41" x14ac:dyDescent="0.25">
      <c r="A49" s="95" t="s">
        <v>184</v>
      </c>
      <c r="B49" s="80">
        <v>11.3</v>
      </c>
      <c r="C49" s="80">
        <v>11.3</v>
      </c>
      <c r="D49" s="80">
        <v>11.3</v>
      </c>
      <c r="E49" s="80">
        <v>11.3</v>
      </c>
      <c r="F49" s="80">
        <v>11.3</v>
      </c>
      <c r="G49" s="80">
        <v>11.3</v>
      </c>
      <c r="H49" s="80">
        <v>11.3</v>
      </c>
      <c r="I49" s="80">
        <v>11.3</v>
      </c>
      <c r="J49" s="80">
        <v>11.3</v>
      </c>
      <c r="K49" s="80">
        <v>11.3</v>
      </c>
      <c r="L49" s="80">
        <v>11.3</v>
      </c>
      <c r="M49" s="80">
        <v>15.7</v>
      </c>
      <c r="N49" s="80">
        <v>15.7</v>
      </c>
      <c r="O49" s="80">
        <v>15.6</v>
      </c>
      <c r="P49" s="80">
        <v>15.6</v>
      </c>
      <c r="Q49" s="80">
        <v>15.6</v>
      </c>
      <c r="R49" s="105">
        <v>17</v>
      </c>
      <c r="S49" s="105">
        <v>14.9</v>
      </c>
      <c r="T49" s="105"/>
      <c r="U49" s="105">
        <v>11.2</v>
      </c>
      <c r="V49" s="105">
        <v>11.2</v>
      </c>
      <c r="W49" s="105">
        <v>11.2</v>
      </c>
      <c r="X49" s="105">
        <v>11.2</v>
      </c>
      <c r="Y49" s="105">
        <v>15</v>
      </c>
      <c r="Z49" s="105">
        <v>16.8</v>
      </c>
      <c r="AA49" s="105">
        <v>16.8</v>
      </c>
      <c r="AB49" s="105">
        <v>16.8</v>
      </c>
      <c r="AC49" s="105">
        <v>16.8</v>
      </c>
      <c r="AD49" s="105">
        <v>16.899999999999999</v>
      </c>
      <c r="AE49" s="80">
        <v>16.899999999999999</v>
      </c>
      <c r="AF49" s="80">
        <v>16.899999999999999</v>
      </c>
      <c r="AG49" s="94">
        <v>24</v>
      </c>
      <c r="AH49" s="20">
        <f t="shared" si="6"/>
        <v>17</v>
      </c>
      <c r="AI49" s="19">
        <f t="shared" si="7"/>
        <v>11.2</v>
      </c>
      <c r="AK49" s="41"/>
    </row>
    <row r="50" spans="1:41" x14ac:dyDescent="0.25">
      <c r="A50" s="95" t="s">
        <v>183</v>
      </c>
      <c r="B50" s="80">
        <v>3</v>
      </c>
      <c r="C50" s="80">
        <v>3</v>
      </c>
      <c r="D50" s="80">
        <v>3</v>
      </c>
      <c r="E50" s="80">
        <v>3</v>
      </c>
      <c r="F50" s="80">
        <v>3</v>
      </c>
      <c r="G50" s="80">
        <v>3</v>
      </c>
      <c r="H50" s="80">
        <v>3</v>
      </c>
      <c r="I50" s="80">
        <v>3</v>
      </c>
      <c r="J50" s="80">
        <v>3</v>
      </c>
      <c r="K50" s="80">
        <v>3</v>
      </c>
      <c r="L50" s="80">
        <v>3</v>
      </c>
      <c r="M50" s="80">
        <v>3</v>
      </c>
      <c r="N50" s="80">
        <v>3</v>
      </c>
      <c r="O50" s="80">
        <v>3</v>
      </c>
      <c r="P50" s="80">
        <v>3</v>
      </c>
      <c r="Q50" s="80">
        <v>3</v>
      </c>
      <c r="R50" s="80">
        <v>3</v>
      </c>
      <c r="S50" s="80">
        <v>3</v>
      </c>
      <c r="T50" s="105"/>
      <c r="U50" s="80">
        <v>3</v>
      </c>
      <c r="V50" s="80">
        <v>3</v>
      </c>
      <c r="W50" s="80">
        <v>3</v>
      </c>
      <c r="X50" s="80">
        <v>3</v>
      </c>
      <c r="Y50" s="80">
        <v>3</v>
      </c>
      <c r="Z50" s="80">
        <v>3</v>
      </c>
      <c r="AA50" s="80">
        <v>3</v>
      </c>
      <c r="AB50" s="80">
        <v>3</v>
      </c>
      <c r="AC50" s="80">
        <v>3</v>
      </c>
      <c r="AD50" s="80">
        <v>3</v>
      </c>
      <c r="AE50" s="80">
        <v>3</v>
      </c>
      <c r="AF50" s="80">
        <v>3</v>
      </c>
      <c r="AG50" s="94">
        <v>15</v>
      </c>
      <c r="AH50" s="20">
        <f t="shared" si="6"/>
        <v>3</v>
      </c>
      <c r="AI50" s="19">
        <f t="shared" si="7"/>
        <v>3</v>
      </c>
      <c r="AK50" s="41"/>
      <c r="AL50" s="112"/>
      <c r="AO50" s="112"/>
    </row>
    <row r="51" spans="1:41" s="112" customFormat="1" x14ac:dyDescent="0.25">
      <c r="A51" s="95" t="s">
        <v>182</v>
      </c>
      <c r="B51" s="80">
        <v>12.4</v>
      </c>
      <c r="C51" s="80">
        <v>12.4</v>
      </c>
      <c r="D51" s="80">
        <v>9.4</v>
      </c>
      <c r="E51" s="80">
        <v>9.4</v>
      </c>
      <c r="F51" s="80">
        <v>9.4</v>
      </c>
      <c r="G51" s="80">
        <v>9.4</v>
      </c>
      <c r="H51" s="80">
        <v>9.4</v>
      </c>
      <c r="I51" s="80">
        <v>9.4</v>
      </c>
      <c r="J51" s="80">
        <v>9.4</v>
      </c>
      <c r="K51" s="80">
        <v>9.4</v>
      </c>
      <c r="L51" s="80">
        <v>9.4</v>
      </c>
      <c r="M51" s="80">
        <v>9.4</v>
      </c>
      <c r="N51" s="80">
        <v>9.4</v>
      </c>
      <c r="O51" s="80">
        <v>9.4</v>
      </c>
      <c r="P51" s="80">
        <v>9.4</v>
      </c>
      <c r="Q51" s="80">
        <v>9.4</v>
      </c>
      <c r="R51" s="80">
        <v>9.4</v>
      </c>
      <c r="S51" s="80">
        <v>9.4</v>
      </c>
      <c r="T51" s="105"/>
      <c r="U51" s="80">
        <v>9.4</v>
      </c>
      <c r="V51" s="80">
        <v>9.4</v>
      </c>
      <c r="W51" s="80">
        <v>9.4</v>
      </c>
      <c r="X51" s="80">
        <v>9.4</v>
      </c>
      <c r="Y51" s="80">
        <v>9.4</v>
      </c>
      <c r="Z51" s="80">
        <v>9.4</v>
      </c>
      <c r="AA51" s="80">
        <v>9.4</v>
      </c>
      <c r="AB51" s="80">
        <v>9.4</v>
      </c>
      <c r="AC51" s="80">
        <v>9.4</v>
      </c>
      <c r="AD51" s="80">
        <v>9.1999999999999993</v>
      </c>
      <c r="AE51" s="80">
        <v>9</v>
      </c>
      <c r="AF51" s="80">
        <v>9</v>
      </c>
      <c r="AG51" s="94">
        <v>14.1</v>
      </c>
      <c r="AH51" s="20">
        <f t="shared" si="6"/>
        <v>12.4</v>
      </c>
      <c r="AI51" s="19">
        <f t="shared" si="7"/>
        <v>9</v>
      </c>
      <c r="AJ51" s="1"/>
      <c r="AK51" s="41"/>
      <c r="AL51" s="1"/>
      <c r="AM51" s="1"/>
      <c r="AN51" s="1"/>
      <c r="AO51" s="1"/>
    </row>
    <row r="52" spans="1:41" x14ac:dyDescent="0.25">
      <c r="A52" s="108" t="s">
        <v>181</v>
      </c>
      <c r="B52" s="80">
        <v>4.8</v>
      </c>
      <c r="C52" s="80">
        <v>4.8</v>
      </c>
      <c r="D52" s="80">
        <v>4.8</v>
      </c>
      <c r="E52" s="80">
        <v>4.8</v>
      </c>
      <c r="F52" s="80">
        <v>4.8</v>
      </c>
      <c r="G52" s="80">
        <v>4.8</v>
      </c>
      <c r="H52" s="80">
        <v>4.8</v>
      </c>
      <c r="I52" s="80">
        <v>4.8</v>
      </c>
      <c r="J52" s="80">
        <v>4.8</v>
      </c>
      <c r="K52" s="80">
        <v>4.8</v>
      </c>
      <c r="L52" s="80">
        <v>4.8</v>
      </c>
      <c r="M52" s="80">
        <v>4.8</v>
      </c>
      <c r="N52" s="80">
        <v>4.8</v>
      </c>
      <c r="O52" s="80">
        <v>4.8</v>
      </c>
      <c r="P52" s="80">
        <v>4.8</v>
      </c>
      <c r="Q52" s="80">
        <v>4.8</v>
      </c>
      <c r="R52" s="80">
        <v>4.8</v>
      </c>
      <c r="S52" s="80">
        <v>4.8</v>
      </c>
      <c r="T52" s="105"/>
      <c r="U52" s="80">
        <v>4.8</v>
      </c>
      <c r="V52" s="80">
        <v>4.8</v>
      </c>
      <c r="W52" s="80">
        <v>4.8</v>
      </c>
      <c r="X52" s="80">
        <v>4.8</v>
      </c>
      <c r="Y52" s="80">
        <v>4.8</v>
      </c>
      <c r="Z52" s="80">
        <v>4.8</v>
      </c>
      <c r="AA52" s="80">
        <v>4.8</v>
      </c>
      <c r="AB52" s="80">
        <v>4.8</v>
      </c>
      <c r="AC52" s="80">
        <v>4.8</v>
      </c>
      <c r="AD52" s="80">
        <v>4.8</v>
      </c>
      <c r="AE52" s="80">
        <v>6.6</v>
      </c>
      <c r="AF52" s="80">
        <v>6.6</v>
      </c>
      <c r="AG52" s="94">
        <v>14</v>
      </c>
      <c r="AH52" s="20">
        <f t="shared" si="6"/>
        <v>6.6</v>
      </c>
      <c r="AI52" s="19">
        <f t="shared" si="7"/>
        <v>4.8</v>
      </c>
      <c r="AK52" s="41"/>
    </row>
    <row r="53" spans="1:41" x14ac:dyDescent="0.25">
      <c r="A53" s="95" t="s">
        <v>180</v>
      </c>
      <c r="B53" s="80">
        <v>9</v>
      </c>
      <c r="C53" s="80">
        <v>9</v>
      </c>
      <c r="D53" s="80">
        <v>9</v>
      </c>
      <c r="E53" s="80">
        <v>9</v>
      </c>
      <c r="F53" s="80">
        <v>9</v>
      </c>
      <c r="G53" s="80">
        <v>9</v>
      </c>
      <c r="H53" s="80">
        <v>9</v>
      </c>
      <c r="I53" s="80">
        <v>9</v>
      </c>
      <c r="J53" s="80">
        <v>9</v>
      </c>
      <c r="K53" s="80">
        <v>9</v>
      </c>
      <c r="L53" s="80">
        <v>9</v>
      </c>
      <c r="M53" s="80">
        <v>9</v>
      </c>
      <c r="N53" s="80">
        <v>9</v>
      </c>
      <c r="O53" s="80">
        <v>9</v>
      </c>
      <c r="P53" s="80">
        <v>9</v>
      </c>
      <c r="Q53" s="80">
        <v>0</v>
      </c>
      <c r="R53" s="80">
        <v>0</v>
      </c>
      <c r="S53" s="80">
        <v>0</v>
      </c>
      <c r="T53" s="105"/>
      <c r="U53" s="80">
        <v>0</v>
      </c>
      <c r="V53" s="80">
        <v>0</v>
      </c>
      <c r="W53" s="80">
        <v>0</v>
      </c>
      <c r="X53" s="80">
        <v>0</v>
      </c>
      <c r="Y53" s="80">
        <v>0</v>
      </c>
      <c r="Z53" s="80">
        <v>0</v>
      </c>
      <c r="AA53" s="80">
        <v>0</v>
      </c>
      <c r="AB53" s="80">
        <v>9</v>
      </c>
      <c r="AC53" s="80">
        <v>9</v>
      </c>
      <c r="AD53" s="80">
        <v>9</v>
      </c>
      <c r="AE53" s="80">
        <v>9</v>
      </c>
      <c r="AF53" s="80">
        <v>9</v>
      </c>
      <c r="AG53" s="94">
        <v>10.050000000000001</v>
      </c>
      <c r="AH53" s="20">
        <f t="shared" si="6"/>
        <v>9</v>
      </c>
      <c r="AI53" s="19">
        <f t="shared" si="7"/>
        <v>0</v>
      </c>
      <c r="AK53" s="41"/>
    </row>
    <row r="54" spans="1:41" x14ac:dyDescent="0.25">
      <c r="A54" s="95" t="s">
        <v>179</v>
      </c>
      <c r="B54" s="80">
        <v>6.2</v>
      </c>
      <c r="C54" s="80">
        <v>6.2</v>
      </c>
      <c r="D54" s="80">
        <v>6.2</v>
      </c>
      <c r="E54" s="80">
        <v>6.2</v>
      </c>
      <c r="F54" s="80">
        <v>6.2</v>
      </c>
      <c r="G54" s="80">
        <v>6.2</v>
      </c>
      <c r="H54" s="80">
        <v>6.2</v>
      </c>
      <c r="I54" s="80">
        <v>6.2</v>
      </c>
      <c r="J54" s="80">
        <v>6.2</v>
      </c>
      <c r="K54" s="80">
        <v>6.2</v>
      </c>
      <c r="L54" s="80">
        <v>6.2</v>
      </c>
      <c r="M54" s="80">
        <v>6.2</v>
      </c>
      <c r="N54" s="80">
        <v>6.2</v>
      </c>
      <c r="O54" s="80">
        <v>6.2</v>
      </c>
      <c r="P54" s="80">
        <v>3.2</v>
      </c>
      <c r="Q54" s="80">
        <v>3.2</v>
      </c>
      <c r="R54" s="80">
        <v>3.2</v>
      </c>
      <c r="S54" s="80">
        <v>3.2</v>
      </c>
      <c r="T54" s="105"/>
      <c r="U54" s="80">
        <v>3.2</v>
      </c>
      <c r="V54" s="80">
        <v>3.2</v>
      </c>
      <c r="W54" s="80">
        <v>3.2</v>
      </c>
      <c r="X54" s="80">
        <v>3.2</v>
      </c>
      <c r="Y54" s="80">
        <v>3.2</v>
      </c>
      <c r="Z54" s="80">
        <v>3.2</v>
      </c>
      <c r="AA54" s="80">
        <v>3.2</v>
      </c>
      <c r="AB54" s="80">
        <v>3.2</v>
      </c>
      <c r="AC54" s="80">
        <v>3.2</v>
      </c>
      <c r="AD54" s="80">
        <v>3.2</v>
      </c>
      <c r="AE54" s="80">
        <v>3.2</v>
      </c>
      <c r="AF54" s="80">
        <v>3.2</v>
      </c>
      <c r="AG54" s="94">
        <v>6.2</v>
      </c>
      <c r="AH54" s="20">
        <f t="shared" si="6"/>
        <v>6.2</v>
      </c>
      <c r="AI54" s="19">
        <f t="shared" si="7"/>
        <v>3.2</v>
      </c>
      <c r="AK54" s="41"/>
    </row>
    <row r="55" spans="1:41" ht="15.75" thickBot="1" x14ac:dyDescent="0.3">
      <c r="A55" s="111" t="s">
        <v>17</v>
      </c>
      <c r="B55" s="110">
        <v>3.54</v>
      </c>
      <c r="C55" s="110">
        <v>3.54</v>
      </c>
      <c r="D55" s="110">
        <v>3.54</v>
      </c>
      <c r="E55" s="110">
        <v>3.54</v>
      </c>
      <c r="F55" s="110">
        <v>3.54</v>
      </c>
      <c r="G55" s="110">
        <v>3.54</v>
      </c>
      <c r="H55" s="110">
        <v>3.54</v>
      </c>
      <c r="I55" s="110">
        <v>3.54</v>
      </c>
      <c r="J55" s="110">
        <v>3.54</v>
      </c>
      <c r="K55" s="110">
        <v>3.54</v>
      </c>
      <c r="L55" s="110">
        <v>3.54</v>
      </c>
      <c r="M55" s="110">
        <v>3.54</v>
      </c>
      <c r="N55" s="110">
        <v>3.54</v>
      </c>
      <c r="O55" s="110">
        <v>3.54</v>
      </c>
      <c r="P55" s="110">
        <v>3.54</v>
      </c>
      <c r="Q55" s="110">
        <v>3.54</v>
      </c>
      <c r="R55" s="110">
        <v>3.54</v>
      </c>
      <c r="S55" s="110">
        <v>3.54</v>
      </c>
      <c r="T55" s="110">
        <v>3.54</v>
      </c>
      <c r="U55" s="110">
        <v>3.54</v>
      </c>
      <c r="V55" s="110">
        <v>3.54</v>
      </c>
      <c r="W55" s="110">
        <v>3.54</v>
      </c>
      <c r="X55" s="110">
        <v>3.54</v>
      </c>
      <c r="Y55" s="110">
        <v>3.54</v>
      </c>
      <c r="Z55" s="110">
        <v>3.54</v>
      </c>
      <c r="AA55" s="110">
        <v>3.54</v>
      </c>
      <c r="AB55" s="110">
        <v>3.54</v>
      </c>
      <c r="AC55" s="110">
        <v>3.54</v>
      </c>
      <c r="AD55" s="110">
        <v>3.54</v>
      </c>
      <c r="AE55" s="110">
        <v>3.54</v>
      </c>
      <c r="AF55" s="110">
        <v>3.54</v>
      </c>
      <c r="AG55" s="109">
        <f>AG222</f>
        <v>8.56</v>
      </c>
      <c r="AH55" s="20">
        <f t="shared" si="6"/>
        <v>3.54</v>
      </c>
      <c r="AI55" s="19">
        <f t="shared" si="7"/>
        <v>3.54</v>
      </c>
      <c r="AK55" s="41"/>
    </row>
    <row r="56" spans="1:41" ht="15.75" thickBot="1" x14ac:dyDescent="0.3">
      <c r="A56" s="87" t="s">
        <v>178</v>
      </c>
      <c r="B56" s="86">
        <f t="shared" ref="B56:AG56" si="8">SUM(B43:B55)</f>
        <v>257.24</v>
      </c>
      <c r="C56" s="86">
        <f t="shared" si="8"/>
        <v>257.24</v>
      </c>
      <c r="D56" s="86">
        <f t="shared" si="8"/>
        <v>239.24</v>
      </c>
      <c r="E56" s="86">
        <f t="shared" si="8"/>
        <v>214.24</v>
      </c>
      <c r="F56" s="86">
        <f t="shared" si="8"/>
        <v>214.24</v>
      </c>
      <c r="G56" s="86">
        <f t="shared" si="8"/>
        <v>224.24</v>
      </c>
      <c r="H56" s="86">
        <f t="shared" si="8"/>
        <v>210.24</v>
      </c>
      <c r="I56" s="86">
        <f t="shared" si="8"/>
        <v>210.24</v>
      </c>
      <c r="J56" s="86">
        <f t="shared" si="8"/>
        <v>284.24</v>
      </c>
      <c r="K56" s="86">
        <f t="shared" si="8"/>
        <v>307.24</v>
      </c>
      <c r="L56" s="86">
        <f t="shared" si="8"/>
        <v>311.24</v>
      </c>
      <c r="M56" s="86">
        <f t="shared" si="8"/>
        <v>355.64</v>
      </c>
      <c r="N56" s="86">
        <f t="shared" si="8"/>
        <v>372.63999999999993</v>
      </c>
      <c r="O56" s="86">
        <f t="shared" si="8"/>
        <v>376.74</v>
      </c>
      <c r="P56" s="86">
        <f t="shared" si="8"/>
        <v>360.34000000000003</v>
      </c>
      <c r="Q56" s="86">
        <f t="shared" si="8"/>
        <v>348.74</v>
      </c>
      <c r="R56" s="86">
        <f t="shared" si="8"/>
        <v>343.94</v>
      </c>
      <c r="S56" s="86">
        <f t="shared" si="8"/>
        <v>197.54</v>
      </c>
      <c r="T56" s="86">
        <f t="shared" si="8"/>
        <v>3.54</v>
      </c>
      <c r="U56" s="86">
        <f t="shared" si="8"/>
        <v>168.04</v>
      </c>
      <c r="V56" s="86">
        <f t="shared" si="8"/>
        <v>201.04</v>
      </c>
      <c r="W56" s="86">
        <f t="shared" si="8"/>
        <v>226.24</v>
      </c>
      <c r="X56" s="86">
        <f t="shared" si="8"/>
        <v>275.33999999999997</v>
      </c>
      <c r="Y56" s="86">
        <f t="shared" si="8"/>
        <v>394.04</v>
      </c>
      <c r="Z56" s="86">
        <f t="shared" si="8"/>
        <v>405.84000000000003</v>
      </c>
      <c r="AA56" s="86">
        <f t="shared" si="8"/>
        <v>405.84000000000003</v>
      </c>
      <c r="AB56" s="86">
        <f t="shared" si="8"/>
        <v>414.84000000000003</v>
      </c>
      <c r="AC56" s="86">
        <f t="shared" si="8"/>
        <v>414.84000000000003</v>
      </c>
      <c r="AD56" s="86">
        <f t="shared" si="8"/>
        <v>309.83999999999997</v>
      </c>
      <c r="AE56" s="86">
        <f t="shared" si="8"/>
        <v>204.04</v>
      </c>
      <c r="AF56" s="86">
        <f t="shared" si="8"/>
        <v>160.63999999999996</v>
      </c>
      <c r="AG56" s="101">
        <f t="shared" si="8"/>
        <v>489.91</v>
      </c>
      <c r="AH56" s="20">
        <f t="shared" si="6"/>
        <v>414.84000000000003</v>
      </c>
      <c r="AI56" s="19">
        <f t="shared" si="7"/>
        <v>3.54</v>
      </c>
      <c r="AK56" s="41"/>
    </row>
    <row r="57" spans="1:41" x14ac:dyDescent="0.25">
      <c r="A57" s="97" t="s">
        <v>177</v>
      </c>
      <c r="B57" s="105">
        <v>0</v>
      </c>
      <c r="C57" s="105">
        <v>0</v>
      </c>
      <c r="D57" s="105">
        <v>0</v>
      </c>
      <c r="E57" s="105">
        <v>0</v>
      </c>
      <c r="F57" s="105">
        <v>0</v>
      </c>
      <c r="G57" s="105">
        <v>0</v>
      </c>
      <c r="H57" s="105">
        <v>0</v>
      </c>
      <c r="I57" s="105">
        <v>0</v>
      </c>
      <c r="J57" s="105">
        <v>0</v>
      </c>
      <c r="K57" s="105">
        <v>0</v>
      </c>
      <c r="L57" s="105">
        <v>0</v>
      </c>
      <c r="M57" s="105">
        <v>0</v>
      </c>
      <c r="N57" s="105">
        <v>0</v>
      </c>
      <c r="O57" s="105">
        <v>0</v>
      </c>
      <c r="P57" s="105">
        <v>0</v>
      </c>
      <c r="Q57" s="105">
        <v>0</v>
      </c>
      <c r="R57" s="105">
        <v>0</v>
      </c>
      <c r="S57" s="105">
        <v>50</v>
      </c>
      <c r="T57" s="105"/>
      <c r="U57" s="105">
        <v>0</v>
      </c>
      <c r="V57" s="105">
        <v>0</v>
      </c>
      <c r="W57" s="105">
        <v>0</v>
      </c>
      <c r="X57" s="105">
        <v>0</v>
      </c>
      <c r="Y57" s="105">
        <v>0</v>
      </c>
      <c r="Z57" s="105">
        <v>0</v>
      </c>
      <c r="AA57" s="105">
        <v>0</v>
      </c>
      <c r="AB57" s="105">
        <v>0</v>
      </c>
      <c r="AC57" s="105">
        <v>0</v>
      </c>
      <c r="AD57" s="105">
        <v>0</v>
      </c>
      <c r="AE57" s="105">
        <v>0</v>
      </c>
      <c r="AF57" s="105">
        <v>0</v>
      </c>
      <c r="AG57" s="96">
        <v>60</v>
      </c>
      <c r="AH57" s="20">
        <f t="shared" si="6"/>
        <v>50</v>
      </c>
      <c r="AI57" s="19">
        <f t="shared" si="7"/>
        <v>0</v>
      </c>
      <c r="AK57" s="41"/>
    </row>
    <row r="58" spans="1:41" x14ac:dyDescent="0.25">
      <c r="A58" s="95" t="s">
        <v>176</v>
      </c>
      <c r="B58" s="80">
        <v>0</v>
      </c>
      <c r="C58" s="80">
        <v>0</v>
      </c>
      <c r="D58" s="80">
        <v>0</v>
      </c>
      <c r="E58" s="80">
        <v>0</v>
      </c>
      <c r="F58" s="80">
        <v>0</v>
      </c>
      <c r="G58" s="80">
        <v>0</v>
      </c>
      <c r="H58" s="80">
        <v>0</v>
      </c>
      <c r="I58" s="80">
        <v>0</v>
      </c>
      <c r="J58" s="80">
        <v>0</v>
      </c>
      <c r="K58" s="80">
        <v>0</v>
      </c>
      <c r="L58" s="80">
        <v>0</v>
      </c>
      <c r="M58" s="80">
        <v>0</v>
      </c>
      <c r="N58" s="80">
        <v>0</v>
      </c>
      <c r="O58" s="80">
        <v>0</v>
      </c>
      <c r="P58" s="80">
        <v>0</v>
      </c>
      <c r="Q58" s="80">
        <v>0</v>
      </c>
      <c r="R58" s="80">
        <v>0</v>
      </c>
      <c r="S58" s="80">
        <v>27.1</v>
      </c>
      <c r="T58" s="80"/>
      <c r="U58" s="80">
        <v>0</v>
      </c>
      <c r="V58" s="80">
        <v>0</v>
      </c>
      <c r="W58" s="80">
        <v>0</v>
      </c>
      <c r="X58" s="80">
        <v>0</v>
      </c>
      <c r="Y58" s="80">
        <v>0</v>
      </c>
      <c r="Z58" s="80">
        <v>0</v>
      </c>
      <c r="AA58" s="80">
        <v>0</v>
      </c>
      <c r="AB58" s="80">
        <v>0</v>
      </c>
      <c r="AC58" s="80">
        <v>0</v>
      </c>
      <c r="AD58" s="80">
        <v>0</v>
      </c>
      <c r="AE58" s="80">
        <v>0</v>
      </c>
      <c r="AF58" s="80">
        <v>0</v>
      </c>
      <c r="AG58" s="94">
        <v>32</v>
      </c>
      <c r="AH58" s="20">
        <f t="shared" si="6"/>
        <v>27.1</v>
      </c>
      <c r="AI58" s="19">
        <f t="shared" si="7"/>
        <v>0</v>
      </c>
      <c r="AK58" s="41"/>
    </row>
    <row r="59" spans="1:41" ht="15.75" thickBot="1" x14ac:dyDescent="0.3">
      <c r="A59" s="108" t="s">
        <v>175</v>
      </c>
      <c r="B59" s="107">
        <v>0</v>
      </c>
      <c r="C59" s="107">
        <v>0</v>
      </c>
      <c r="D59" s="107">
        <v>0</v>
      </c>
      <c r="E59" s="107">
        <v>0</v>
      </c>
      <c r="F59" s="107">
        <v>0</v>
      </c>
      <c r="G59" s="107">
        <v>0</v>
      </c>
      <c r="H59" s="107">
        <v>0</v>
      </c>
      <c r="I59" s="107">
        <v>0</v>
      </c>
      <c r="J59" s="107">
        <v>0</v>
      </c>
      <c r="K59" s="107">
        <v>0</v>
      </c>
      <c r="L59" s="107">
        <v>0</v>
      </c>
      <c r="M59" s="107">
        <v>0</v>
      </c>
      <c r="N59" s="107">
        <v>0</v>
      </c>
      <c r="O59" s="107">
        <v>0</v>
      </c>
      <c r="P59" s="107">
        <v>0</v>
      </c>
      <c r="Q59" s="107">
        <v>0</v>
      </c>
      <c r="R59" s="107">
        <v>0</v>
      </c>
      <c r="S59" s="107">
        <v>9.9</v>
      </c>
      <c r="T59" s="107"/>
      <c r="U59" s="107">
        <v>0</v>
      </c>
      <c r="V59" s="107">
        <v>0</v>
      </c>
      <c r="W59" s="107">
        <v>0</v>
      </c>
      <c r="X59" s="107">
        <v>0</v>
      </c>
      <c r="Y59" s="107">
        <v>0</v>
      </c>
      <c r="Z59" s="107">
        <v>0</v>
      </c>
      <c r="AA59" s="107">
        <v>0</v>
      </c>
      <c r="AB59" s="107">
        <v>0</v>
      </c>
      <c r="AC59" s="107">
        <v>0</v>
      </c>
      <c r="AD59" s="107">
        <v>0</v>
      </c>
      <c r="AE59" s="107">
        <v>0</v>
      </c>
      <c r="AF59" s="107">
        <v>0</v>
      </c>
      <c r="AG59" s="106">
        <v>14</v>
      </c>
      <c r="AH59" s="20">
        <f t="shared" si="6"/>
        <v>9.9</v>
      </c>
      <c r="AI59" s="19">
        <f t="shared" si="7"/>
        <v>0</v>
      </c>
      <c r="AK59" s="41"/>
    </row>
    <row r="60" spans="1:41" ht="15.75" thickBot="1" x14ac:dyDescent="0.3">
      <c r="A60" s="87" t="s">
        <v>174</v>
      </c>
      <c r="B60" s="86">
        <f t="shared" ref="B60:AG60" si="9">SUM(B57:B59)</f>
        <v>0</v>
      </c>
      <c r="C60" s="86">
        <f t="shared" si="9"/>
        <v>0</v>
      </c>
      <c r="D60" s="86">
        <f t="shared" si="9"/>
        <v>0</v>
      </c>
      <c r="E60" s="86">
        <f t="shared" si="9"/>
        <v>0</v>
      </c>
      <c r="F60" s="86">
        <f t="shared" si="9"/>
        <v>0</v>
      </c>
      <c r="G60" s="86">
        <f t="shared" si="9"/>
        <v>0</v>
      </c>
      <c r="H60" s="86">
        <f t="shared" si="9"/>
        <v>0</v>
      </c>
      <c r="I60" s="86">
        <f t="shared" si="9"/>
        <v>0</v>
      </c>
      <c r="J60" s="86">
        <f t="shared" si="9"/>
        <v>0</v>
      </c>
      <c r="K60" s="86">
        <f t="shared" si="9"/>
        <v>0</v>
      </c>
      <c r="L60" s="86">
        <f t="shared" si="9"/>
        <v>0</v>
      </c>
      <c r="M60" s="86">
        <f t="shared" si="9"/>
        <v>0</v>
      </c>
      <c r="N60" s="86">
        <f t="shared" si="9"/>
        <v>0</v>
      </c>
      <c r="O60" s="86">
        <f t="shared" si="9"/>
        <v>0</v>
      </c>
      <c r="P60" s="86">
        <f t="shared" si="9"/>
        <v>0</v>
      </c>
      <c r="Q60" s="86">
        <f t="shared" si="9"/>
        <v>0</v>
      </c>
      <c r="R60" s="86">
        <f t="shared" si="9"/>
        <v>0</v>
      </c>
      <c r="S60" s="86">
        <f t="shared" si="9"/>
        <v>87</v>
      </c>
      <c r="T60" s="86">
        <f t="shared" si="9"/>
        <v>0</v>
      </c>
      <c r="U60" s="86">
        <f t="shared" si="9"/>
        <v>0</v>
      </c>
      <c r="V60" s="86">
        <f t="shared" si="9"/>
        <v>0</v>
      </c>
      <c r="W60" s="86">
        <f t="shared" si="9"/>
        <v>0</v>
      </c>
      <c r="X60" s="86">
        <f t="shared" si="9"/>
        <v>0</v>
      </c>
      <c r="Y60" s="86">
        <f t="shared" si="9"/>
        <v>0</v>
      </c>
      <c r="Z60" s="86">
        <f t="shared" si="9"/>
        <v>0</v>
      </c>
      <c r="AA60" s="86">
        <f t="shared" si="9"/>
        <v>0</v>
      </c>
      <c r="AB60" s="86">
        <f t="shared" si="9"/>
        <v>0</v>
      </c>
      <c r="AC60" s="86">
        <f t="shared" si="9"/>
        <v>0</v>
      </c>
      <c r="AD60" s="86">
        <f t="shared" si="9"/>
        <v>0</v>
      </c>
      <c r="AE60" s="86">
        <f t="shared" si="9"/>
        <v>0</v>
      </c>
      <c r="AF60" s="86">
        <f t="shared" si="9"/>
        <v>0</v>
      </c>
      <c r="AG60" s="101">
        <f t="shared" si="9"/>
        <v>106</v>
      </c>
      <c r="AH60" s="20">
        <f t="shared" si="6"/>
        <v>87</v>
      </c>
      <c r="AI60" s="19">
        <f t="shared" si="7"/>
        <v>0</v>
      </c>
      <c r="AK60" s="41"/>
    </row>
    <row r="61" spans="1:41" x14ac:dyDescent="0.25">
      <c r="A61" s="97" t="s">
        <v>152</v>
      </c>
      <c r="B61" s="105">
        <v>0</v>
      </c>
      <c r="C61" s="105">
        <v>0</v>
      </c>
      <c r="D61" s="105">
        <v>0</v>
      </c>
      <c r="E61" s="105">
        <v>0</v>
      </c>
      <c r="F61" s="105">
        <v>0</v>
      </c>
      <c r="G61" s="105">
        <v>0</v>
      </c>
      <c r="H61" s="105">
        <v>0</v>
      </c>
      <c r="I61" s="105">
        <v>0</v>
      </c>
      <c r="J61" s="105">
        <v>0</v>
      </c>
      <c r="K61" s="105">
        <v>0</v>
      </c>
      <c r="L61" s="105">
        <v>0</v>
      </c>
      <c r="M61" s="105">
        <v>0</v>
      </c>
      <c r="N61" s="105">
        <v>0</v>
      </c>
      <c r="O61" s="105">
        <v>0</v>
      </c>
      <c r="P61" s="105">
        <v>0</v>
      </c>
      <c r="Q61" s="105">
        <v>0</v>
      </c>
      <c r="R61" s="105">
        <v>0</v>
      </c>
      <c r="S61" s="105">
        <v>0</v>
      </c>
      <c r="T61" s="105"/>
      <c r="U61" s="105">
        <v>0</v>
      </c>
      <c r="V61" s="105">
        <v>0</v>
      </c>
      <c r="W61" s="105">
        <v>0</v>
      </c>
      <c r="X61" s="105">
        <v>0</v>
      </c>
      <c r="Y61" s="105">
        <v>0</v>
      </c>
      <c r="Z61" s="105">
        <v>0</v>
      </c>
      <c r="AA61" s="105">
        <v>0</v>
      </c>
      <c r="AB61" s="105">
        <v>0</v>
      </c>
      <c r="AC61" s="105">
        <v>0</v>
      </c>
      <c r="AD61" s="105">
        <v>0</v>
      </c>
      <c r="AE61" s="105">
        <v>0</v>
      </c>
      <c r="AF61" s="105">
        <v>0</v>
      </c>
      <c r="AG61" s="96"/>
      <c r="AH61" s="20">
        <f t="shared" si="6"/>
        <v>0</v>
      </c>
      <c r="AI61" s="19">
        <f t="shared" si="7"/>
        <v>0</v>
      </c>
      <c r="AK61" s="41"/>
    </row>
    <row r="62" spans="1:41" x14ac:dyDescent="0.25">
      <c r="A62" s="95" t="s">
        <v>155</v>
      </c>
      <c r="B62" s="80">
        <v>0</v>
      </c>
      <c r="C62" s="80">
        <v>0</v>
      </c>
      <c r="D62" s="80">
        <v>0</v>
      </c>
      <c r="E62" s="80">
        <v>0</v>
      </c>
      <c r="F62" s="80">
        <v>0</v>
      </c>
      <c r="G62" s="80">
        <v>0</v>
      </c>
      <c r="H62" s="80">
        <v>0</v>
      </c>
      <c r="I62" s="80">
        <v>0</v>
      </c>
      <c r="J62" s="80">
        <v>0</v>
      </c>
      <c r="K62" s="80">
        <v>0</v>
      </c>
      <c r="L62" s="80">
        <v>0</v>
      </c>
      <c r="M62" s="80">
        <v>0</v>
      </c>
      <c r="N62" s="80">
        <v>0</v>
      </c>
      <c r="O62" s="80">
        <v>0</v>
      </c>
      <c r="P62" s="80">
        <v>0</v>
      </c>
      <c r="Q62" s="80">
        <v>0</v>
      </c>
      <c r="R62" s="80">
        <v>0</v>
      </c>
      <c r="S62" s="80">
        <v>0</v>
      </c>
      <c r="T62" s="80"/>
      <c r="U62" s="80">
        <v>0</v>
      </c>
      <c r="V62" s="80">
        <v>0</v>
      </c>
      <c r="W62" s="80">
        <v>0</v>
      </c>
      <c r="X62" s="80">
        <v>0</v>
      </c>
      <c r="Y62" s="80">
        <v>0</v>
      </c>
      <c r="Z62" s="80">
        <v>0</v>
      </c>
      <c r="AA62" s="80">
        <v>0</v>
      </c>
      <c r="AB62" s="80">
        <v>0</v>
      </c>
      <c r="AC62" s="80">
        <v>0</v>
      </c>
      <c r="AD62" s="80">
        <v>0</v>
      </c>
      <c r="AE62" s="80">
        <v>0</v>
      </c>
      <c r="AF62" s="80">
        <v>0</v>
      </c>
      <c r="AG62" s="94"/>
      <c r="AH62" s="20">
        <f t="shared" si="6"/>
        <v>0</v>
      </c>
      <c r="AI62" s="19">
        <f t="shared" si="7"/>
        <v>0</v>
      </c>
      <c r="AK62" s="41"/>
    </row>
    <row r="63" spans="1:41" x14ac:dyDescent="0.25">
      <c r="A63" s="95" t="s">
        <v>173</v>
      </c>
      <c r="B63" s="80">
        <v>-420</v>
      </c>
      <c r="C63" s="80">
        <v>-400</v>
      </c>
      <c r="D63" s="80">
        <v>-420</v>
      </c>
      <c r="E63" s="80">
        <v>-363</v>
      </c>
      <c r="F63" s="80">
        <v>-374</v>
      </c>
      <c r="G63" s="80">
        <v>-197</v>
      </c>
      <c r="H63" s="80">
        <v>-235</v>
      </c>
      <c r="I63" s="80">
        <v>-235</v>
      </c>
      <c r="J63" s="80">
        <v>-228</v>
      </c>
      <c r="K63" s="80">
        <v>-260</v>
      </c>
      <c r="L63" s="80">
        <v>-260</v>
      </c>
      <c r="M63" s="80">
        <v>-250</v>
      </c>
      <c r="N63" s="80">
        <v>-263</v>
      </c>
      <c r="O63" s="80">
        <v>-311.2</v>
      </c>
      <c r="P63" s="80">
        <v>-315.89999999999998</v>
      </c>
      <c r="Q63" s="80">
        <v>-315.2</v>
      </c>
      <c r="R63" s="80">
        <v>-285.60000000000002</v>
      </c>
      <c r="S63" s="80">
        <v>-275</v>
      </c>
      <c r="T63" s="80"/>
      <c r="U63" s="80">
        <v>-164</v>
      </c>
      <c r="V63" s="80">
        <v>-150</v>
      </c>
      <c r="W63" s="80">
        <v>-142</v>
      </c>
      <c r="X63" s="80">
        <v>-115</v>
      </c>
      <c r="Y63" s="80">
        <v>-54.5</v>
      </c>
      <c r="Z63" s="80">
        <v>-47</v>
      </c>
      <c r="AA63" s="80">
        <v>-37</v>
      </c>
      <c r="AB63" s="80">
        <v>-18.899999999999999</v>
      </c>
      <c r="AC63" s="80">
        <v>-24.7</v>
      </c>
      <c r="AD63" s="80">
        <v>-22.6</v>
      </c>
      <c r="AE63" s="80">
        <v>-91.2</v>
      </c>
      <c r="AF63" s="80">
        <v>-250</v>
      </c>
      <c r="AG63" s="102"/>
      <c r="AH63" s="20">
        <f t="shared" si="6"/>
        <v>-18.899999999999999</v>
      </c>
      <c r="AI63" s="19">
        <f t="shared" si="7"/>
        <v>-420</v>
      </c>
      <c r="AK63" s="41"/>
    </row>
    <row r="64" spans="1:41" x14ac:dyDescent="0.25">
      <c r="A64" s="95" t="s">
        <v>156</v>
      </c>
      <c r="B64" s="93">
        <v>0</v>
      </c>
      <c r="C64" s="93">
        <v>0</v>
      </c>
      <c r="D64" s="93">
        <v>0</v>
      </c>
      <c r="E64" s="93">
        <v>0</v>
      </c>
      <c r="F64" s="93">
        <v>0</v>
      </c>
      <c r="G64" s="93">
        <v>0</v>
      </c>
      <c r="H64" s="93">
        <v>0</v>
      </c>
      <c r="I64" s="93">
        <v>0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/>
      <c r="U64" s="93">
        <v>0</v>
      </c>
      <c r="V64" s="93">
        <v>0</v>
      </c>
      <c r="W64" s="93">
        <v>0</v>
      </c>
      <c r="X64" s="93">
        <v>0</v>
      </c>
      <c r="Y64" s="93">
        <v>0</v>
      </c>
      <c r="Z64" s="93">
        <v>0</v>
      </c>
      <c r="AA64" s="93">
        <v>0</v>
      </c>
      <c r="AB64" s="93">
        <v>0</v>
      </c>
      <c r="AC64" s="93">
        <v>0</v>
      </c>
      <c r="AD64" s="93">
        <v>0</v>
      </c>
      <c r="AE64" s="93">
        <v>0</v>
      </c>
      <c r="AF64" s="93">
        <v>0</v>
      </c>
      <c r="AG64" s="102"/>
      <c r="AH64" s="20">
        <f t="shared" si="6"/>
        <v>0</v>
      </c>
      <c r="AI64" s="19">
        <f t="shared" si="7"/>
        <v>0</v>
      </c>
      <c r="AK64" s="41"/>
    </row>
    <row r="65" spans="1:37" x14ac:dyDescent="0.25">
      <c r="A65" s="95" t="s">
        <v>172</v>
      </c>
      <c r="B65" s="105">
        <v>0</v>
      </c>
      <c r="C65" s="105">
        <v>0</v>
      </c>
      <c r="D65" s="105">
        <v>0</v>
      </c>
      <c r="E65" s="105">
        <v>0</v>
      </c>
      <c r="F65" s="105">
        <v>0</v>
      </c>
      <c r="G65" s="105">
        <v>0</v>
      </c>
      <c r="H65" s="105">
        <v>0</v>
      </c>
      <c r="I65" s="105">
        <v>0</v>
      </c>
      <c r="J65" s="105">
        <v>0</v>
      </c>
      <c r="K65" s="105">
        <v>0</v>
      </c>
      <c r="L65" s="105">
        <v>0</v>
      </c>
      <c r="M65" s="105">
        <v>0</v>
      </c>
      <c r="N65" s="105">
        <v>0</v>
      </c>
      <c r="O65" s="105">
        <v>0</v>
      </c>
      <c r="P65" s="105">
        <v>0</v>
      </c>
      <c r="Q65" s="105">
        <v>0</v>
      </c>
      <c r="R65" s="105">
        <v>0</v>
      </c>
      <c r="S65" s="105">
        <v>0</v>
      </c>
      <c r="T65" s="105"/>
      <c r="U65" s="105">
        <v>0</v>
      </c>
      <c r="V65" s="105">
        <v>0</v>
      </c>
      <c r="W65" s="105">
        <v>0</v>
      </c>
      <c r="X65" s="105">
        <v>0</v>
      </c>
      <c r="Y65" s="105">
        <v>0</v>
      </c>
      <c r="Z65" s="105">
        <v>0</v>
      </c>
      <c r="AA65" s="105">
        <v>0</v>
      </c>
      <c r="AB65" s="105">
        <v>0</v>
      </c>
      <c r="AC65" s="105">
        <v>0</v>
      </c>
      <c r="AD65" s="105">
        <v>0</v>
      </c>
      <c r="AE65" s="105">
        <v>0</v>
      </c>
      <c r="AF65" s="105">
        <v>0</v>
      </c>
      <c r="AG65" s="102"/>
      <c r="AH65" s="20">
        <f t="shared" si="6"/>
        <v>0</v>
      </c>
      <c r="AI65" s="19">
        <f t="shared" si="7"/>
        <v>0</v>
      </c>
      <c r="AK65" s="41"/>
    </row>
    <row r="66" spans="1:37" x14ac:dyDescent="0.25">
      <c r="A66" s="95" t="s">
        <v>171</v>
      </c>
      <c r="B66" s="103">
        <v>0</v>
      </c>
      <c r="C66" s="103">
        <v>0</v>
      </c>
      <c r="D66" s="103">
        <v>0</v>
      </c>
      <c r="E66" s="103">
        <v>0</v>
      </c>
      <c r="F66" s="103">
        <v>0</v>
      </c>
      <c r="G66" s="103">
        <v>0</v>
      </c>
      <c r="H66" s="103">
        <v>0</v>
      </c>
      <c r="I66" s="103">
        <v>0</v>
      </c>
      <c r="J66" s="103">
        <v>0</v>
      </c>
      <c r="K66" s="103">
        <v>0</v>
      </c>
      <c r="L66" s="103">
        <v>0</v>
      </c>
      <c r="M66" s="103">
        <v>0</v>
      </c>
      <c r="N66" s="103">
        <v>0</v>
      </c>
      <c r="O66" s="103">
        <v>0</v>
      </c>
      <c r="P66" s="103">
        <v>0</v>
      </c>
      <c r="Q66" s="103">
        <v>0</v>
      </c>
      <c r="R66" s="103">
        <v>0</v>
      </c>
      <c r="S66" s="103">
        <v>0</v>
      </c>
      <c r="T66" s="103"/>
      <c r="U66" s="103">
        <v>0</v>
      </c>
      <c r="V66" s="103">
        <v>0</v>
      </c>
      <c r="W66" s="103">
        <v>0</v>
      </c>
      <c r="X66" s="103">
        <v>0</v>
      </c>
      <c r="Y66" s="103">
        <v>0</v>
      </c>
      <c r="Z66" s="103">
        <v>0</v>
      </c>
      <c r="AA66" s="103">
        <v>0</v>
      </c>
      <c r="AB66" s="103">
        <v>0</v>
      </c>
      <c r="AC66" s="103">
        <v>0</v>
      </c>
      <c r="AD66" s="103">
        <v>0</v>
      </c>
      <c r="AE66" s="103">
        <v>0</v>
      </c>
      <c r="AF66" s="103">
        <v>0</v>
      </c>
      <c r="AG66" s="102"/>
      <c r="AH66" s="20">
        <f t="shared" si="6"/>
        <v>0</v>
      </c>
      <c r="AI66" s="19">
        <f t="shared" si="7"/>
        <v>0</v>
      </c>
      <c r="AK66" s="41"/>
    </row>
    <row r="67" spans="1:37" x14ac:dyDescent="0.25">
      <c r="A67" s="95" t="s">
        <v>170</v>
      </c>
      <c r="B67" s="103">
        <v>0</v>
      </c>
      <c r="C67" s="103">
        <v>0</v>
      </c>
      <c r="D67" s="103">
        <v>0</v>
      </c>
      <c r="E67" s="103">
        <v>0</v>
      </c>
      <c r="F67" s="103">
        <v>0</v>
      </c>
      <c r="G67" s="103">
        <v>0</v>
      </c>
      <c r="H67" s="103">
        <v>0</v>
      </c>
      <c r="I67" s="103">
        <v>0</v>
      </c>
      <c r="J67" s="103">
        <v>0</v>
      </c>
      <c r="K67" s="103">
        <v>0</v>
      </c>
      <c r="L67" s="103">
        <v>0</v>
      </c>
      <c r="M67" s="103">
        <v>0</v>
      </c>
      <c r="N67" s="103">
        <v>0</v>
      </c>
      <c r="O67" s="103">
        <v>0</v>
      </c>
      <c r="P67" s="103">
        <v>0</v>
      </c>
      <c r="Q67" s="103">
        <v>0</v>
      </c>
      <c r="R67" s="103">
        <v>0</v>
      </c>
      <c r="S67" s="103">
        <v>0</v>
      </c>
      <c r="T67" s="103"/>
      <c r="U67" s="103">
        <v>0</v>
      </c>
      <c r="V67" s="103">
        <v>0</v>
      </c>
      <c r="W67" s="103">
        <v>0</v>
      </c>
      <c r="X67" s="103">
        <v>0</v>
      </c>
      <c r="Y67" s="103">
        <v>0</v>
      </c>
      <c r="Z67" s="103">
        <v>0</v>
      </c>
      <c r="AA67" s="103">
        <v>0</v>
      </c>
      <c r="AB67" s="103">
        <v>0</v>
      </c>
      <c r="AC67" s="103">
        <v>0</v>
      </c>
      <c r="AD67" s="103">
        <v>0</v>
      </c>
      <c r="AE67" s="103">
        <v>0</v>
      </c>
      <c r="AF67" s="103">
        <v>0</v>
      </c>
      <c r="AG67" s="102"/>
      <c r="AH67" s="20">
        <f t="shared" si="6"/>
        <v>0</v>
      </c>
      <c r="AI67" s="19">
        <f t="shared" si="7"/>
        <v>0</v>
      </c>
      <c r="AK67" s="41"/>
    </row>
    <row r="68" spans="1:37" x14ac:dyDescent="0.25">
      <c r="A68" s="95" t="s">
        <v>169</v>
      </c>
      <c r="B68" s="93">
        <v>0</v>
      </c>
      <c r="C68" s="93">
        <v>0</v>
      </c>
      <c r="D68" s="93">
        <v>0</v>
      </c>
      <c r="E68" s="93">
        <v>0</v>
      </c>
      <c r="F68" s="93">
        <v>0</v>
      </c>
      <c r="G68" s="93">
        <v>0</v>
      </c>
      <c r="H68" s="93">
        <v>0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/>
      <c r="U68" s="93">
        <v>0</v>
      </c>
      <c r="V68" s="93">
        <v>0</v>
      </c>
      <c r="W68" s="93">
        <v>0</v>
      </c>
      <c r="X68" s="93">
        <v>0</v>
      </c>
      <c r="Y68" s="93">
        <v>0</v>
      </c>
      <c r="Z68" s="93">
        <v>0</v>
      </c>
      <c r="AA68" s="93">
        <v>0</v>
      </c>
      <c r="AB68" s="93">
        <v>0</v>
      </c>
      <c r="AC68" s="93">
        <v>0</v>
      </c>
      <c r="AD68" s="93">
        <v>0</v>
      </c>
      <c r="AE68" s="93">
        <v>0</v>
      </c>
      <c r="AF68" s="93">
        <v>0</v>
      </c>
      <c r="AG68" s="102"/>
      <c r="AH68" s="20">
        <f t="shared" si="6"/>
        <v>0</v>
      </c>
      <c r="AI68" s="19">
        <f t="shared" si="7"/>
        <v>0</v>
      </c>
      <c r="AK68" s="41"/>
    </row>
    <row r="69" spans="1:37" x14ac:dyDescent="0.25">
      <c r="A69" s="95" t="s">
        <v>168</v>
      </c>
      <c r="B69" s="93">
        <v>0</v>
      </c>
      <c r="C69" s="93">
        <v>0</v>
      </c>
      <c r="D69" s="93">
        <v>0</v>
      </c>
      <c r="E69" s="93">
        <v>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/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  <c r="AA69" s="93">
        <v>0</v>
      </c>
      <c r="AB69" s="93">
        <v>0</v>
      </c>
      <c r="AC69" s="93">
        <v>0</v>
      </c>
      <c r="AD69" s="93">
        <v>0</v>
      </c>
      <c r="AE69" s="93">
        <v>0</v>
      </c>
      <c r="AF69" s="93">
        <v>0</v>
      </c>
      <c r="AG69" s="102"/>
      <c r="AH69" s="20">
        <f t="shared" si="6"/>
        <v>0</v>
      </c>
      <c r="AI69" s="19">
        <f t="shared" si="7"/>
        <v>0</v>
      </c>
      <c r="AK69" s="41"/>
    </row>
    <row r="70" spans="1:37" x14ac:dyDescent="0.25">
      <c r="A70" s="91" t="s">
        <v>167</v>
      </c>
      <c r="B70" s="90">
        <v>0</v>
      </c>
      <c r="C70" s="90">
        <v>0</v>
      </c>
      <c r="D70" s="90">
        <v>0</v>
      </c>
      <c r="E70" s="90">
        <v>0</v>
      </c>
      <c r="F70" s="90">
        <v>0</v>
      </c>
      <c r="G70" s="90">
        <v>0</v>
      </c>
      <c r="H70" s="90">
        <v>0</v>
      </c>
      <c r="I70" s="90">
        <v>0</v>
      </c>
      <c r="J70" s="90">
        <v>0</v>
      </c>
      <c r="K70" s="90">
        <v>0</v>
      </c>
      <c r="L70" s="90">
        <v>0</v>
      </c>
      <c r="M70" s="90">
        <v>0</v>
      </c>
      <c r="N70" s="90">
        <v>0</v>
      </c>
      <c r="O70" s="90">
        <v>0</v>
      </c>
      <c r="P70" s="90">
        <v>0</v>
      </c>
      <c r="Q70" s="90">
        <v>0</v>
      </c>
      <c r="R70" s="90">
        <v>0</v>
      </c>
      <c r="S70" s="90">
        <v>0</v>
      </c>
      <c r="T70" s="90"/>
      <c r="U70" s="90">
        <v>0</v>
      </c>
      <c r="V70" s="90">
        <v>0</v>
      </c>
      <c r="W70" s="90">
        <v>0</v>
      </c>
      <c r="X70" s="90">
        <v>0</v>
      </c>
      <c r="Y70" s="90">
        <v>0</v>
      </c>
      <c r="Z70" s="90">
        <v>0</v>
      </c>
      <c r="AA70" s="90">
        <v>0</v>
      </c>
      <c r="AB70" s="90">
        <v>0</v>
      </c>
      <c r="AC70" s="90">
        <v>0</v>
      </c>
      <c r="AD70" s="90">
        <v>0</v>
      </c>
      <c r="AE70" s="90">
        <v>0</v>
      </c>
      <c r="AF70" s="90">
        <v>0</v>
      </c>
      <c r="AG70" s="89"/>
      <c r="AH70" s="20">
        <f t="shared" si="6"/>
        <v>0</v>
      </c>
      <c r="AI70" s="19">
        <f t="shared" si="7"/>
        <v>0</v>
      </c>
      <c r="AK70" s="41"/>
    </row>
    <row r="71" spans="1:37" ht="15.75" thickBot="1" x14ac:dyDescent="0.3">
      <c r="A71" s="91" t="s">
        <v>166</v>
      </c>
      <c r="B71" s="90">
        <v>0</v>
      </c>
      <c r="C71" s="90">
        <v>0</v>
      </c>
      <c r="D71" s="90">
        <v>0</v>
      </c>
      <c r="E71" s="90">
        <v>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/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  <c r="AA71" s="90">
        <v>0</v>
      </c>
      <c r="AB71" s="90">
        <v>0</v>
      </c>
      <c r="AC71" s="90">
        <v>0</v>
      </c>
      <c r="AD71" s="90">
        <v>0</v>
      </c>
      <c r="AE71" s="90">
        <v>0</v>
      </c>
      <c r="AF71" s="90">
        <v>0</v>
      </c>
      <c r="AG71" s="89"/>
      <c r="AH71" s="20">
        <f t="shared" si="6"/>
        <v>0</v>
      </c>
      <c r="AI71" s="19">
        <f t="shared" si="7"/>
        <v>0</v>
      </c>
      <c r="AK71" s="41"/>
    </row>
    <row r="72" spans="1:37" ht="15.75" thickBot="1" x14ac:dyDescent="0.3">
      <c r="A72" s="87" t="s">
        <v>165</v>
      </c>
      <c r="B72" s="86">
        <f t="shared" ref="B72:AF72" si="10">SUMIF(B61:B71,"&gt;0")</f>
        <v>0</v>
      </c>
      <c r="C72" s="86">
        <f t="shared" si="10"/>
        <v>0</v>
      </c>
      <c r="D72" s="86">
        <f t="shared" si="10"/>
        <v>0</v>
      </c>
      <c r="E72" s="86">
        <f t="shared" si="10"/>
        <v>0</v>
      </c>
      <c r="F72" s="86">
        <f t="shared" si="10"/>
        <v>0</v>
      </c>
      <c r="G72" s="86">
        <f t="shared" si="10"/>
        <v>0</v>
      </c>
      <c r="H72" s="86">
        <f t="shared" si="10"/>
        <v>0</v>
      </c>
      <c r="I72" s="86">
        <f t="shared" si="10"/>
        <v>0</v>
      </c>
      <c r="J72" s="86">
        <f t="shared" si="10"/>
        <v>0</v>
      </c>
      <c r="K72" s="86">
        <f t="shared" si="10"/>
        <v>0</v>
      </c>
      <c r="L72" s="86">
        <f t="shared" si="10"/>
        <v>0</v>
      </c>
      <c r="M72" s="86">
        <f t="shared" si="10"/>
        <v>0</v>
      </c>
      <c r="N72" s="86">
        <f t="shared" si="10"/>
        <v>0</v>
      </c>
      <c r="O72" s="86">
        <f t="shared" si="10"/>
        <v>0</v>
      </c>
      <c r="P72" s="86">
        <f t="shared" si="10"/>
        <v>0</v>
      </c>
      <c r="Q72" s="86">
        <f t="shared" si="10"/>
        <v>0</v>
      </c>
      <c r="R72" s="86">
        <f t="shared" si="10"/>
        <v>0</v>
      </c>
      <c r="S72" s="86">
        <f t="shared" si="10"/>
        <v>0</v>
      </c>
      <c r="T72" s="86">
        <f t="shared" si="10"/>
        <v>0</v>
      </c>
      <c r="U72" s="86">
        <f t="shared" si="10"/>
        <v>0</v>
      </c>
      <c r="V72" s="86">
        <f t="shared" si="10"/>
        <v>0</v>
      </c>
      <c r="W72" s="86">
        <f t="shared" si="10"/>
        <v>0</v>
      </c>
      <c r="X72" s="86">
        <f t="shared" si="10"/>
        <v>0</v>
      </c>
      <c r="Y72" s="86">
        <f t="shared" si="10"/>
        <v>0</v>
      </c>
      <c r="Z72" s="86">
        <f t="shared" si="10"/>
        <v>0</v>
      </c>
      <c r="AA72" s="86">
        <f t="shared" si="10"/>
        <v>0</v>
      </c>
      <c r="AB72" s="86">
        <f t="shared" si="10"/>
        <v>0</v>
      </c>
      <c r="AC72" s="86">
        <f t="shared" si="10"/>
        <v>0</v>
      </c>
      <c r="AD72" s="86">
        <f t="shared" si="10"/>
        <v>0</v>
      </c>
      <c r="AE72" s="86">
        <f t="shared" si="10"/>
        <v>0</v>
      </c>
      <c r="AF72" s="86">
        <f t="shared" si="10"/>
        <v>0</v>
      </c>
      <c r="AG72" s="85">
        <f>SUM(AG61:AG71)</f>
        <v>0</v>
      </c>
      <c r="AH72" s="20">
        <f t="shared" si="6"/>
        <v>0</v>
      </c>
      <c r="AI72" s="19">
        <f t="shared" si="7"/>
        <v>0</v>
      </c>
      <c r="AK72" s="41"/>
    </row>
    <row r="73" spans="1:37" x14ac:dyDescent="0.25">
      <c r="A73" s="97" t="s">
        <v>164</v>
      </c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>
        <v>0</v>
      </c>
      <c r="AC73" s="93"/>
      <c r="AD73" s="93"/>
      <c r="AE73" s="93"/>
      <c r="AF73" s="93"/>
      <c r="AG73" s="104">
        <v>39</v>
      </c>
      <c r="AH73" s="20">
        <f t="shared" si="6"/>
        <v>0</v>
      </c>
      <c r="AI73" s="19">
        <f t="shared" si="7"/>
        <v>0</v>
      </c>
      <c r="AK73" s="41"/>
    </row>
    <row r="74" spans="1:37" x14ac:dyDescent="0.25">
      <c r="A74" s="95" t="s">
        <v>163</v>
      </c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>
        <v>0</v>
      </c>
      <c r="AC74" s="103"/>
      <c r="AD74" s="103"/>
      <c r="AE74" s="103"/>
      <c r="AF74" s="103"/>
      <c r="AG74" s="102">
        <v>14.4</v>
      </c>
      <c r="AH74" s="20">
        <f t="shared" si="6"/>
        <v>0</v>
      </c>
      <c r="AI74" s="19">
        <f t="shared" si="7"/>
        <v>0</v>
      </c>
      <c r="AK74" s="41"/>
    </row>
    <row r="75" spans="1:37" ht="15.75" thickBot="1" x14ac:dyDescent="0.3">
      <c r="A75" s="91" t="s">
        <v>162</v>
      </c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>
        <v>0</v>
      </c>
      <c r="AC75" s="90"/>
      <c r="AD75" s="90"/>
      <c r="AE75" s="90"/>
      <c r="AF75" s="90"/>
      <c r="AG75" s="89">
        <v>2</v>
      </c>
      <c r="AH75" s="20">
        <f t="shared" ref="AH75:AH97" si="11">MAX(B75:AF75)</f>
        <v>0</v>
      </c>
      <c r="AI75" s="19">
        <f t="shared" si="7"/>
        <v>0</v>
      </c>
    </row>
    <row r="76" spans="1:37" ht="15.75" thickBot="1" x14ac:dyDescent="0.3">
      <c r="A76" s="87" t="s">
        <v>161</v>
      </c>
      <c r="B76" s="86">
        <v>0</v>
      </c>
      <c r="C76" s="86">
        <v>0</v>
      </c>
      <c r="D76" s="86">
        <v>0</v>
      </c>
      <c r="E76" s="86">
        <v>0</v>
      </c>
      <c r="F76" s="86">
        <v>0</v>
      </c>
      <c r="G76" s="86">
        <v>0</v>
      </c>
      <c r="H76" s="86">
        <v>0</v>
      </c>
      <c r="I76" s="86">
        <v>0</v>
      </c>
      <c r="J76" s="86">
        <v>0</v>
      </c>
      <c r="K76" s="86">
        <v>0</v>
      </c>
      <c r="L76" s="86">
        <v>0</v>
      </c>
      <c r="M76" s="86">
        <v>0</v>
      </c>
      <c r="N76" s="86">
        <v>0</v>
      </c>
      <c r="O76" s="86">
        <v>0</v>
      </c>
      <c r="P76" s="86">
        <v>0</v>
      </c>
      <c r="Q76" s="86">
        <v>0</v>
      </c>
      <c r="R76" s="86">
        <v>0</v>
      </c>
      <c r="S76" s="86">
        <v>0</v>
      </c>
      <c r="T76" s="86">
        <v>0</v>
      </c>
      <c r="U76" s="86">
        <v>0</v>
      </c>
      <c r="V76" s="86">
        <v>0</v>
      </c>
      <c r="W76" s="86">
        <v>0</v>
      </c>
      <c r="X76" s="86">
        <v>0</v>
      </c>
      <c r="Y76" s="86">
        <v>0</v>
      </c>
      <c r="Z76" s="86">
        <v>0</v>
      </c>
      <c r="AA76" s="86">
        <v>0</v>
      </c>
      <c r="AB76" s="86">
        <v>0</v>
      </c>
      <c r="AC76" s="86">
        <v>0</v>
      </c>
      <c r="AD76" s="86">
        <v>0</v>
      </c>
      <c r="AE76" s="86">
        <v>0</v>
      </c>
      <c r="AF76" s="86">
        <v>0</v>
      </c>
      <c r="AG76" s="85">
        <f>SUM(AG73:AG75)</f>
        <v>55.4</v>
      </c>
      <c r="AH76" s="20">
        <f t="shared" si="11"/>
        <v>0</v>
      </c>
      <c r="AI76" s="19">
        <f t="shared" si="7"/>
        <v>0</v>
      </c>
    </row>
    <row r="77" spans="1:37" ht="15.75" thickBot="1" x14ac:dyDescent="0.3">
      <c r="A77" s="87" t="s">
        <v>160</v>
      </c>
      <c r="B77" s="98">
        <f t="shared" ref="B77:AG77" si="12">B38+B42+B60+B56+B72+B76</f>
        <v>1464.14</v>
      </c>
      <c r="C77" s="98">
        <f t="shared" si="12"/>
        <v>1468.04</v>
      </c>
      <c r="D77" s="98">
        <f t="shared" si="12"/>
        <v>1460.04</v>
      </c>
      <c r="E77" s="98">
        <f t="shared" si="12"/>
        <v>1305.04</v>
      </c>
      <c r="F77" s="98">
        <f t="shared" si="12"/>
        <v>1305.04</v>
      </c>
      <c r="G77" s="98">
        <f t="shared" si="12"/>
        <v>1073.04</v>
      </c>
      <c r="H77" s="98">
        <f t="shared" si="12"/>
        <v>1059.04</v>
      </c>
      <c r="I77" s="98">
        <f t="shared" si="12"/>
        <v>1059.04</v>
      </c>
      <c r="J77" s="98">
        <f t="shared" si="12"/>
        <v>1133.04</v>
      </c>
      <c r="K77" s="98">
        <f t="shared" si="12"/>
        <v>1156.04</v>
      </c>
      <c r="L77" s="98">
        <f t="shared" si="12"/>
        <v>1160.04</v>
      </c>
      <c r="M77" s="98">
        <f t="shared" si="12"/>
        <v>1204.44</v>
      </c>
      <c r="N77" s="98">
        <f t="shared" si="12"/>
        <v>1220.54</v>
      </c>
      <c r="O77" s="98">
        <f t="shared" si="12"/>
        <v>1226.1399999999999</v>
      </c>
      <c r="P77" s="98">
        <f t="shared" si="12"/>
        <v>1209.74</v>
      </c>
      <c r="Q77" s="98">
        <f t="shared" si="12"/>
        <v>1198.1399999999999</v>
      </c>
      <c r="R77" s="98">
        <f t="shared" si="12"/>
        <v>1181.1400000000001</v>
      </c>
      <c r="S77" s="98">
        <f t="shared" si="12"/>
        <v>1054.1400000000001</v>
      </c>
      <c r="T77" s="98">
        <f t="shared" si="12"/>
        <v>3.54</v>
      </c>
      <c r="U77" s="98">
        <f t="shared" si="12"/>
        <v>959.74</v>
      </c>
      <c r="V77" s="98">
        <f t="shared" si="12"/>
        <v>992.74</v>
      </c>
      <c r="W77" s="98">
        <f t="shared" si="12"/>
        <v>1017.94</v>
      </c>
      <c r="X77" s="98">
        <f t="shared" si="12"/>
        <v>1067.04</v>
      </c>
      <c r="Y77" s="98">
        <f t="shared" si="12"/>
        <v>1185.74</v>
      </c>
      <c r="Z77" s="98">
        <f t="shared" si="12"/>
        <v>1262.04</v>
      </c>
      <c r="AA77" s="98">
        <f t="shared" si="12"/>
        <v>1254.04</v>
      </c>
      <c r="AB77" s="98">
        <f t="shared" si="12"/>
        <v>1270.54</v>
      </c>
      <c r="AC77" s="98">
        <f t="shared" si="12"/>
        <v>1268.54</v>
      </c>
      <c r="AD77" s="98">
        <f t="shared" si="12"/>
        <v>1163.94</v>
      </c>
      <c r="AE77" s="98">
        <f t="shared" si="12"/>
        <v>1134.6400000000001</v>
      </c>
      <c r="AF77" s="98">
        <f t="shared" si="12"/>
        <v>1232.9399999999998</v>
      </c>
      <c r="AG77" s="101">
        <f t="shared" si="12"/>
        <v>1855.1900000000003</v>
      </c>
      <c r="AH77" s="20">
        <f t="shared" si="11"/>
        <v>1468.04</v>
      </c>
      <c r="AI77" s="19">
        <f t="shared" si="7"/>
        <v>3.54</v>
      </c>
    </row>
    <row r="78" spans="1:37" ht="15.75" thickBot="1" x14ac:dyDescent="0.3">
      <c r="A78" s="100" t="s">
        <v>159</v>
      </c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85"/>
      <c r="AH78" s="20">
        <f t="shared" si="11"/>
        <v>0</v>
      </c>
      <c r="AI78" s="19">
        <f t="shared" si="7"/>
        <v>0</v>
      </c>
    </row>
    <row r="79" spans="1:37" ht="15.75" thickBot="1" x14ac:dyDescent="0.3">
      <c r="A79" s="87" t="s">
        <v>158</v>
      </c>
      <c r="B79" s="98">
        <f t="shared" ref="B79:AF79" si="13">B77+B78</f>
        <v>1464.14</v>
      </c>
      <c r="C79" s="98">
        <f t="shared" si="13"/>
        <v>1468.04</v>
      </c>
      <c r="D79" s="98">
        <f t="shared" si="13"/>
        <v>1460.04</v>
      </c>
      <c r="E79" s="98">
        <f t="shared" si="13"/>
        <v>1305.04</v>
      </c>
      <c r="F79" s="98">
        <f t="shared" si="13"/>
        <v>1305.04</v>
      </c>
      <c r="G79" s="98">
        <f t="shared" si="13"/>
        <v>1073.04</v>
      </c>
      <c r="H79" s="98">
        <f t="shared" si="13"/>
        <v>1059.04</v>
      </c>
      <c r="I79" s="98">
        <f t="shared" si="13"/>
        <v>1059.04</v>
      </c>
      <c r="J79" s="98">
        <f t="shared" si="13"/>
        <v>1133.04</v>
      </c>
      <c r="K79" s="98">
        <f t="shared" si="13"/>
        <v>1156.04</v>
      </c>
      <c r="L79" s="98">
        <f t="shared" si="13"/>
        <v>1160.04</v>
      </c>
      <c r="M79" s="98">
        <f t="shared" si="13"/>
        <v>1204.44</v>
      </c>
      <c r="N79" s="98">
        <f t="shared" si="13"/>
        <v>1220.54</v>
      </c>
      <c r="O79" s="98">
        <f t="shared" si="13"/>
        <v>1226.1399999999999</v>
      </c>
      <c r="P79" s="98">
        <f t="shared" si="13"/>
        <v>1209.74</v>
      </c>
      <c r="Q79" s="98">
        <f t="shared" si="13"/>
        <v>1198.1399999999999</v>
      </c>
      <c r="R79" s="98">
        <f t="shared" si="13"/>
        <v>1181.1400000000001</v>
      </c>
      <c r="S79" s="98">
        <f t="shared" si="13"/>
        <v>1054.1400000000001</v>
      </c>
      <c r="T79" s="98">
        <f t="shared" si="13"/>
        <v>3.54</v>
      </c>
      <c r="U79" s="98">
        <f t="shared" si="13"/>
        <v>959.74</v>
      </c>
      <c r="V79" s="98">
        <f t="shared" si="13"/>
        <v>992.74</v>
      </c>
      <c r="W79" s="98">
        <f t="shared" si="13"/>
        <v>1017.94</v>
      </c>
      <c r="X79" s="98">
        <f t="shared" si="13"/>
        <v>1067.04</v>
      </c>
      <c r="Y79" s="98">
        <f t="shared" si="13"/>
        <v>1185.74</v>
      </c>
      <c r="Z79" s="98">
        <f t="shared" si="13"/>
        <v>1262.04</v>
      </c>
      <c r="AA79" s="98">
        <f t="shared" si="13"/>
        <v>1254.04</v>
      </c>
      <c r="AB79" s="98">
        <f t="shared" si="13"/>
        <v>1270.54</v>
      </c>
      <c r="AC79" s="98">
        <f t="shared" si="13"/>
        <v>1268.54</v>
      </c>
      <c r="AD79" s="98">
        <f t="shared" si="13"/>
        <v>1163.94</v>
      </c>
      <c r="AE79" s="98">
        <f t="shared" si="13"/>
        <v>1134.6400000000001</v>
      </c>
      <c r="AF79" s="98">
        <f t="shared" si="13"/>
        <v>1232.9399999999998</v>
      </c>
      <c r="AG79" s="85">
        <f>AG76+AG72+AG60+AG56+AG38+AG78</f>
        <v>1317.0900000000001</v>
      </c>
      <c r="AH79" s="20">
        <f t="shared" si="11"/>
        <v>1468.04</v>
      </c>
      <c r="AI79" s="19">
        <f t="shared" si="7"/>
        <v>3.54</v>
      </c>
    </row>
    <row r="80" spans="1:37" ht="15.75" thickBot="1" x14ac:dyDescent="0.3">
      <c r="A80" s="87" t="s">
        <v>157</v>
      </c>
      <c r="B80" s="98">
        <f t="shared" ref="B80:AF80" si="14">B79-B87</f>
        <v>1044.1400000000001</v>
      </c>
      <c r="C80" s="98">
        <f t="shared" si="14"/>
        <v>1068.04</v>
      </c>
      <c r="D80" s="98">
        <f t="shared" si="14"/>
        <v>1040.04</v>
      </c>
      <c r="E80" s="98">
        <f t="shared" si="14"/>
        <v>942.04</v>
      </c>
      <c r="F80" s="98">
        <f t="shared" si="14"/>
        <v>931.04</v>
      </c>
      <c r="G80" s="98">
        <f t="shared" si="14"/>
        <v>876.04</v>
      </c>
      <c r="H80" s="98">
        <f t="shared" si="14"/>
        <v>824.04</v>
      </c>
      <c r="I80" s="98">
        <f t="shared" si="14"/>
        <v>824.04</v>
      </c>
      <c r="J80" s="98">
        <f t="shared" si="14"/>
        <v>905.04</v>
      </c>
      <c r="K80" s="98">
        <f t="shared" si="14"/>
        <v>896.04</v>
      </c>
      <c r="L80" s="98">
        <f t="shared" si="14"/>
        <v>900.04</v>
      </c>
      <c r="M80" s="98">
        <f t="shared" si="14"/>
        <v>954.44</v>
      </c>
      <c r="N80" s="98">
        <f t="shared" si="14"/>
        <v>957.54</v>
      </c>
      <c r="O80" s="98">
        <f t="shared" si="14"/>
        <v>914.93999999999983</v>
      </c>
      <c r="P80" s="98">
        <f t="shared" si="14"/>
        <v>893.84</v>
      </c>
      <c r="Q80" s="98">
        <f t="shared" si="14"/>
        <v>882.93999999999983</v>
      </c>
      <c r="R80" s="98">
        <f t="shared" si="14"/>
        <v>895.54000000000008</v>
      </c>
      <c r="S80" s="98">
        <f t="shared" si="14"/>
        <v>779.1400000000001</v>
      </c>
      <c r="T80" s="98">
        <f t="shared" si="14"/>
        <v>3.54</v>
      </c>
      <c r="U80" s="98">
        <f t="shared" si="14"/>
        <v>795.74</v>
      </c>
      <c r="V80" s="98">
        <f t="shared" si="14"/>
        <v>842.74</v>
      </c>
      <c r="W80" s="98">
        <f t="shared" si="14"/>
        <v>875.94</v>
      </c>
      <c r="X80" s="98">
        <f t="shared" si="14"/>
        <v>952.04</v>
      </c>
      <c r="Y80" s="98">
        <f t="shared" si="14"/>
        <v>1131.24</v>
      </c>
      <c r="Z80" s="98">
        <f t="shared" si="14"/>
        <v>1215.04</v>
      </c>
      <c r="AA80" s="98">
        <f t="shared" si="14"/>
        <v>1217.04</v>
      </c>
      <c r="AB80" s="98">
        <f t="shared" si="14"/>
        <v>1251.6399999999999</v>
      </c>
      <c r="AC80" s="98">
        <f t="shared" si="14"/>
        <v>1243.8399999999999</v>
      </c>
      <c r="AD80" s="98">
        <f t="shared" si="14"/>
        <v>1141.3400000000001</v>
      </c>
      <c r="AE80" s="98">
        <f t="shared" si="14"/>
        <v>1043.44</v>
      </c>
      <c r="AF80" s="98">
        <f t="shared" si="14"/>
        <v>982.93999999999983</v>
      </c>
      <c r="AG80" s="85"/>
      <c r="AH80" s="20">
        <f t="shared" si="11"/>
        <v>1251.6399999999999</v>
      </c>
      <c r="AI80" s="19"/>
    </row>
    <row r="81" spans="1:37" x14ac:dyDescent="0.25">
      <c r="A81" s="97" t="s">
        <v>156</v>
      </c>
      <c r="B81" s="93">
        <f t="shared" ref="B81:AF81" si="15">IF(B64&lt;0,B64*-1,0)</f>
        <v>0</v>
      </c>
      <c r="C81" s="93">
        <f t="shared" si="15"/>
        <v>0</v>
      </c>
      <c r="D81" s="93">
        <f t="shared" si="15"/>
        <v>0</v>
      </c>
      <c r="E81" s="93">
        <f t="shared" si="15"/>
        <v>0</v>
      </c>
      <c r="F81" s="93">
        <f t="shared" si="15"/>
        <v>0</v>
      </c>
      <c r="G81" s="93">
        <f t="shared" si="15"/>
        <v>0</v>
      </c>
      <c r="H81" s="93">
        <f t="shared" si="15"/>
        <v>0</v>
      </c>
      <c r="I81" s="93">
        <f t="shared" si="15"/>
        <v>0</v>
      </c>
      <c r="J81" s="93">
        <f t="shared" si="15"/>
        <v>0</v>
      </c>
      <c r="K81" s="93">
        <f t="shared" si="15"/>
        <v>0</v>
      </c>
      <c r="L81" s="93">
        <f t="shared" si="15"/>
        <v>0</v>
      </c>
      <c r="M81" s="93">
        <f t="shared" si="15"/>
        <v>0</v>
      </c>
      <c r="N81" s="93">
        <f t="shared" si="15"/>
        <v>0</v>
      </c>
      <c r="O81" s="93">
        <f t="shared" si="15"/>
        <v>0</v>
      </c>
      <c r="P81" s="93">
        <f t="shared" si="15"/>
        <v>0</v>
      </c>
      <c r="Q81" s="93">
        <f t="shared" si="15"/>
        <v>0</v>
      </c>
      <c r="R81" s="93">
        <f t="shared" si="15"/>
        <v>0</v>
      </c>
      <c r="S81" s="93">
        <f t="shared" si="15"/>
        <v>0</v>
      </c>
      <c r="T81" s="93">
        <f t="shared" si="15"/>
        <v>0</v>
      </c>
      <c r="U81" s="93">
        <f t="shared" si="15"/>
        <v>0</v>
      </c>
      <c r="V81" s="93">
        <f t="shared" si="15"/>
        <v>0</v>
      </c>
      <c r="W81" s="93">
        <f t="shared" si="15"/>
        <v>0</v>
      </c>
      <c r="X81" s="93">
        <f t="shared" si="15"/>
        <v>0</v>
      </c>
      <c r="Y81" s="93">
        <f t="shared" si="15"/>
        <v>0</v>
      </c>
      <c r="Z81" s="93">
        <f t="shared" si="15"/>
        <v>0</v>
      </c>
      <c r="AA81" s="93">
        <f t="shared" si="15"/>
        <v>0</v>
      </c>
      <c r="AB81" s="93">
        <f t="shared" si="15"/>
        <v>0</v>
      </c>
      <c r="AC81" s="93">
        <f t="shared" si="15"/>
        <v>0</v>
      </c>
      <c r="AD81" s="93">
        <f t="shared" si="15"/>
        <v>0</v>
      </c>
      <c r="AE81" s="93">
        <f t="shared" si="15"/>
        <v>0</v>
      </c>
      <c r="AF81" s="93">
        <f t="shared" si="15"/>
        <v>0</v>
      </c>
      <c r="AG81" s="96"/>
      <c r="AH81" s="20">
        <f t="shared" si="11"/>
        <v>0</v>
      </c>
      <c r="AI81" s="19">
        <f t="shared" ref="AI81:AI97" si="16">MIN(B81:AF81)</f>
        <v>0</v>
      </c>
    </row>
    <row r="82" spans="1:37" x14ac:dyDescent="0.25">
      <c r="A82" s="95" t="s">
        <v>155</v>
      </c>
      <c r="B82" s="93">
        <f t="shared" ref="B82:AF82" si="17">IF(B62&lt;0,B62*-1,0)</f>
        <v>0</v>
      </c>
      <c r="C82" s="93">
        <f t="shared" si="17"/>
        <v>0</v>
      </c>
      <c r="D82" s="93">
        <f t="shared" si="17"/>
        <v>0</v>
      </c>
      <c r="E82" s="93">
        <f t="shared" si="17"/>
        <v>0</v>
      </c>
      <c r="F82" s="93">
        <f t="shared" si="17"/>
        <v>0</v>
      </c>
      <c r="G82" s="93">
        <f t="shared" si="17"/>
        <v>0</v>
      </c>
      <c r="H82" s="93">
        <f t="shared" si="17"/>
        <v>0</v>
      </c>
      <c r="I82" s="93">
        <f t="shared" si="17"/>
        <v>0</v>
      </c>
      <c r="J82" s="93">
        <f t="shared" si="17"/>
        <v>0</v>
      </c>
      <c r="K82" s="93">
        <f t="shared" si="17"/>
        <v>0</v>
      </c>
      <c r="L82" s="93">
        <f t="shared" si="17"/>
        <v>0</v>
      </c>
      <c r="M82" s="93">
        <f t="shared" si="17"/>
        <v>0</v>
      </c>
      <c r="N82" s="93">
        <f t="shared" si="17"/>
        <v>0</v>
      </c>
      <c r="O82" s="93">
        <f t="shared" si="17"/>
        <v>0</v>
      </c>
      <c r="P82" s="93">
        <f t="shared" si="17"/>
        <v>0</v>
      </c>
      <c r="Q82" s="93">
        <f t="shared" si="17"/>
        <v>0</v>
      </c>
      <c r="R82" s="93">
        <f t="shared" si="17"/>
        <v>0</v>
      </c>
      <c r="S82" s="93">
        <f t="shared" si="17"/>
        <v>0</v>
      </c>
      <c r="T82" s="93">
        <f t="shared" si="17"/>
        <v>0</v>
      </c>
      <c r="U82" s="93">
        <f t="shared" si="17"/>
        <v>0</v>
      </c>
      <c r="V82" s="93">
        <f t="shared" si="17"/>
        <v>0</v>
      </c>
      <c r="W82" s="93">
        <f t="shared" si="17"/>
        <v>0</v>
      </c>
      <c r="X82" s="93">
        <f t="shared" si="17"/>
        <v>0</v>
      </c>
      <c r="Y82" s="93">
        <f t="shared" si="17"/>
        <v>0</v>
      </c>
      <c r="Z82" s="93">
        <f t="shared" si="17"/>
        <v>0</v>
      </c>
      <c r="AA82" s="93">
        <f t="shared" si="17"/>
        <v>0</v>
      </c>
      <c r="AB82" s="93">
        <f t="shared" si="17"/>
        <v>0</v>
      </c>
      <c r="AC82" s="93">
        <f t="shared" si="17"/>
        <v>0</v>
      </c>
      <c r="AD82" s="93">
        <f t="shared" si="17"/>
        <v>0</v>
      </c>
      <c r="AE82" s="93">
        <f t="shared" si="17"/>
        <v>0</v>
      </c>
      <c r="AF82" s="93">
        <f t="shared" si="17"/>
        <v>0</v>
      </c>
      <c r="AG82" s="94"/>
      <c r="AH82" s="20">
        <f t="shared" si="11"/>
        <v>0</v>
      </c>
      <c r="AI82" s="19">
        <f t="shared" si="16"/>
        <v>0</v>
      </c>
    </row>
    <row r="83" spans="1:37" x14ac:dyDescent="0.25">
      <c r="A83" s="91" t="s">
        <v>154</v>
      </c>
      <c r="B83" s="93">
        <f t="shared" ref="B83:AF83" si="18">IF(B65&lt;0,B65*-1,0)</f>
        <v>0</v>
      </c>
      <c r="C83" s="93">
        <f t="shared" si="18"/>
        <v>0</v>
      </c>
      <c r="D83" s="93">
        <f t="shared" si="18"/>
        <v>0</v>
      </c>
      <c r="E83" s="93">
        <f t="shared" si="18"/>
        <v>0</v>
      </c>
      <c r="F83" s="93">
        <f t="shared" si="18"/>
        <v>0</v>
      </c>
      <c r="G83" s="93">
        <f t="shared" si="18"/>
        <v>0</v>
      </c>
      <c r="H83" s="93">
        <f t="shared" si="18"/>
        <v>0</v>
      </c>
      <c r="I83" s="93">
        <f t="shared" si="18"/>
        <v>0</v>
      </c>
      <c r="J83" s="93">
        <f t="shared" si="18"/>
        <v>0</v>
      </c>
      <c r="K83" s="93">
        <f t="shared" si="18"/>
        <v>0</v>
      </c>
      <c r="L83" s="93">
        <f t="shared" si="18"/>
        <v>0</v>
      </c>
      <c r="M83" s="93">
        <f t="shared" si="18"/>
        <v>0</v>
      </c>
      <c r="N83" s="93">
        <f t="shared" si="18"/>
        <v>0</v>
      </c>
      <c r="O83" s="93">
        <f t="shared" si="18"/>
        <v>0</v>
      </c>
      <c r="P83" s="93">
        <f t="shared" si="18"/>
        <v>0</v>
      </c>
      <c r="Q83" s="93">
        <f t="shared" si="18"/>
        <v>0</v>
      </c>
      <c r="R83" s="93">
        <f t="shared" si="18"/>
        <v>0</v>
      </c>
      <c r="S83" s="93">
        <f t="shared" si="18"/>
        <v>0</v>
      </c>
      <c r="T83" s="93">
        <f t="shared" si="18"/>
        <v>0</v>
      </c>
      <c r="U83" s="93">
        <f t="shared" si="18"/>
        <v>0</v>
      </c>
      <c r="V83" s="93">
        <f t="shared" si="18"/>
        <v>0</v>
      </c>
      <c r="W83" s="93">
        <f t="shared" si="18"/>
        <v>0</v>
      </c>
      <c r="X83" s="93">
        <f t="shared" si="18"/>
        <v>0</v>
      </c>
      <c r="Y83" s="93">
        <f t="shared" si="18"/>
        <v>0</v>
      </c>
      <c r="Z83" s="93">
        <f t="shared" si="18"/>
        <v>0</v>
      </c>
      <c r="AA83" s="93">
        <f t="shared" si="18"/>
        <v>0</v>
      </c>
      <c r="AB83" s="93">
        <f t="shared" si="18"/>
        <v>0</v>
      </c>
      <c r="AC83" s="93">
        <f t="shared" si="18"/>
        <v>0</v>
      </c>
      <c r="AD83" s="93">
        <f t="shared" si="18"/>
        <v>0</v>
      </c>
      <c r="AE83" s="93">
        <f t="shared" si="18"/>
        <v>0</v>
      </c>
      <c r="AF83" s="93">
        <f t="shared" si="18"/>
        <v>0</v>
      </c>
      <c r="AG83" s="92"/>
      <c r="AH83" s="20">
        <f t="shared" si="11"/>
        <v>0</v>
      </c>
      <c r="AI83" s="19">
        <f t="shared" si="16"/>
        <v>0</v>
      </c>
    </row>
    <row r="84" spans="1:37" x14ac:dyDescent="0.25">
      <c r="A84" s="91" t="s">
        <v>153</v>
      </c>
      <c r="B84" s="93">
        <f t="shared" ref="B84:AF84" si="19">IF(B63&lt;0,B63*-1,0)</f>
        <v>420</v>
      </c>
      <c r="C84" s="93">
        <f t="shared" si="19"/>
        <v>400</v>
      </c>
      <c r="D84" s="93">
        <f t="shared" si="19"/>
        <v>420</v>
      </c>
      <c r="E84" s="93">
        <f t="shared" si="19"/>
        <v>363</v>
      </c>
      <c r="F84" s="93">
        <f t="shared" si="19"/>
        <v>374</v>
      </c>
      <c r="G84" s="93">
        <f t="shared" si="19"/>
        <v>197</v>
      </c>
      <c r="H84" s="93">
        <f t="shared" si="19"/>
        <v>235</v>
      </c>
      <c r="I84" s="93">
        <f t="shared" si="19"/>
        <v>235</v>
      </c>
      <c r="J84" s="93">
        <f t="shared" si="19"/>
        <v>228</v>
      </c>
      <c r="K84" s="93">
        <f t="shared" si="19"/>
        <v>260</v>
      </c>
      <c r="L84" s="93">
        <f t="shared" si="19"/>
        <v>260</v>
      </c>
      <c r="M84" s="93">
        <f t="shared" si="19"/>
        <v>250</v>
      </c>
      <c r="N84" s="93">
        <f t="shared" si="19"/>
        <v>263</v>
      </c>
      <c r="O84" s="93">
        <f t="shared" si="19"/>
        <v>311.2</v>
      </c>
      <c r="P84" s="93">
        <f t="shared" si="19"/>
        <v>315.89999999999998</v>
      </c>
      <c r="Q84" s="93">
        <f t="shared" si="19"/>
        <v>315.2</v>
      </c>
      <c r="R84" s="93">
        <f t="shared" si="19"/>
        <v>285.60000000000002</v>
      </c>
      <c r="S84" s="93">
        <f t="shared" si="19"/>
        <v>275</v>
      </c>
      <c r="T84" s="93">
        <f t="shared" si="19"/>
        <v>0</v>
      </c>
      <c r="U84" s="93">
        <f t="shared" si="19"/>
        <v>164</v>
      </c>
      <c r="V84" s="93">
        <f t="shared" si="19"/>
        <v>150</v>
      </c>
      <c r="W84" s="93">
        <f t="shared" si="19"/>
        <v>142</v>
      </c>
      <c r="X84" s="93">
        <f t="shared" si="19"/>
        <v>115</v>
      </c>
      <c r="Y84" s="93">
        <f t="shared" si="19"/>
        <v>54.5</v>
      </c>
      <c r="Z84" s="93">
        <f t="shared" si="19"/>
        <v>47</v>
      </c>
      <c r="AA84" s="93">
        <f t="shared" si="19"/>
        <v>37</v>
      </c>
      <c r="AB84" s="93">
        <f t="shared" si="19"/>
        <v>18.899999999999999</v>
      </c>
      <c r="AC84" s="93">
        <f t="shared" si="19"/>
        <v>24.7</v>
      </c>
      <c r="AD84" s="93">
        <f t="shared" si="19"/>
        <v>22.6</v>
      </c>
      <c r="AE84" s="93">
        <f t="shared" si="19"/>
        <v>91.2</v>
      </c>
      <c r="AF84" s="93">
        <f t="shared" si="19"/>
        <v>250</v>
      </c>
      <c r="AG84" s="92"/>
      <c r="AH84" s="20">
        <f t="shared" si="11"/>
        <v>420</v>
      </c>
      <c r="AI84" s="19">
        <f t="shared" si="16"/>
        <v>0</v>
      </c>
    </row>
    <row r="85" spans="1:37" x14ac:dyDescent="0.25">
      <c r="A85" s="91" t="s">
        <v>152</v>
      </c>
      <c r="B85" s="93">
        <f t="shared" ref="B85:AF85" si="20">IF(B61&lt;0,B61*-1,0)</f>
        <v>0</v>
      </c>
      <c r="C85" s="93">
        <f t="shared" si="20"/>
        <v>0</v>
      </c>
      <c r="D85" s="93">
        <f t="shared" si="20"/>
        <v>0</v>
      </c>
      <c r="E85" s="93">
        <f t="shared" si="20"/>
        <v>0</v>
      </c>
      <c r="F85" s="93">
        <f t="shared" si="20"/>
        <v>0</v>
      </c>
      <c r="G85" s="93">
        <f t="shared" si="20"/>
        <v>0</v>
      </c>
      <c r="H85" s="93">
        <f t="shared" si="20"/>
        <v>0</v>
      </c>
      <c r="I85" s="93">
        <f t="shared" si="20"/>
        <v>0</v>
      </c>
      <c r="J85" s="93">
        <f t="shared" si="20"/>
        <v>0</v>
      </c>
      <c r="K85" s="93">
        <f t="shared" si="20"/>
        <v>0</v>
      </c>
      <c r="L85" s="93">
        <f t="shared" si="20"/>
        <v>0</v>
      </c>
      <c r="M85" s="93">
        <f t="shared" si="20"/>
        <v>0</v>
      </c>
      <c r="N85" s="93">
        <f t="shared" si="20"/>
        <v>0</v>
      </c>
      <c r="O85" s="93">
        <f t="shared" si="20"/>
        <v>0</v>
      </c>
      <c r="P85" s="93">
        <f t="shared" si="20"/>
        <v>0</v>
      </c>
      <c r="Q85" s="93">
        <f t="shared" si="20"/>
        <v>0</v>
      </c>
      <c r="R85" s="93">
        <f t="shared" si="20"/>
        <v>0</v>
      </c>
      <c r="S85" s="93">
        <f t="shared" si="20"/>
        <v>0</v>
      </c>
      <c r="T85" s="93">
        <f t="shared" si="20"/>
        <v>0</v>
      </c>
      <c r="U85" s="93">
        <f t="shared" si="20"/>
        <v>0</v>
      </c>
      <c r="V85" s="93">
        <f t="shared" si="20"/>
        <v>0</v>
      </c>
      <c r="W85" s="93">
        <f t="shared" si="20"/>
        <v>0</v>
      </c>
      <c r="X85" s="93">
        <f t="shared" si="20"/>
        <v>0</v>
      </c>
      <c r="Y85" s="93">
        <f t="shared" si="20"/>
        <v>0</v>
      </c>
      <c r="Z85" s="93">
        <f t="shared" si="20"/>
        <v>0</v>
      </c>
      <c r="AA85" s="93">
        <f t="shared" si="20"/>
        <v>0</v>
      </c>
      <c r="AB85" s="93">
        <f t="shared" si="20"/>
        <v>0</v>
      </c>
      <c r="AC85" s="93">
        <f t="shared" si="20"/>
        <v>0</v>
      </c>
      <c r="AD85" s="93">
        <f t="shared" si="20"/>
        <v>0</v>
      </c>
      <c r="AE85" s="93">
        <f t="shared" si="20"/>
        <v>0</v>
      </c>
      <c r="AF85" s="93">
        <f t="shared" si="20"/>
        <v>0</v>
      </c>
      <c r="AG85" s="92"/>
      <c r="AH85" s="20">
        <f t="shared" si="11"/>
        <v>0</v>
      </c>
      <c r="AI85" s="19">
        <f t="shared" si="16"/>
        <v>0</v>
      </c>
    </row>
    <row r="86" spans="1:37" ht="15.75" thickBot="1" x14ac:dyDescent="0.3">
      <c r="A86" s="91" t="s">
        <v>151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>
        <v>0</v>
      </c>
      <c r="AA86" s="90">
        <v>0</v>
      </c>
      <c r="AB86" s="90">
        <v>0</v>
      </c>
      <c r="AC86" s="90"/>
      <c r="AD86" s="90"/>
      <c r="AE86" s="90"/>
      <c r="AF86" s="90"/>
      <c r="AG86" s="89"/>
      <c r="AH86" s="20">
        <f t="shared" si="11"/>
        <v>0</v>
      </c>
      <c r="AI86" s="19">
        <f t="shared" si="16"/>
        <v>0</v>
      </c>
    </row>
    <row r="87" spans="1:37" ht="15.75" thickBot="1" x14ac:dyDescent="0.3">
      <c r="A87" s="88" t="s">
        <v>150</v>
      </c>
      <c r="B87" s="86">
        <f t="shared" ref="B87:AF87" si="21">SUM(B81:B86)</f>
        <v>420</v>
      </c>
      <c r="C87" s="86">
        <f t="shared" si="21"/>
        <v>400</v>
      </c>
      <c r="D87" s="86">
        <f t="shared" si="21"/>
        <v>420</v>
      </c>
      <c r="E87" s="86">
        <f t="shared" si="21"/>
        <v>363</v>
      </c>
      <c r="F87" s="86">
        <f t="shared" si="21"/>
        <v>374</v>
      </c>
      <c r="G87" s="86">
        <f t="shared" si="21"/>
        <v>197</v>
      </c>
      <c r="H87" s="86">
        <f t="shared" si="21"/>
        <v>235</v>
      </c>
      <c r="I87" s="86">
        <f t="shared" si="21"/>
        <v>235</v>
      </c>
      <c r="J87" s="86">
        <f t="shared" si="21"/>
        <v>228</v>
      </c>
      <c r="K87" s="86">
        <f t="shared" si="21"/>
        <v>260</v>
      </c>
      <c r="L87" s="86">
        <f t="shared" si="21"/>
        <v>260</v>
      </c>
      <c r="M87" s="86">
        <f t="shared" si="21"/>
        <v>250</v>
      </c>
      <c r="N87" s="86">
        <f t="shared" si="21"/>
        <v>263</v>
      </c>
      <c r="O87" s="86">
        <f t="shared" si="21"/>
        <v>311.2</v>
      </c>
      <c r="P87" s="86">
        <f t="shared" si="21"/>
        <v>315.89999999999998</v>
      </c>
      <c r="Q87" s="86">
        <f t="shared" si="21"/>
        <v>315.2</v>
      </c>
      <c r="R87" s="86">
        <f t="shared" si="21"/>
        <v>285.60000000000002</v>
      </c>
      <c r="S87" s="86">
        <f t="shared" si="21"/>
        <v>275</v>
      </c>
      <c r="T87" s="86">
        <f t="shared" si="21"/>
        <v>0</v>
      </c>
      <c r="U87" s="86">
        <f t="shared" si="21"/>
        <v>164</v>
      </c>
      <c r="V87" s="86">
        <f t="shared" si="21"/>
        <v>150</v>
      </c>
      <c r="W87" s="86">
        <f t="shared" si="21"/>
        <v>142</v>
      </c>
      <c r="X87" s="86">
        <f t="shared" si="21"/>
        <v>115</v>
      </c>
      <c r="Y87" s="86">
        <f t="shared" si="21"/>
        <v>54.5</v>
      </c>
      <c r="Z87" s="86">
        <f t="shared" si="21"/>
        <v>47</v>
      </c>
      <c r="AA87" s="86">
        <f t="shared" si="21"/>
        <v>37</v>
      </c>
      <c r="AB87" s="86">
        <f t="shared" si="21"/>
        <v>18.899999999999999</v>
      </c>
      <c r="AC87" s="86">
        <f t="shared" si="21"/>
        <v>24.7</v>
      </c>
      <c r="AD87" s="86">
        <f t="shared" si="21"/>
        <v>22.6</v>
      </c>
      <c r="AE87" s="86">
        <f t="shared" si="21"/>
        <v>91.2</v>
      </c>
      <c r="AF87" s="86">
        <f t="shared" si="21"/>
        <v>250</v>
      </c>
      <c r="AG87" s="85"/>
      <c r="AH87" s="20">
        <f t="shared" si="11"/>
        <v>420</v>
      </c>
      <c r="AI87" s="19">
        <f t="shared" si="16"/>
        <v>0</v>
      </c>
      <c r="AK87" s="41"/>
    </row>
    <row r="88" spans="1:37" ht="15.75" thickBot="1" x14ac:dyDescent="0.3">
      <c r="A88" s="87" t="s">
        <v>149</v>
      </c>
      <c r="B88" s="86">
        <f t="shared" ref="B88:AF88" si="22">B72-B87</f>
        <v>-420</v>
      </c>
      <c r="C88" s="86">
        <f t="shared" si="22"/>
        <v>-400</v>
      </c>
      <c r="D88" s="86">
        <f t="shared" si="22"/>
        <v>-420</v>
      </c>
      <c r="E88" s="86">
        <f t="shared" si="22"/>
        <v>-363</v>
      </c>
      <c r="F88" s="86">
        <f t="shared" si="22"/>
        <v>-374</v>
      </c>
      <c r="G88" s="86">
        <f t="shared" si="22"/>
        <v>-197</v>
      </c>
      <c r="H88" s="86">
        <f t="shared" si="22"/>
        <v>-235</v>
      </c>
      <c r="I88" s="86">
        <f t="shared" si="22"/>
        <v>-235</v>
      </c>
      <c r="J88" s="86">
        <f t="shared" si="22"/>
        <v>-228</v>
      </c>
      <c r="K88" s="86">
        <f t="shared" si="22"/>
        <v>-260</v>
      </c>
      <c r="L88" s="86">
        <f t="shared" si="22"/>
        <v>-260</v>
      </c>
      <c r="M88" s="86">
        <f t="shared" si="22"/>
        <v>-250</v>
      </c>
      <c r="N88" s="86">
        <f t="shared" si="22"/>
        <v>-263</v>
      </c>
      <c r="O88" s="86">
        <f t="shared" si="22"/>
        <v>-311.2</v>
      </c>
      <c r="P88" s="86">
        <f t="shared" si="22"/>
        <v>-315.89999999999998</v>
      </c>
      <c r="Q88" s="86">
        <f t="shared" si="22"/>
        <v>-315.2</v>
      </c>
      <c r="R88" s="86">
        <f t="shared" si="22"/>
        <v>-285.60000000000002</v>
      </c>
      <c r="S88" s="86">
        <f t="shared" si="22"/>
        <v>-275</v>
      </c>
      <c r="T88" s="86">
        <f t="shared" si="22"/>
        <v>0</v>
      </c>
      <c r="U88" s="86">
        <f t="shared" si="22"/>
        <v>-164</v>
      </c>
      <c r="V88" s="86">
        <f t="shared" si="22"/>
        <v>-150</v>
      </c>
      <c r="W88" s="86">
        <f t="shared" si="22"/>
        <v>-142</v>
      </c>
      <c r="X88" s="86">
        <f t="shared" si="22"/>
        <v>-115</v>
      </c>
      <c r="Y88" s="86">
        <f t="shared" si="22"/>
        <v>-54.5</v>
      </c>
      <c r="Z88" s="86">
        <f t="shared" si="22"/>
        <v>-47</v>
      </c>
      <c r="AA88" s="86">
        <f t="shared" si="22"/>
        <v>-37</v>
      </c>
      <c r="AB88" s="86">
        <f t="shared" si="22"/>
        <v>-18.899999999999999</v>
      </c>
      <c r="AC88" s="86">
        <f t="shared" si="22"/>
        <v>-24.7</v>
      </c>
      <c r="AD88" s="86">
        <f t="shared" si="22"/>
        <v>-22.6</v>
      </c>
      <c r="AE88" s="86">
        <f t="shared" si="22"/>
        <v>-91.2</v>
      </c>
      <c r="AF88" s="86">
        <f t="shared" si="22"/>
        <v>-250</v>
      </c>
      <c r="AG88" s="85"/>
      <c r="AH88" s="20">
        <f t="shared" si="11"/>
        <v>0</v>
      </c>
      <c r="AI88" s="19">
        <f t="shared" si="16"/>
        <v>-420</v>
      </c>
    </row>
    <row r="89" spans="1:37" x14ac:dyDescent="0.25">
      <c r="A89" s="47" t="s">
        <v>148</v>
      </c>
      <c r="B89" s="84">
        <v>49.98</v>
      </c>
      <c r="C89" s="84">
        <v>49.97</v>
      </c>
      <c r="D89" s="84">
        <v>49.99</v>
      </c>
      <c r="E89" s="84">
        <v>50.061</v>
      </c>
      <c r="F89" s="84">
        <v>50.02</v>
      </c>
      <c r="G89" s="84">
        <v>49.908000000000001</v>
      </c>
      <c r="H89" s="84">
        <v>49.908000000000001</v>
      </c>
      <c r="I89" s="84">
        <v>49.908000000000001</v>
      </c>
      <c r="J89" s="84">
        <v>49.908000000000001</v>
      </c>
      <c r="K89" s="84">
        <v>50</v>
      </c>
      <c r="L89" s="84"/>
      <c r="M89" s="84">
        <v>49.914000000000001</v>
      </c>
      <c r="N89" s="84">
        <v>50.075000000000003</v>
      </c>
      <c r="O89" s="84">
        <v>50.058999999999997</v>
      </c>
      <c r="P89" s="84">
        <v>50.026000000000003</v>
      </c>
      <c r="Q89" s="84">
        <v>50.002000000000002</v>
      </c>
      <c r="R89" s="84">
        <v>49.95</v>
      </c>
      <c r="S89" s="84">
        <v>49.95</v>
      </c>
      <c r="T89" s="84"/>
      <c r="U89" s="84">
        <v>50.002000000000002</v>
      </c>
      <c r="V89" s="84">
        <v>49.850999999999999</v>
      </c>
      <c r="W89" s="84">
        <v>49.930999999999997</v>
      </c>
      <c r="X89" s="84">
        <v>49.963999999999999</v>
      </c>
      <c r="Y89" s="84">
        <v>49.929000000000002</v>
      </c>
      <c r="Z89" s="84">
        <v>49.929000000000002</v>
      </c>
      <c r="AA89" s="84">
        <v>50.033999999999999</v>
      </c>
      <c r="AB89" s="84">
        <v>50.018999999999998</v>
      </c>
      <c r="AC89" s="84">
        <v>50</v>
      </c>
      <c r="AD89" s="84">
        <v>49.97</v>
      </c>
      <c r="AE89" s="84">
        <v>49.97</v>
      </c>
      <c r="AF89" s="84">
        <v>50.03</v>
      </c>
      <c r="AG89" s="83"/>
      <c r="AH89" s="20">
        <f t="shared" si="11"/>
        <v>50.075000000000003</v>
      </c>
      <c r="AI89" s="19">
        <f t="shared" si="16"/>
        <v>49.850999999999999</v>
      </c>
    </row>
    <row r="90" spans="1:37" x14ac:dyDescent="0.25">
      <c r="A90" s="44" t="s">
        <v>147</v>
      </c>
      <c r="B90" s="80">
        <v>125</v>
      </c>
      <c r="C90" s="80">
        <v>125</v>
      </c>
      <c r="D90" s="80">
        <v>126</v>
      </c>
      <c r="E90" s="80">
        <v>126</v>
      </c>
      <c r="F90" s="80">
        <v>126</v>
      </c>
      <c r="G90" s="80">
        <v>128</v>
      </c>
      <c r="H90" s="80">
        <v>128</v>
      </c>
      <c r="I90" s="80">
        <v>128</v>
      </c>
      <c r="J90" s="80">
        <v>128</v>
      </c>
      <c r="K90" s="80">
        <v>128</v>
      </c>
      <c r="L90" s="80"/>
      <c r="M90" s="80">
        <v>125.6</v>
      </c>
      <c r="N90" s="80">
        <v>126.3</v>
      </c>
      <c r="O90" s="80">
        <v>125.6</v>
      </c>
      <c r="P90" s="80">
        <v>125.3</v>
      </c>
      <c r="Q90" s="80">
        <v>126.3</v>
      </c>
      <c r="R90" s="80">
        <v>126.5</v>
      </c>
      <c r="S90" s="80">
        <v>126.5</v>
      </c>
      <c r="T90" s="80"/>
      <c r="U90" s="80">
        <v>127.5</v>
      </c>
      <c r="V90" s="80">
        <v>127.7</v>
      </c>
      <c r="W90" s="80">
        <v>128.19999999999999</v>
      </c>
      <c r="X90" s="80">
        <v>127.6</v>
      </c>
      <c r="Y90" s="80">
        <v>127.3</v>
      </c>
      <c r="Z90" s="80">
        <v>127.3</v>
      </c>
      <c r="AA90" s="80">
        <v>126</v>
      </c>
      <c r="AB90" s="80">
        <v>127.7</v>
      </c>
      <c r="AC90" s="80">
        <v>127.9</v>
      </c>
      <c r="AD90" s="80">
        <v>127.6</v>
      </c>
      <c r="AE90" s="80">
        <v>128.1</v>
      </c>
      <c r="AF90" s="80">
        <v>128</v>
      </c>
      <c r="AG90" s="79"/>
      <c r="AH90" s="20">
        <f t="shared" si="11"/>
        <v>128.19999999999999</v>
      </c>
      <c r="AI90" s="19">
        <f t="shared" si="16"/>
        <v>125</v>
      </c>
    </row>
    <row r="91" spans="1:37" x14ac:dyDescent="0.25">
      <c r="A91" s="44" t="s">
        <v>146</v>
      </c>
      <c r="B91" s="80">
        <v>129</v>
      </c>
      <c r="C91" s="80">
        <v>129</v>
      </c>
      <c r="D91" s="80">
        <v>130</v>
      </c>
      <c r="E91" s="80">
        <v>130</v>
      </c>
      <c r="F91" s="80">
        <v>130</v>
      </c>
      <c r="G91" s="80">
        <v>130</v>
      </c>
      <c r="H91" s="80">
        <v>130</v>
      </c>
      <c r="I91" s="80">
        <v>130</v>
      </c>
      <c r="J91" s="80">
        <v>130</v>
      </c>
      <c r="K91" s="80">
        <v>130</v>
      </c>
      <c r="L91" s="80"/>
      <c r="M91" s="80">
        <v>128</v>
      </c>
      <c r="N91" s="80">
        <v>128.80000000000001</v>
      </c>
      <c r="O91" s="80">
        <v>128.30000000000001</v>
      </c>
      <c r="P91" s="80">
        <v>128.5</v>
      </c>
      <c r="Q91" s="80">
        <v>129.4</v>
      </c>
      <c r="R91" s="80">
        <v>129.19999999999999</v>
      </c>
      <c r="S91" s="80">
        <v>129.19999999999999</v>
      </c>
      <c r="T91" s="80"/>
      <c r="U91" s="80">
        <v>129.69999999999999</v>
      </c>
      <c r="V91" s="80">
        <v>129.9</v>
      </c>
      <c r="W91" s="80">
        <v>130.19999999999999</v>
      </c>
      <c r="X91" s="80">
        <v>129.6</v>
      </c>
      <c r="Y91" s="80">
        <v>129.6</v>
      </c>
      <c r="Z91" s="80">
        <v>129.6</v>
      </c>
      <c r="AA91" s="80">
        <v>129</v>
      </c>
      <c r="AB91" s="80">
        <v>130.69999999999999</v>
      </c>
      <c r="AC91" s="80">
        <v>130.9</v>
      </c>
      <c r="AD91" s="80">
        <v>130.9</v>
      </c>
      <c r="AE91" s="80">
        <v>131.19999999999999</v>
      </c>
      <c r="AF91" s="80">
        <v>131.19999999999999</v>
      </c>
      <c r="AG91" s="79"/>
      <c r="AH91" s="20">
        <f t="shared" si="11"/>
        <v>131.19999999999999</v>
      </c>
      <c r="AI91" s="19">
        <f t="shared" si="16"/>
        <v>128</v>
      </c>
    </row>
    <row r="92" spans="1:37" x14ac:dyDescent="0.25">
      <c r="A92" s="44" t="s">
        <v>145</v>
      </c>
      <c r="B92" s="80">
        <v>130</v>
      </c>
      <c r="C92" s="80">
        <v>130</v>
      </c>
      <c r="D92" s="80">
        <v>13</v>
      </c>
      <c r="E92" s="80">
        <v>13</v>
      </c>
      <c r="F92" s="80">
        <v>13</v>
      </c>
      <c r="G92" s="80">
        <v>133</v>
      </c>
      <c r="H92" s="80">
        <v>133</v>
      </c>
      <c r="I92" s="80">
        <v>133</v>
      </c>
      <c r="J92" s="80">
        <v>133</v>
      </c>
      <c r="K92" s="80">
        <v>133</v>
      </c>
      <c r="L92" s="80"/>
      <c r="M92" s="80">
        <v>129.6</v>
      </c>
      <c r="N92" s="80">
        <v>130.5</v>
      </c>
      <c r="O92" s="80">
        <v>130.9</v>
      </c>
      <c r="P92" s="80">
        <v>130.4</v>
      </c>
      <c r="Q92" s="80">
        <v>132.80000000000001</v>
      </c>
      <c r="R92" s="80">
        <v>132.5</v>
      </c>
      <c r="S92" s="80">
        <v>132.5</v>
      </c>
      <c r="T92" s="80"/>
      <c r="U92" s="80">
        <v>130.80000000000001</v>
      </c>
      <c r="V92" s="80">
        <v>130.4</v>
      </c>
      <c r="W92" s="80">
        <v>131.4</v>
      </c>
      <c r="X92" s="80">
        <v>131.1</v>
      </c>
      <c r="Y92" s="80">
        <v>128.5</v>
      </c>
      <c r="Z92" s="80">
        <v>128.5</v>
      </c>
      <c r="AA92" s="80">
        <v>129</v>
      </c>
      <c r="AB92" s="80">
        <v>128.6</v>
      </c>
      <c r="AC92" s="80">
        <v>129.9</v>
      </c>
      <c r="AD92" s="80">
        <v>129.9</v>
      </c>
      <c r="AE92" s="80">
        <v>131.69999999999999</v>
      </c>
      <c r="AF92" s="80">
        <v>130.30000000000001</v>
      </c>
      <c r="AG92" s="79"/>
      <c r="AH92" s="20">
        <f t="shared" si="11"/>
        <v>133</v>
      </c>
      <c r="AI92" s="19">
        <f t="shared" si="16"/>
        <v>13</v>
      </c>
    </row>
    <row r="93" spans="1:37" x14ac:dyDescent="0.25">
      <c r="A93" s="82" t="s">
        <v>144</v>
      </c>
      <c r="B93" s="80">
        <v>133</v>
      </c>
      <c r="C93" s="80">
        <v>133</v>
      </c>
      <c r="D93" s="80">
        <v>135</v>
      </c>
      <c r="E93" s="80">
        <v>135</v>
      </c>
      <c r="F93" s="80">
        <v>135</v>
      </c>
      <c r="G93" s="80">
        <v>136</v>
      </c>
      <c r="H93" s="80">
        <v>136</v>
      </c>
      <c r="I93" s="80">
        <v>136</v>
      </c>
      <c r="J93" s="80">
        <v>136</v>
      </c>
      <c r="K93" s="80">
        <v>136</v>
      </c>
      <c r="L93" s="80"/>
      <c r="M93" s="80">
        <v>133.4</v>
      </c>
      <c r="N93" s="80">
        <v>134.30000000000001</v>
      </c>
      <c r="O93" s="80">
        <v>134.80000000000001</v>
      </c>
      <c r="P93" s="80">
        <v>132.80000000000001</v>
      </c>
      <c r="Q93" s="80">
        <v>133.5</v>
      </c>
      <c r="R93" s="80">
        <v>133.6</v>
      </c>
      <c r="S93" s="80">
        <v>133.6</v>
      </c>
      <c r="T93" s="80"/>
      <c r="U93" s="80">
        <v>132.5</v>
      </c>
      <c r="V93" s="80">
        <v>131.69999999999999</v>
      </c>
      <c r="W93" s="80">
        <v>133.4</v>
      </c>
      <c r="X93" s="80">
        <v>133.30000000000001</v>
      </c>
      <c r="Y93" s="80">
        <v>131.80000000000001</v>
      </c>
      <c r="Z93" s="80">
        <v>131.80000000000001</v>
      </c>
      <c r="AA93" s="80">
        <v>133</v>
      </c>
      <c r="AB93" s="80">
        <v>132.69999999999999</v>
      </c>
      <c r="AC93" s="80">
        <v>133.30000000000001</v>
      </c>
      <c r="AD93" s="80">
        <v>133.30000000000001</v>
      </c>
      <c r="AE93" s="80">
        <v>135.5</v>
      </c>
      <c r="AF93" s="80">
        <v>132.9</v>
      </c>
      <c r="AG93" s="79"/>
      <c r="AH93" s="20">
        <f t="shared" si="11"/>
        <v>136</v>
      </c>
      <c r="AI93" s="19">
        <f t="shared" si="16"/>
        <v>131.69999999999999</v>
      </c>
    </row>
    <row r="94" spans="1:37" x14ac:dyDescent="0.25">
      <c r="A94" s="82" t="s">
        <v>143</v>
      </c>
      <c r="B94" s="66">
        <v>131</v>
      </c>
      <c r="C94" s="66">
        <v>131</v>
      </c>
      <c r="D94" s="66">
        <v>133</v>
      </c>
      <c r="E94" s="66">
        <v>133</v>
      </c>
      <c r="F94" s="66">
        <v>133</v>
      </c>
      <c r="G94" s="66">
        <v>134</v>
      </c>
      <c r="H94" s="66">
        <v>134</v>
      </c>
      <c r="I94" s="66">
        <v>134</v>
      </c>
      <c r="J94" s="66">
        <v>134</v>
      </c>
      <c r="K94" s="66">
        <v>134</v>
      </c>
      <c r="L94" s="66"/>
      <c r="M94" s="66">
        <v>134.5</v>
      </c>
      <c r="N94" s="66">
        <v>133</v>
      </c>
      <c r="O94" s="66">
        <v>133.9</v>
      </c>
      <c r="P94" s="66">
        <v>131.9</v>
      </c>
      <c r="Q94" s="66">
        <v>134.1</v>
      </c>
      <c r="R94" s="66">
        <v>133.4</v>
      </c>
      <c r="S94" s="66">
        <v>133.4</v>
      </c>
      <c r="T94" s="66"/>
      <c r="U94" s="66">
        <v>132</v>
      </c>
      <c r="V94" s="66">
        <v>134</v>
      </c>
      <c r="W94" s="66">
        <v>133.69999999999999</v>
      </c>
      <c r="X94" s="66">
        <v>133.30000000000001</v>
      </c>
      <c r="Y94" s="66">
        <v>134.5</v>
      </c>
      <c r="Z94" s="66">
        <v>134.5</v>
      </c>
      <c r="AA94" s="66">
        <v>131</v>
      </c>
      <c r="AB94" s="66">
        <v>133.80000000000001</v>
      </c>
      <c r="AC94" s="66">
        <v>131.9</v>
      </c>
      <c r="AD94" s="66">
        <v>131.9</v>
      </c>
      <c r="AE94" s="66">
        <v>131.80000000000001</v>
      </c>
      <c r="AF94" s="66">
        <v>131.1</v>
      </c>
      <c r="AG94" s="81"/>
      <c r="AH94" s="20">
        <f t="shared" si="11"/>
        <v>134.5</v>
      </c>
      <c r="AI94" s="19">
        <f t="shared" si="16"/>
        <v>131</v>
      </c>
    </row>
    <row r="95" spans="1:37" x14ac:dyDescent="0.25">
      <c r="A95" s="44" t="s">
        <v>142</v>
      </c>
      <c r="B95" s="80">
        <v>130</v>
      </c>
      <c r="C95" s="80">
        <v>130</v>
      </c>
      <c r="D95" s="80">
        <v>34</v>
      </c>
      <c r="E95" s="80">
        <v>34</v>
      </c>
      <c r="F95" s="80">
        <v>34</v>
      </c>
      <c r="G95" s="80">
        <v>137</v>
      </c>
      <c r="H95" s="80">
        <v>137</v>
      </c>
      <c r="I95" s="80">
        <v>137</v>
      </c>
      <c r="J95" s="80">
        <v>137</v>
      </c>
      <c r="K95" s="80">
        <v>137</v>
      </c>
      <c r="L95" s="80"/>
      <c r="M95" s="80">
        <v>131.80000000000001</v>
      </c>
      <c r="N95" s="80">
        <v>128.5</v>
      </c>
      <c r="O95" s="80">
        <v>132.6</v>
      </c>
      <c r="P95" s="80">
        <v>127.7</v>
      </c>
      <c r="Q95" s="80">
        <v>133.4</v>
      </c>
      <c r="R95" s="80">
        <v>129.4</v>
      </c>
      <c r="S95" s="80">
        <v>129.4</v>
      </c>
      <c r="T95" s="80"/>
      <c r="U95" s="80">
        <v>132.9</v>
      </c>
      <c r="V95" s="80">
        <v>133.80000000000001</v>
      </c>
      <c r="W95" s="80">
        <v>135</v>
      </c>
      <c r="X95" s="80">
        <v>134.4</v>
      </c>
      <c r="Y95" s="80">
        <v>134.1</v>
      </c>
      <c r="Z95" s="80">
        <v>134.1</v>
      </c>
      <c r="AA95" s="80">
        <v>127</v>
      </c>
      <c r="AB95" s="80">
        <v>132.69999999999999</v>
      </c>
      <c r="AC95" s="80">
        <v>131.9</v>
      </c>
      <c r="AD95" s="80">
        <v>131.9</v>
      </c>
      <c r="AE95" s="80">
        <v>133.30000000000001</v>
      </c>
      <c r="AF95" s="80">
        <v>134.5</v>
      </c>
      <c r="AG95" s="79"/>
      <c r="AH95" s="20">
        <f t="shared" si="11"/>
        <v>137</v>
      </c>
      <c r="AI95" s="19">
        <f t="shared" si="16"/>
        <v>34</v>
      </c>
    </row>
    <row r="96" spans="1:37" ht="15.75" thickBot="1" x14ac:dyDescent="0.3">
      <c r="A96" s="44" t="s">
        <v>141</v>
      </c>
      <c r="B96" s="77">
        <v>65.400000000000006</v>
      </c>
      <c r="C96" s="77">
        <v>65.400000000000006</v>
      </c>
      <c r="D96" s="77">
        <v>65.8</v>
      </c>
      <c r="E96" s="77">
        <v>65.8</v>
      </c>
      <c r="F96" s="77">
        <v>65.8</v>
      </c>
      <c r="G96" s="77">
        <v>66</v>
      </c>
      <c r="H96" s="77">
        <v>66</v>
      </c>
      <c r="I96" s="77">
        <v>66</v>
      </c>
      <c r="J96" s="77">
        <v>66</v>
      </c>
      <c r="K96" s="77">
        <v>66</v>
      </c>
      <c r="L96" s="77"/>
      <c r="M96" s="77">
        <v>64.900000000000006</v>
      </c>
      <c r="N96" s="77">
        <v>65.099999999999994</v>
      </c>
      <c r="O96" s="77">
        <v>64.900000000000006</v>
      </c>
      <c r="P96" s="77">
        <v>65</v>
      </c>
      <c r="Q96" s="77">
        <v>65.599999999999994</v>
      </c>
      <c r="R96" s="77">
        <v>65.7</v>
      </c>
      <c r="S96" s="77">
        <v>65.7</v>
      </c>
      <c r="T96" s="77"/>
      <c r="U96" s="77">
        <v>65.2</v>
      </c>
      <c r="V96" s="77">
        <v>65.400000000000006</v>
      </c>
      <c r="W96" s="77">
        <v>65.599999999999994</v>
      </c>
      <c r="X96" s="77">
        <v>65.3</v>
      </c>
      <c r="Y96" s="77">
        <v>65.099999999999994</v>
      </c>
      <c r="Z96" s="77">
        <v>65.099999999999994</v>
      </c>
      <c r="AA96" s="77">
        <v>65</v>
      </c>
      <c r="AB96" s="77">
        <v>65.8</v>
      </c>
      <c r="AC96" s="77">
        <v>66.099999999999994</v>
      </c>
      <c r="AD96" s="77">
        <v>66.099999999999994</v>
      </c>
      <c r="AE96" s="77">
        <v>66.3</v>
      </c>
      <c r="AF96" s="77">
        <v>66.3</v>
      </c>
      <c r="AG96" s="76"/>
      <c r="AH96" s="20">
        <f t="shared" si="11"/>
        <v>66.3</v>
      </c>
      <c r="AI96" s="19">
        <f t="shared" si="16"/>
        <v>64.900000000000006</v>
      </c>
    </row>
    <row r="97" spans="1:37" ht="15.75" thickBot="1" x14ac:dyDescent="0.3">
      <c r="A97" s="78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6"/>
      <c r="AH97" s="20">
        <f t="shared" si="11"/>
        <v>0</v>
      </c>
      <c r="AI97" s="19">
        <f t="shared" si="16"/>
        <v>0</v>
      </c>
    </row>
    <row r="98" spans="1:37" ht="15.75" thickBot="1" x14ac:dyDescent="0.3">
      <c r="A98" s="75" t="s">
        <v>140</v>
      </c>
      <c r="B98" s="74">
        <f t="shared" ref="B98:AF98" si="23">SUM(B15,B18,B21:B22,B46,B48:B49,B51,B53,B99:B103,B125,B131,B137,B146,B148,B160,B167,B170:B171,B178,B180,B182,B186:B188,B190:B192,B197,B203:B204,B206:B208,B216,B221)</f>
        <v>39.699999999999989</v>
      </c>
      <c r="C98" s="74">
        <f t="shared" si="23"/>
        <v>47.639999999999986</v>
      </c>
      <c r="D98" s="74">
        <f t="shared" si="23"/>
        <v>35.639999999999986</v>
      </c>
      <c r="E98" s="74">
        <f t="shared" si="23"/>
        <v>31.63999999999999</v>
      </c>
      <c r="F98" s="74">
        <f t="shared" si="23"/>
        <v>29.63999999999999</v>
      </c>
      <c r="G98" s="74">
        <f t="shared" si="23"/>
        <v>53.639999999999986</v>
      </c>
      <c r="H98" s="74">
        <f t="shared" si="23"/>
        <v>82.639999999999986</v>
      </c>
      <c r="I98" s="74">
        <f t="shared" si="23"/>
        <v>82.639999999999986</v>
      </c>
      <c r="J98" s="74">
        <f t="shared" si="23"/>
        <v>106.63999999999999</v>
      </c>
      <c r="K98" s="74">
        <f t="shared" si="23"/>
        <v>116.64000000000001</v>
      </c>
      <c r="L98" s="74">
        <f t="shared" si="23"/>
        <v>129.64000000000001</v>
      </c>
      <c r="M98" s="74">
        <f t="shared" si="23"/>
        <v>171.73999999999998</v>
      </c>
      <c r="N98" s="74">
        <f t="shared" si="23"/>
        <v>182.34000000000003</v>
      </c>
      <c r="O98" s="74">
        <f t="shared" si="23"/>
        <v>160.54000000000002</v>
      </c>
      <c r="P98" s="74">
        <f t="shared" si="23"/>
        <v>141.34000000000006</v>
      </c>
      <c r="Q98" s="74">
        <f t="shared" si="23"/>
        <v>131.00000000000003</v>
      </c>
      <c r="R98" s="74">
        <f t="shared" si="23"/>
        <v>117.10000000000001</v>
      </c>
      <c r="S98" s="74">
        <f t="shared" si="23"/>
        <v>140.1</v>
      </c>
      <c r="T98" s="74">
        <f t="shared" si="23"/>
        <v>0</v>
      </c>
      <c r="U98" s="74">
        <f t="shared" si="23"/>
        <v>98.9</v>
      </c>
      <c r="V98" s="74">
        <f t="shared" si="23"/>
        <v>112.00000000000001</v>
      </c>
      <c r="W98" s="74">
        <f t="shared" si="23"/>
        <v>115.30000000000001</v>
      </c>
      <c r="X98" s="74">
        <f t="shared" si="23"/>
        <v>156.30000000000001</v>
      </c>
      <c r="Y98" s="74">
        <f t="shared" si="23"/>
        <v>207.1</v>
      </c>
      <c r="Z98" s="74">
        <f t="shared" si="23"/>
        <v>221.89999999999998</v>
      </c>
      <c r="AA98" s="74">
        <f t="shared" si="23"/>
        <v>213.9</v>
      </c>
      <c r="AB98" s="74">
        <f t="shared" si="23"/>
        <v>166.3</v>
      </c>
      <c r="AC98" s="74">
        <f t="shared" si="23"/>
        <v>155</v>
      </c>
      <c r="AD98" s="74">
        <f t="shared" si="23"/>
        <v>127.6</v>
      </c>
      <c r="AE98" s="74">
        <f t="shared" si="23"/>
        <v>82.4</v>
      </c>
      <c r="AF98" s="74">
        <f t="shared" si="23"/>
        <v>51.899999999999977</v>
      </c>
      <c r="AG98" s="73"/>
      <c r="AH98" s="20">
        <f>MAX(C98:AF98)</f>
        <v>221.89999999999998</v>
      </c>
      <c r="AI98" s="19">
        <f>MIN(C98:AF98)</f>
        <v>0</v>
      </c>
    </row>
    <row r="99" spans="1:37" x14ac:dyDescent="0.25">
      <c r="A99" s="47" t="s">
        <v>139</v>
      </c>
      <c r="B99" s="72">
        <v>7</v>
      </c>
      <c r="C99" s="72">
        <v>10</v>
      </c>
      <c r="D99" s="72">
        <v>9</v>
      </c>
      <c r="E99" s="72">
        <v>14</v>
      </c>
      <c r="F99" s="72">
        <v>15</v>
      </c>
      <c r="G99" s="72">
        <v>22</v>
      </c>
      <c r="H99" s="72">
        <v>29</v>
      </c>
      <c r="I99" s="72">
        <v>29</v>
      </c>
      <c r="J99" s="72">
        <v>33</v>
      </c>
      <c r="K99" s="72">
        <v>33</v>
      </c>
      <c r="L99" s="72">
        <v>46</v>
      </c>
      <c r="M99" s="72">
        <v>46.5</v>
      </c>
      <c r="N99" s="72">
        <v>48.9</v>
      </c>
      <c r="O99" s="72">
        <v>50.6</v>
      </c>
      <c r="P99" s="72">
        <v>43.7</v>
      </c>
      <c r="Q99" s="72">
        <v>44.4</v>
      </c>
      <c r="R99" s="72">
        <v>43.8</v>
      </c>
      <c r="S99" s="72">
        <v>19</v>
      </c>
      <c r="T99" s="72"/>
      <c r="U99" s="72">
        <v>20.3</v>
      </c>
      <c r="V99" s="72">
        <v>22.9</v>
      </c>
      <c r="W99" s="72">
        <v>24.8</v>
      </c>
      <c r="X99" s="72">
        <v>30.1</v>
      </c>
      <c r="Y99" s="72">
        <v>37.1</v>
      </c>
      <c r="Z99" s="72">
        <v>37.1</v>
      </c>
      <c r="AA99" s="72">
        <v>37.1</v>
      </c>
      <c r="AB99" s="72">
        <v>24</v>
      </c>
      <c r="AC99" s="72">
        <v>20</v>
      </c>
      <c r="AD99" s="72">
        <v>18.899999999999999</v>
      </c>
      <c r="AE99" s="72">
        <v>3.3</v>
      </c>
      <c r="AF99" s="72">
        <v>-6.4</v>
      </c>
      <c r="AG99" s="70">
        <v>75</v>
      </c>
      <c r="AH99" s="20">
        <f t="shared" ref="AH99:AH107" si="24">IF(ABS(MAX(C99:AF99))&gt;ABS(MIN(C99:AF99)),MAX(C99:AF99),MIN(C99:AF99))</f>
        <v>50.6</v>
      </c>
      <c r="AI99" s="65">
        <f t="shared" ref="AI99:AI107" si="25">INDEX($C$9:$AF$9,1,MATCH(AH99,C99:AF99,0))</f>
        <v>0.41666666666666702</v>
      </c>
    </row>
    <row r="100" spans="1:37" x14ac:dyDescent="0.25">
      <c r="A100" s="44" t="s">
        <v>138</v>
      </c>
      <c r="B100" s="71">
        <v>20</v>
      </c>
      <c r="C100" s="71">
        <v>24</v>
      </c>
      <c r="D100" s="71">
        <v>22</v>
      </c>
      <c r="E100" s="71">
        <v>29</v>
      </c>
      <c r="F100" s="71">
        <v>30</v>
      </c>
      <c r="G100" s="71">
        <v>37</v>
      </c>
      <c r="H100" s="71">
        <v>43</v>
      </c>
      <c r="I100" s="71">
        <v>43</v>
      </c>
      <c r="J100" s="71">
        <v>43</v>
      </c>
      <c r="K100" s="71">
        <v>43</v>
      </c>
      <c r="L100" s="71">
        <v>43</v>
      </c>
      <c r="M100" s="71">
        <v>66.599999999999994</v>
      </c>
      <c r="N100" s="71">
        <v>71</v>
      </c>
      <c r="O100" s="71">
        <v>73.900000000000006</v>
      </c>
      <c r="P100" s="71">
        <v>65.900000000000006</v>
      </c>
      <c r="Q100" s="71">
        <v>67.099999999999994</v>
      </c>
      <c r="R100" s="71">
        <v>66.8</v>
      </c>
      <c r="S100" s="71">
        <v>28</v>
      </c>
      <c r="T100" s="71"/>
      <c r="U100" s="71">
        <v>31.6</v>
      </c>
      <c r="V100" s="71">
        <v>35.700000000000003</v>
      </c>
      <c r="W100" s="71">
        <v>37.9</v>
      </c>
      <c r="X100" s="71">
        <v>44.4</v>
      </c>
      <c r="Y100" s="71">
        <v>53.9</v>
      </c>
      <c r="Z100" s="71">
        <v>53.9</v>
      </c>
      <c r="AA100" s="71">
        <v>53.9</v>
      </c>
      <c r="AB100" s="71">
        <v>37.5</v>
      </c>
      <c r="AC100" s="71">
        <v>32</v>
      </c>
      <c r="AD100" s="71">
        <v>30</v>
      </c>
      <c r="AE100" s="71">
        <v>10.7</v>
      </c>
      <c r="AF100" s="71">
        <v>2.8</v>
      </c>
      <c r="AG100" s="70">
        <v>240</v>
      </c>
      <c r="AH100" s="20">
        <f t="shared" si="24"/>
        <v>73.900000000000006</v>
      </c>
      <c r="AI100" s="65">
        <f t="shared" si="25"/>
        <v>0.41666666666666702</v>
      </c>
    </row>
    <row r="101" spans="1:37" x14ac:dyDescent="0.25">
      <c r="A101" s="44" t="s">
        <v>137</v>
      </c>
      <c r="B101" s="71">
        <v>-125</v>
      </c>
      <c r="C101" s="71">
        <v>-125</v>
      </c>
      <c r="D101" s="71">
        <v>-130</v>
      </c>
      <c r="E101" s="71">
        <v>-125</v>
      </c>
      <c r="F101" s="71">
        <v>-129</v>
      </c>
      <c r="G101" s="71">
        <v>-130</v>
      </c>
      <c r="H101" s="71">
        <v>-120</v>
      </c>
      <c r="I101" s="71">
        <v>-120</v>
      </c>
      <c r="J101" s="71">
        <v>-120</v>
      </c>
      <c r="K101" s="71">
        <v>-120</v>
      </c>
      <c r="L101" s="71">
        <v>-120</v>
      </c>
      <c r="M101" s="71">
        <f>-53.6-58</f>
        <v>-111.6</v>
      </c>
      <c r="N101" s="71">
        <f>-52.9-56.9</f>
        <v>-109.8</v>
      </c>
      <c r="O101" s="71">
        <v>-133.30000000000001</v>
      </c>
      <c r="P101" s="71">
        <f>-66-71</f>
        <v>-137</v>
      </c>
      <c r="Q101" s="71">
        <f>-67.4-71.2</f>
        <v>-138.60000000000002</v>
      </c>
      <c r="R101" s="71">
        <f>-65.2-69.6</f>
        <v>-134.80000000000001</v>
      </c>
      <c r="S101" s="71">
        <f>-40-50</f>
        <v>-90</v>
      </c>
      <c r="T101" s="71"/>
      <c r="U101" s="71">
        <f>-30.7-33.4</f>
        <v>-64.099999999999994</v>
      </c>
      <c r="V101" s="71">
        <f>-27.9-30.4</f>
        <v>-58.3</v>
      </c>
      <c r="W101" s="71">
        <f>-30.2-32.5</f>
        <v>-62.7</v>
      </c>
      <c r="X101" s="71">
        <f>-24.5-27.2</f>
        <v>-51.7</v>
      </c>
      <c r="Y101" s="71">
        <f>-25-27.1</f>
        <v>-52.1</v>
      </c>
      <c r="Z101" s="71">
        <f>-25-27.1</f>
        <v>-52.1</v>
      </c>
      <c r="AA101" s="71">
        <f>-25-27.1</f>
        <v>-52.1</v>
      </c>
      <c r="AB101" s="71">
        <v>-70.099999999999994</v>
      </c>
      <c r="AC101" s="71">
        <v>-71</v>
      </c>
      <c r="AD101" s="71">
        <f>-35-37.4</f>
        <v>-72.400000000000006</v>
      </c>
      <c r="AE101" s="71">
        <f>-29.8-32.2</f>
        <v>-62</v>
      </c>
      <c r="AF101" s="71">
        <f>-31-33.4</f>
        <v>-64.400000000000006</v>
      </c>
      <c r="AG101" s="70">
        <v>240</v>
      </c>
      <c r="AH101" s="20">
        <f t="shared" si="24"/>
        <v>-138.60000000000002</v>
      </c>
      <c r="AI101" s="65">
        <f t="shared" si="25"/>
        <v>0.5</v>
      </c>
    </row>
    <row r="102" spans="1:37" x14ac:dyDescent="0.25">
      <c r="A102" s="44" t="s">
        <v>136</v>
      </c>
      <c r="B102" s="71">
        <v>-2</v>
      </c>
      <c r="C102" s="71">
        <v>-2</v>
      </c>
      <c r="D102" s="71">
        <v>-3</v>
      </c>
      <c r="E102" s="71">
        <v>-3</v>
      </c>
      <c r="F102" s="71">
        <v>-3</v>
      </c>
      <c r="G102" s="71">
        <v>-2</v>
      </c>
      <c r="H102" s="71">
        <v>4</v>
      </c>
      <c r="I102" s="71">
        <v>4</v>
      </c>
      <c r="J102" s="71">
        <v>4</v>
      </c>
      <c r="K102" s="71">
        <v>4</v>
      </c>
      <c r="L102" s="71">
        <v>4</v>
      </c>
      <c r="M102" s="71">
        <v>9.1999999999999993</v>
      </c>
      <c r="N102" s="71">
        <v>10.5</v>
      </c>
      <c r="O102" s="71">
        <v>7.7</v>
      </c>
      <c r="P102" s="71">
        <v>7.1</v>
      </c>
      <c r="Q102" s="71">
        <v>6.4</v>
      </c>
      <c r="R102" s="71">
        <v>6.8</v>
      </c>
      <c r="S102" s="71">
        <v>31.6</v>
      </c>
      <c r="T102" s="71"/>
      <c r="U102" s="71">
        <v>13.9</v>
      </c>
      <c r="V102" s="71">
        <v>14.5</v>
      </c>
      <c r="W102" s="71">
        <v>14.3</v>
      </c>
      <c r="X102" s="71">
        <v>16.7</v>
      </c>
      <c r="Y102" s="71">
        <v>17.100000000000001</v>
      </c>
      <c r="Z102" s="71">
        <v>17.100000000000001</v>
      </c>
      <c r="AA102" s="71">
        <v>17.100000000000001</v>
      </c>
      <c r="AB102" s="71">
        <v>13</v>
      </c>
      <c r="AC102" s="71">
        <v>12.1</v>
      </c>
      <c r="AD102" s="71">
        <v>10.9</v>
      </c>
      <c r="AE102" s="71">
        <v>9.6</v>
      </c>
      <c r="AF102" s="71">
        <v>8.1999999999999993</v>
      </c>
      <c r="AG102" s="70">
        <v>60</v>
      </c>
      <c r="AH102" s="20">
        <f t="shared" si="24"/>
        <v>31.6</v>
      </c>
      <c r="AI102" s="65">
        <f t="shared" si="25"/>
        <v>0.58333333333333304</v>
      </c>
    </row>
    <row r="103" spans="1:37" x14ac:dyDescent="0.25">
      <c r="A103" s="40" t="s">
        <v>135</v>
      </c>
      <c r="B103" s="68">
        <v>0</v>
      </c>
      <c r="C103" s="68">
        <v>0</v>
      </c>
      <c r="D103" s="68">
        <v>0</v>
      </c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68"/>
      <c r="U103" s="68">
        <v>0</v>
      </c>
      <c r="V103" s="68">
        <v>0</v>
      </c>
      <c r="W103" s="68">
        <v>0</v>
      </c>
      <c r="X103" s="68">
        <v>0</v>
      </c>
      <c r="Y103" s="68">
        <v>0</v>
      </c>
      <c r="Z103" s="68">
        <v>0</v>
      </c>
      <c r="AA103" s="68">
        <v>0</v>
      </c>
      <c r="AB103" s="68">
        <v>0</v>
      </c>
      <c r="AC103" s="68">
        <v>0</v>
      </c>
      <c r="AD103" s="68">
        <v>0</v>
      </c>
      <c r="AE103" s="68">
        <v>0</v>
      </c>
      <c r="AF103" s="68">
        <v>0</v>
      </c>
      <c r="AG103" s="69">
        <v>120</v>
      </c>
      <c r="AH103" s="20">
        <f t="shared" si="24"/>
        <v>0</v>
      </c>
      <c r="AI103" s="65">
        <f t="shared" si="25"/>
        <v>4.1666666666666664E-2</v>
      </c>
    </row>
    <row r="104" spans="1:37" x14ac:dyDescent="0.25">
      <c r="A104" s="40" t="s">
        <v>134</v>
      </c>
      <c r="B104" s="68">
        <v>3</v>
      </c>
      <c r="C104" s="68">
        <v>7</v>
      </c>
      <c r="D104" s="68">
        <v>0</v>
      </c>
      <c r="E104" s="68">
        <v>0</v>
      </c>
      <c r="F104" s="68">
        <v>0</v>
      </c>
      <c r="G104" s="68">
        <v>-32</v>
      </c>
      <c r="H104" s="68">
        <v>-40</v>
      </c>
      <c r="I104" s="68">
        <v>-40</v>
      </c>
      <c r="J104" s="68">
        <v>-40</v>
      </c>
      <c r="K104" s="68">
        <v>-40</v>
      </c>
      <c r="L104" s="68">
        <v>-40</v>
      </c>
      <c r="M104" s="68">
        <v>-48.5</v>
      </c>
      <c r="N104" s="68">
        <v>-54.9</v>
      </c>
      <c r="O104" s="68">
        <v>-70.900000000000006</v>
      </c>
      <c r="P104" s="68">
        <v>66.5</v>
      </c>
      <c r="Q104" s="68">
        <v>-67.5</v>
      </c>
      <c r="R104" s="68">
        <v>63.7</v>
      </c>
      <c r="S104" s="68">
        <v>41.1</v>
      </c>
      <c r="T104" s="68"/>
      <c r="U104" s="68">
        <v>-5.6</v>
      </c>
      <c r="V104" s="68">
        <v>-4.5</v>
      </c>
      <c r="W104" s="68">
        <v>-8.1</v>
      </c>
      <c r="X104" s="68">
        <v>1.8</v>
      </c>
      <c r="Y104" s="68">
        <v>7.4</v>
      </c>
      <c r="Z104" s="68">
        <v>7.4</v>
      </c>
      <c r="AA104" s="68">
        <v>7.4</v>
      </c>
      <c r="AB104" s="68">
        <v>17.5</v>
      </c>
      <c r="AC104" s="68">
        <v>16.8</v>
      </c>
      <c r="AD104" s="68">
        <v>16.2</v>
      </c>
      <c r="AE104" s="68">
        <v>30.1</v>
      </c>
      <c r="AF104" s="68">
        <v>28.1</v>
      </c>
      <c r="AG104" s="69"/>
      <c r="AH104" s="20">
        <f t="shared" si="24"/>
        <v>-70.900000000000006</v>
      </c>
      <c r="AI104" s="65">
        <f t="shared" si="25"/>
        <v>0.41666666666666702</v>
      </c>
    </row>
    <row r="105" spans="1:37" x14ac:dyDescent="0.25">
      <c r="A105" s="40" t="s">
        <v>133</v>
      </c>
      <c r="B105" s="68">
        <v>30</v>
      </c>
      <c r="C105" s="68">
        <v>21</v>
      </c>
      <c r="D105" s="68">
        <v>22</v>
      </c>
      <c r="E105" s="68">
        <v>12</v>
      </c>
      <c r="F105" s="68">
        <v>-10</v>
      </c>
      <c r="G105" s="68">
        <v>-10</v>
      </c>
      <c r="H105" s="68">
        <v>-14</v>
      </c>
      <c r="I105" s="68">
        <v>-14</v>
      </c>
      <c r="J105" s="68">
        <v>-22</v>
      </c>
      <c r="K105" s="68">
        <v>-22</v>
      </c>
      <c r="L105" s="68">
        <v>-22</v>
      </c>
      <c r="M105" s="68">
        <v>-68.2</v>
      </c>
      <c r="N105" s="68">
        <v>-69.900000000000006</v>
      </c>
      <c r="O105" s="68">
        <v>-69.3</v>
      </c>
      <c r="P105" s="68">
        <v>-51.7</v>
      </c>
      <c r="Q105" s="68">
        <v>-53.7</v>
      </c>
      <c r="R105" s="68">
        <v>-41.2</v>
      </c>
      <c r="S105" s="68">
        <v>3</v>
      </c>
      <c r="T105" s="68"/>
      <c r="U105" s="68">
        <v>1.8</v>
      </c>
      <c r="V105" s="68">
        <v>7.3</v>
      </c>
      <c r="W105" s="68">
        <v>-8.5</v>
      </c>
      <c r="X105" s="68">
        <v>-10.4</v>
      </c>
      <c r="Y105" s="68">
        <v>-15.4</v>
      </c>
      <c r="Z105" s="68">
        <v>-15.4</v>
      </c>
      <c r="AA105" s="68">
        <v>-15.4</v>
      </c>
      <c r="AB105" s="68">
        <v>12</v>
      </c>
      <c r="AC105" s="68">
        <v>18</v>
      </c>
      <c r="AD105" s="68">
        <v>20.3</v>
      </c>
      <c r="AE105" s="68">
        <v>38.5</v>
      </c>
      <c r="AF105" s="68">
        <v>48.4</v>
      </c>
      <c r="AG105" s="48"/>
      <c r="AH105" s="20">
        <f t="shared" si="24"/>
        <v>-69.900000000000006</v>
      </c>
      <c r="AI105" s="65">
        <f t="shared" si="25"/>
        <v>0.375</v>
      </c>
    </row>
    <row r="106" spans="1:37" x14ac:dyDescent="0.25">
      <c r="A106" s="67" t="s">
        <v>132</v>
      </c>
      <c r="B106" s="66">
        <v>118</v>
      </c>
      <c r="C106" s="66">
        <v>76</v>
      </c>
      <c r="D106" s="66">
        <v>82</v>
      </c>
      <c r="E106" s="66">
        <v>91</v>
      </c>
      <c r="F106" s="66">
        <v>91</v>
      </c>
      <c r="G106" s="66">
        <v>110</v>
      </c>
      <c r="H106" s="66">
        <v>123</v>
      </c>
      <c r="I106" s="66">
        <v>123</v>
      </c>
      <c r="J106" s="66">
        <v>123</v>
      </c>
      <c r="K106" s="66">
        <v>123</v>
      </c>
      <c r="L106" s="66">
        <v>115</v>
      </c>
      <c r="M106" s="66">
        <v>105.4</v>
      </c>
      <c r="N106" s="66">
        <v>113.5</v>
      </c>
      <c r="O106" s="66">
        <v>117</v>
      </c>
      <c r="P106" s="66">
        <v>123.5</v>
      </c>
      <c r="Q106" s="66">
        <v>95.9</v>
      </c>
      <c r="R106" s="66">
        <v>111.2</v>
      </c>
      <c r="S106" s="66">
        <v>112.2</v>
      </c>
      <c r="T106" s="66"/>
      <c r="U106" s="66">
        <v>98.4</v>
      </c>
      <c r="V106" s="66">
        <v>97.1</v>
      </c>
      <c r="W106" s="66">
        <v>98.4</v>
      </c>
      <c r="X106" s="66">
        <v>91.4</v>
      </c>
      <c r="Y106" s="66">
        <v>76.8</v>
      </c>
      <c r="Z106" s="66">
        <v>76.8</v>
      </c>
      <c r="AA106" s="66">
        <v>76.8</v>
      </c>
      <c r="AB106" s="66">
        <v>99.1</v>
      </c>
      <c r="AC106" s="66">
        <v>102.4</v>
      </c>
      <c r="AD106" s="66">
        <v>103.2</v>
      </c>
      <c r="AE106" s="66">
        <v>105.5</v>
      </c>
      <c r="AF106" s="66">
        <v>114.7</v>
      </c>
      <c r="AG106" s="48"/>
      <c r="AH106" s="20">
        <f t="shared" si="24"/>
        <v>123.5</v>
      </c>
      <c r="AI106" s="65">
        <f t="shared" si="25"/>
        <v>0.45833333333333298</v>
      </c>
    </row>
    <row r="107" spans="1:37" ht="15.75" thickBot="1" x14ac:dyDescent="0.3">
      <c r="A107" s="67" t="s">
        <v>131</v>
      </c>
      <c r="B107" s="66">
        <v>80</v>
      </c>
      <c r="C107" s="66">
        <v>82</v>
      </c>
      <c r="D107" s="66">
        <v>90</v>
      </c>
      <c r="E107" s="66">
        <v>85</v>
      </c>
      <c r="F107" s="66">
        <v>86</v>
      </c>
      <c r="G107" s="66">
        <v>95</v>
      </c>
      <c r="H107" s="66">
        <v>88</v>
      </c>
      <c r="I107" s="66">
        <v>88</v>
      </c>
      <c r="J107" s="66">
        <v>91</v>
      </c>
      <c r="K107" s="66">
        <v>91</v>
      </c>
      <c r="L107" s="66">
        <v>91</v>
      </c>
      <c r="M107" s="66">
        <v>95</v>
      </c>
      <c r="N107" s="66">
        <v>90.3</v>
      </c>
      <c r="O107" s="66">
        <v>105</v>
      </c>
      <c r="P107" s="66">
        <v>102.6</v>
      </c>
      <c r="Q107" s="66">
        <v>105</v>
      </c>
      <c r="R107" s="66">
        <v>99.6</v>
      </c>
      <c r="S107" s="66">
        <v>77.5</v>
      </c>
      <c r="T107" s="66"/>
      <c r="U107" s="66">
        <v>85</v>
      </c>
      <c r="V107" s="66">
        <v>82</v>
      </c>
      <c r="W107" s="66">
        <v>87</v>
      </c>
      <c r="X107" s="66">
        <v>75.900000000000006</v>
      </c>
      <c r="Y107" s="66">
        <v>79.5</v>
      </c>
      <c r="Z107" s="66">
        <v>79.5</v>
      </c>
      <c r="AA107" s="66">
        <v>79.5</v>
      </c>
      <c r="AB107" s="66">
        <v>82.9</v>
      </c>
      <c r="AC107" s="66">
        <v>89.4</v>
      </c>
      <c r="AD107" s="66">
        <v>90.1</v>
      </c>
      <c r="AE107" s="66">
        <v>93</v>
      </c>
      <c r="AF107" s="66">
        <v>86.2</v>
      </c>
      <c r="AG107" s="48"/>
      <c r="AH107" s="20">
        <f t="shared" si="24"/>
        <v>105</v>
      </c>
      <c r="AI107" s="65">
        <f t="shared" si="25"/>
        <v>0.41666666666666702</v>
      </c>
    </row>
    <row r="108" spans="1:37" ht="15.75" thickBot="1" x14ac:dyDescent="0.3">
      <c r="A108" s="64" t="s">
        <v>130</v>
      </c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2"/>
      <c r="AH108" s="20"/>
      <c r="AI108" s="19"/>
      <c r="AK108" s="41"/>
    </row>
    <row r="109" spans="1:37" x14ac:dyDescent="0.25">
      <c r="A109" s="61" t="s">
        <v>129</v>
      </c>
      <c r="B109" s="60"/>
      <c r="C109" s="56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59">
        <v>9.94</v>
      </c>
      <c r="AH109" s="20"/>
      <c r="AI109" s="19"/>
      <c r="AK109" s="41"/>
    </row>
    <row r="110" spans="1:37" x14ac:dyDescent="0.25">
      <c r="A110" s="44" t="s">
        <v>128</v>
      </c>
      <c r="B110" s="60"/>
      <c r="C110" s="56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59"/>
      <c r="AH110" s="20"/>
      <c r="AI110" s="19"/>
      <c r="AK110" s="41"/>
    </row>
    <row r="111" spans="1:37" x14ac:dyDescent="0.25">
      <c r="A111" s="44" t="s">
        <v>127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/>
      <c r="AH111" s="20"/>
      <c r="AI111" s="19"/>
      <c r="AK111" s="41"/>
    </row>
    <row r="112" spans="1:37" x14ac:dyDescent="0.25">
      <c r="A112" s="44" t="s">
        <v>126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125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124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123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122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121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120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119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118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117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116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115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114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113</v>
      </c>
      <c r="B125" s="43"/>
      <c r="C125" s="57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58">
        <v>9.9</v>
      </c>
      <c r="AH125" s="20"/>
      <c r="AI125" s="19"/>
      <c r="AK125" s="41"/>
    </row>
    <row r="126" spans="1:37" x14ac:dyDescent="0.25">
      <c r="A126" s="40" t="s">
        <v>112</v>
      </c>
      <c r="B126" s="43"/>
      <c r="C126" s="57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54">
        <v>9.6579999999999995</v>
      </c>
      <c r="AH126" s="20"/>
      <c r="AI126" s="19"/>
      <c r="AK126" s="41"/>
    </row>
    <row r="127" spans="1:37" x14ac:dyDescent="0.25">
      <c r="A127" s="40" t="s">
        <v>111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4">
        <v>9.6</v>
      </c>
      <c r="AH127" s="20"/>
      <c r="AI127" s="19"/>
      <c r="AK127" s="41"/>
    </row>
    <row r="128" spans="1:37" x14ac:dyDescent="0.25">
      <c r="A128" s="40" t="s">
        <v>110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9.51</v>
      </c>
      <c r="AH128" s="20"/>
      <c r="AI128" s="19"/>
      <c r="AK128" s="41"/>
    </row>
    <row r="129" spans="1:37" x14ac:dyDescent="0.25">
      <c r="A129" s="40" t="s">
        <v>109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9.4</v>
      </c>
      <c r="AH129" s="20"/>
      <c r="AI129" s="19"/>
      <c r="AK129" s="41"/>
    </row>
    <row r="130" spans="1:37" x14ac:dyDescent="0.25">
      <c r="A130" s="40" t="s">
        <v>108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8.8000000000000007</v>
      </c>
      <c r="AH130" s="20"/>
      <c r="AI130" s="19"/>
      <c r="AK130" s="41"/>
    </row>
    <row r="131" spans="1:37" x14ac:dyDescent="0.25">
      <c r="A131" s="40" t="s">
        <v>107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8.5</v>
      </c>
      <c r="AH131" s="20"/>
      <c r="AI131" s="19"/>
      <c r="AK131" s="41"/>
    </row>
    <row r="132" spans="1:37" x14ac:dyDescent="0.25">
      <c r="A132" s="40" t="s">
        <v>106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8.5</v>
      </c>
      <c r="AH132" s="20"/>
      <c r="AI132" s="19"/>
      <c r="AK132" s="41"/>
    </row>
    <row r="133" spans="1:37" x14ac:dyDescent="0.25">
      <c r="A133" s="40" t="s">
        <v>105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8.4</v>
      </c>
      <c r="AH133" s="20"/>
      <c r="AI133" s="19"/>
      <c r="AK133" s="41"/>
    </row>
    <row r="134" spans="1:37" ht="13.5" customHeight="1" x14ac:dyDescent="0.25">
      <c r="A134" s="40" t="s">
        <v>104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</v>
      </c>
      <c r="AH134" s="20"/>
      <c r="AI134" s="19"/>
      <c r="AK134" s="41"/>
    </row>
    <row r="135" spans="1:37" x14ac:dyDescent="0.25">
      <c r="A135" s="40" t="s">
        <v>103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</v>
      </c>
      <c r="AH135" s="20"/>
      <c r="AI135" s="19"/>
      <c r="AK135" s="41"/>
    </row>
    <row r="136" spans="1:37" x14ac:dyDescent="0.25">
      <c r="A136" s="40" t="s">
        <v>102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101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7.8</v>
      </c>
      <c r="AH137" s="20"/>
      <c r="AI137" s="19"/>
      <c r="AK137" s="41"/>
    </row>
    <row r="138" spans="1:37" x14ac:dyDescent="0.25">
      <c r="A138" s="40" t="s">
        <v>100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7.6</v>
      </c>
      <c r="AH138" s="20"/>
      <c r="AI138" s="19"/>
      <c r="AK138" s="41"/>
    </row>
    <row r="139" spans="1:37" x14ac:dyDescent="0.25">
      <c r="A139" s="40" t="s">
        <v>99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7.5</v>
      </c>
      <c r="AH139" s="20"/>
      <c r="AI139" s="19"/>
      <c r="AK139" s="41"/>
    </row>
    <row r="140" spans="1:37" x14ac:dyDescent="0.25">
      <c r="A140" s="40" t="s">
        <v>98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7.5</v>
      </c>
      <c r="AH140" s="20"/>
      <c r="AI140" s="19"/>
      <c r="AK140" s="41"/>
    </row>
    <row r="141" spans="1:37" x14ac:dyDescent="0.25">
      <c r="A141" s="40" t="s">
        <v>97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</v>
      </c>
      <c r="AH141" s="20"/>
      <c r="AI141" s="19"/>
      <c r="AK141" s="41"/>
    </row>
    <row r="142" spans="1:37" x14ac:dyDescent="0.25">
      <c r="A142" s="40" t="s">
        <v>96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</v>
      </c>
      <c r="AH142" s="20"/>
      <c r="AI142" s="19"/>
      <c r="AK142" s="41"/>
    </row>
    <row r="143" spans="1:37" x14ac:dyDescent="0.25">
      <c r="A143" s="40" t="s">
        <v>95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94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93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6.6</v>
      </c>
      <c r="AH145" s="20"/>
      <c r="AI145" s="19"/>
      <c r="AK145" s="41"/>
    </row>
    <row r="146" spans="1:37" x14ac:dyDescent="0.25">
      <c r="A146" s="40" t="s">
        <v>92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6.6</v>
      </c>
      <c r="AH146" s="20"/>
      <c r="AI146" s="19"/>
      <c r="AK146" s="41"/>
    </row>
    <row r="147" spans="1:37" x14ac:dyDescent="0.25">
      <c r="A147" s="40" t="s">
        <v>91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6.4</v>
      </c>
      <c r="AH147" s="20"/>
      <c r="AI147" s="19"/>
      <c r="AK147" s="41"/>
    </row>
    <row r="148" spans="1:37" x14ac:dyDescent="0.25">
      <c r="A148" s="40" t="s">
        <v>90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</v>
      </c>
      <c r="AH148" s="20"/>
      <c r="AI148" s="19"/>
      <c r="AK148" s="41"/>
    </row>
    <row r="149" spans="1:37" x14ac:dyDescent="0.25">
      <c r="A149" s="40" t="s">
        <v>89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5.0999999999999996</v>
      </c>
      <c r="AH149" s="20"/>
      <c r="AI149" s="19"/>
      <c r="AK149" s="41"/>
    </row>
    <row r="150" spans="1:37" x14ac:dyDescent="0.25">
      <c r="A150" s="40" t="s">
        <v>88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5</v>
      </c>
      <c r="AH150" s="20"/>
      <c r="AI150" s="19"/>
      <c r="AK150" s="41"/>
    </row>
    <row r="151" spans="1:37" x14ac:dyDescent="0.25">
      <c r="A151" s="44" t="s">
        <v>87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8">
        <v>5</v>
      </c>
      <c r="AH151" s="20"/>
      <c r="AI151" s="19"/>
      <c r="AK151" s="41"/>
    </row>
    <row r="152" spans="1:37" x14ac:dyDescent="0.25">
      <c r="A152" s="40" t="s">
        <v>86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0" t="s">
        <v>85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4">
        <v>5</v>
      </c>
      <c r="AH153" s="20"/>
      <c r="AI153" s="19"/>
      <c r="AK153" s="41"/>
    </row>
    <row r="154" spans="1:37" x14ac:dyDescent="0.25">
      <c r="A154" s="40" t="s">
        <v>84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83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82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81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4.9930000000000003</v>
      </c>
      <c r="AH157" s="20"/>
      <c r="AI157" s="19"/>
      <c r="AK157" s="41"/>
    </row>
    <row r="158" spans="1:37" x14ac:dyDescent="0.25">
      <c r="A158" s="40" t="s">
        <v>80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4.9800000000000004</v>
      </c>
      <c r="AH158" s="20"/>
      <c r="AI158" s="19"/>
      <c r="AK158" s="41"/>
    </row>
    <row r="159" spans="1:37" x14ac:dyDescent="0.25">
      <c r="A159" s="40" t="s">
        <v>79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4.95</v>
      </c>
      <c r="AH159" s="20"/>
      <c r="AI159" s="19"/>
      <c r="AK159" s="41"/>
    </row>
    <row r="160" spans="1:37" x14ac:dyDescent="0.25">
      <c r="A160" s="40" t="s">
        <v>78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4.95</v>
      </c>
      <c r="AH160" s="20"/>
      <c r="AI160" s="19"/>
      <c r="AK160" s="41"/>
    </row>
    <row r="161" spans="1:37" x14ac:dyDescent="0.25">
      <c r="A161" s="40" t="s">
        <v>77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4.8</v>
      </c>
      <c r="AH161" s="20"/>
      <c r="AI161" s="19"/>
      <c r="AK161" s="41"/>
    </row>
    <row r="162" spans="1:37" x14ac:dyDescent="0.25">
      <c r="A162" s="40" t="s">
        <v>76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4.8</v>
      </c>
      <c r="AH162" s="20"/>
      <c r="AI162" s="19"/>
      <c r="AK162" s="41"/>
    </row>
    <row r="163" spans="1:37" x14ac:dyDescent="0.25">
      <c r="A163" s="40" t="s">
        <v>75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74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4.5</v>
      </c>
      <c r="AH164" s="20"/>
      <c r="AI164" s="19"/>
      <c r="AK164" s="41"/>
    </row>
    <row r="165" spans="1:37" x14ac:dyDescent="0.25">
      <c r="A165" s="40" t="s">
        <v>73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4.5</v>
      </c>
      <c r="AH165" s="20"/>
      <c r="AI165" s="19"/>
      <c r="AK165" s="41"/>
    </row>
    <row r="166" spans="1:37" x14ac:dyDescent="0.25">
      <c r="A166" s="40" t="s">
        <v>72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4.4550000000000001</v>
      </c>
      <c r="AH166" s="20"/>
      <c r="AI166" s="19"/>
      <c r="AK166" s="41"/>
    </row>
    <row r="167" spans="1:37" x14ac:dyDescent="0.25">
      <c r="A167" s="40" t="s">
        <v>71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4.41</v>
      </c>
      <c r="AH167" s="20"/>
      <c r="AI167" s="19"/>
      <c r="AK167" s="41"/>
    </row>
    <row r="168" spans="1:37" x14ac:dyDescent="0.25">
      <c r="A168" s="40" t="s">
        <v>70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4.4000000000000004</v>
      </c>
      <c r="AH168" s="20"/>
      <c r="AI168" s="19"/>
      <c r="AK168" s="41"/>
    </row>
    <row r="169" spans="1:37" x14ac:dyDescent="0.25">
      <c r="A169" s="40" t="s">
        <v>69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4.3600000000000003</v>
      </c>
      <c r="AH169" s="20"/>
      <c r="AI169" s="19"/>
      <c r="AK169" s="41"/>
    </row>
    <row r="170" spans="1:37" x14ac:dyDescent="0.25">
      <c r="A170" s="40" t="s">
        <v>68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4.2</v>
      </c>
      <c r="AH170" s="20"/>
      <c r="AI170" s="19"/>
      <c r="AK170" s="41"/>
    </row>
    <row r="171" spans="1:37" x14ac:dyDescent="0.25">
      <c r="A171" s="40" t="s">
        <v>67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</v>
      </c>
      <c r="AH171" s="20"/>
      <c r="AI171" s="19"/>
      <c r="AK171" s="41"/>
    </row>
    <row r="172" spans="1:37" x14ac:dyDescent="0.25">
      <c r="A172" s="40" t="s">
        <v>66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</v>
      </c>
      <c r="AH172" s="20"/>
      <c r="AI172" s="19"/>
      <c r="AK172" s="41"/>
    </row>
    <row r="173" spans="1:37" x14ac:dyDescent="0.25">
      <c r="A173" s="40" t="s">
        <v>65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64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63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62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61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60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59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3.75</v>
      </c>
      <c r="AH179" s="20"/>
      <c r="AI179" s="19"/>
      <c r="AK179" s="41"/>
    </row>
    <row r="180" spans="1:37" x14ac:dyDescent="0.25">
      <c r="A180" s="40" t="s">
        <v>58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3.52</v>
      </c>
      <c r="AH180" s="20"/>
      <c r="AI180" s="19"/>
      <c r="AK180" s="41"/>
    </row>
    <row r="181" spans="1:37" x14ac:dyDescent="0.25">
      <c r="A181" s="40" t="s">
        <v>57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3.33</v>
      </c>
      <c r="AH181" s="20"/>
      <c r="AI181" s="19"/>
      <c r="AK181" s="41"/>
    </row>
    <row r="182" spans="1:37" x14ac:dyDescent="0.25">
      <c r="A182" s="40" t="s">
        <v>56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3.2</v>
      </c>
      <c r="AH182" s="20"/>
      <c r="AI182" s="19"/>
      <c r="AK182" s="41"/>
    </row>
    <row r="183" spans="1:37" x14ac:dyDescent="0.25">
      <c r="A183" s="40" t="s">
        <v>55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</v>
      </c>
      <c r="AH183" s="20"/>
      <c r="AI183" s="19"/>
      <c r="AK183" s="41"/>
    </row>
    <row r="184" spans="1:37" x14ac:dyDescent="0.25">
      <c r="A184" s="40" t="s">
        <v>54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</v>
      </c>
      <c r="AH184" s="20"/>
      <c r="AI184" s="19"/>
      <c r="AK184" s="41"/>
    </row>
    <row r="185" spans="1:37" x14ac:dyDescent="0.25">
      <c r="A185" s="40" t="s">
        <v>53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52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51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50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49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48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47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2.83</v>
      </c>
      <c r="AH191" s="20"/>
      <c r="AI191" s="19"/>
      <c r="AK191" s="41"/>
    </row>
    <row r="192" spans="1:37" x14ac:dyDescent="0.25">
      <c r="A192" s="40" t="s">
        <v>46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2.5</v>
      </c>
      <c r="AH192" s="20"/>
      <c r="AI192" s="19"/>
      <c r="AK192" s="41"/>
    </row>
    <row r="193" spans="1:37" x14ac:dyDescent="0.25">
      <c r="A193" s="40" t="s">
        <v>45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2.5</v>
      </c>
      <c r="AH193" s="20"/>
      <c r="AI193" s="19"/>
      <c r="AK193" s="41"/>
    </row>
    <row r="194" spans="1:37" x14ac:dyDescent="0.25">
      <c r="A194" s="40" t="s">
        <v>44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2.4</v>
      </c>
      <c r="AH194" s="20"/>
      <c r="AI194" s="19"/>
      <c r="AK194" s="41"/>
    </row>
    <row r="195" spans="1:37" x14ac:dyDescent="0.25">
      <c r="A195" s="40" t="s">
        <v>43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2.4</v>
      </c>
      <c r="AH195" s="20"/>
      <c r="AI195" s="19"/>
      <c r="AK195" s="41"/>
    </row>
    <row r="196" spans="1:37" x14ac:dyDescent="0.25">
      <c r="A196" s="40" t="s">
        <v>42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2.2000000000000002</v>
      </c>
      <c r="AH196" s="20"/>
      <c r="AI196" s="19"/>
      <c r="AK196" s="41"/>
    </row>
    <row r="197" spans="1:37" x14ac:dyDescent="0.25">
      <c r="A197" s="40" t="s">
        <v>41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</v>
      </c>
      <c r="AH197" s="20"/>
      <c r="AI197" s="19"/>
      <c r="AK197" s="41"/>
    </row>
    <row r="198" spans="1:37" x14ac:dyDescent="0.25">
      <c r="A198" s="40" t="s">
        <v>40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</v>
      </c>
      <c r="AH198" s="20"/>
      <c r="AI198" s="19"/>
      <c r="AK198" s="41"/>
    </row>
    <row r="199" spans="1:37" x14ac:dyDescent="0.25">
      <c r="A199" s="40" t="s">
        <v>39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38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1.8</v>
      </c>
      <c r="AH200" s="20"/>
      <c r="AI200" s="19"/>
      <c r="AK200" s="41"/>
    </row>
    <row r="201" spans="1:37" x14ac:dyDescent="0.25">
      <c r="A201" s="40" t="s">
        <v>37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1.8</v>
      </c>
      <c r="AH201" s="20"/>
      <c r="AI201" s="19"/>
      <c r="AK201" s="41"/>
    </row>
    <row r="202" spans="1:37" x14ac:dyDescent="0.25">
      <c r="A202" s="40" t="s">
        <v>36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1.65</v>
      </c>
      <c r="AH202" s="20"/>
      <c r="AI202" s="19"/>
      <c r="AK202" s="41"/>
    </row>
    <row r="203" spans="1:37" x14ac:dyDescent="0.25">
      <c r="A203" s="40" t="s">
        <v>35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1.5</v>
      </c>
      <c r="AH203" s="20"/>
      <c r="AI203" s="19"/>
      <c r="AK203" s="41"/>
    </row>
    <row r="204" spans="1:37" x14ac:dyDescent="0.25">
      <c r="A204" s="40" t="s">
        <v>34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0.998</v>
      </c>
      <c r="AH204" s="20"/>
      <c r="AI204" s="19"/>
      <c r="AK204" s="41"/>
    </row>
    <row r="205" spans="1:37" x14ac:dyDescent="0.25">
      <c r="A205" s="40" t="s">
        <v>33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0.997</v>
      </c>
      <c r="AH205" s="20"/>
      <c r="AI205" s="19"/>
      <c r="AK205" s="41"/>
    </row>
    <row r="206" spans="1:37" x14ac:dyDescent="0.25">
      <c r="A206" s="40" t="s">
        <v>32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0.997</v>
      </c>
      <c r="AH206" s="20"/>
      <c r="AI206" s="19"/>
      <c r="AK206" s="41"/>
    </row>
    <row r="207" spans="1:37" x14ac:dyDescent="0.25">
      <c r="A207" s="40" t="s">
        <v>31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0.996</v>
      </c>
      <c r="AH207" s="20"/>
      <c r="AI207" s="19"/>
      <c r="AK207" s="41"/>
    </row>
    <row r="208" spans="1:37" x14ac:dyDescent="0.25">
      <c r="A208" s="40" t="s">
        <v>30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0.996</v>
      </c>
      <c r="AH208" s="20"/>
      <c r="AI208" s="19"/>
      <c r="AK208" s="41"/>
    </row>
    <row r="209" spans="1:37" x14ac:dyDescent="0.25">
      <c r="A209" s="40" t="s">
        <v>29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28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0.995</v>
      </c>
      <c r="AH210" s="20"/>
      <c r="AI210" s="19"/>
      <c r="AK210" s="41"/>
    </row>
    <row r="211" spans="1:37" x14ac:dyDescent="0.25">
      <c r="A211" s="40" t="s">
        <v>27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0.99299999999999999</v>
      </c>
      <c r="AH211" s="20"/>
      <c r="AI211" s="19"/>
      <c r="AK211" s="41"/>
    </row>
    <row r="212" spans="1:37" x14ac:dyDescent="0.25">
      <c r="A212" s="40" t="s">
        <v>26</v>
      </c>
      <c r="B212" s="43"/>
      <c r="C212" s="56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</v>
      </c>
      <c r="AH212" s="20"/>
      <c r="AI212" s="19"/>
      <c r="AK212" s="41"/>
    </row>
    <row r="213" spans="1:37" ht="15.75" thickBot="1" x14ac:dyDescent="0.3">
      <c r="A213" s="40" t="s">
        <v>25</v>
      </c>
      <c r="B213" s="39"/>
      <c r="C213" s="55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54">
        <v>0.97899999999999998</v>
      </c>
      <c r="AH213" s="20"/>
      <c r="AI213" s="19"/>
      <c r="AK213" s="41"/>
    </row>
    <row r="214" spans="1:37" ht="15.75" thickBot="1" x14ac:dyDescent="0.3">
      <c r="A214" s="53" t="s">
        <v>24</v>
      </c>
      <c r="B214" s="52">
        <f t="shared" ref="B214:AG214" si="26">SUM(B109:B213)</f>
        <v>0</v>
      </c>
      <c r="C214" s="36">
        <f t="shared" si="26"/>
        <v>0</v>
      </c>
      <c r="D214" s="36">
        <f t="shared" si="26"/>
        <v>0</v>
      </c>
      <c r="E214" s="36">
        <f t="shared" si="26"/>
        <v>0</v>
      </c>
      <c r="F214" s="36">
        <f t="shared" si="26"/>
        <v>0</v>
      </c>
      <c r="G214" s="36">
        <f t="shared" si="26"/>
        <v>0</v>
      </c>
      <c r="H214" s="36">
        <f t="shared" si="26"/>
        <v>0</v>
      </c>
      <c r="I214" s="36">
        <f t="shared" si="26"/>
        <v>0</v>
      </c>
      <c r="J214" s="36">
        <f t="shared" si="26"/>
        <v>0</v>
      </c>
      <c r="K214" s="36">
        <f t="shared" si="26"/>
        <v>0</v>
      </c>
      <c r="L214" s="36">
        <f t="shared" si="26"/>
        <v>0</v>
      </c>
      <c r="M214" s="36">
        <f t="shared" si="26"/>
        <v>0</v>
      </c>
      <c r="N214" s="36">
        <f t="shared" si="26"/>
        <v>0</v>
      </c>
      <c r="O214" s="36">
        <f t="shared" si="26"/>
        <v>0</v>
      </c>
      <c r="P214" s="36">
        <f t="shared" si="26"/>
        <v>0</v>
      </c>
      <c r="Q214" s="36">
        <f t="shared" si="26"/>
        <v>0</v>
      </c>
      <c r="R214" s="36">
        <f t="shared" si="26"/>
        <v>0</v>
      </c>
      <c r="S214" s="36">
        <f t="shared" si="26"/>
        <v>0</v>
      </c>
      <c r="T214" s="36">
        <f t="shared" si="26"/>
        <v>0</v>
      </c>
      <c r="U214" s="36">
        <f t="shared" si="26"/>
        <v>0</v>
      </c>
      <c r="V214" s="36">
        <f t="shared" si="26"/>
        <v>0</v>
      </c>
      <c r="W214" s="36">
        <f t="shared" si="26"/>
        <v>0</v>
      </c>
      <c r="X214" s="36">
        <f t="shared" si="26"/>
        <v>0</v>
      </c>
      <c r="Y214" s="36">
        <f t="shared" si="26"/>
        <v>0</v>
      </c>
      <c r="Z214" s="36">
        <f t="shared" si="26"/>
        <v>0</v>
      </c>
      <c r="AA214" s="36">
        <f t="shared" si="26"/>
        <v>0</v>
      </c>
      <c r="AB214" s="36">
        <f t="shared" si="26"/>
        <v>0</v>
      </c>
      <c r="AC214" s="36">
        <f t="shared" si="26"/>
        <v>0</v>
      </c>
      <c r="AD214" s="36">
        <f t="shared" si="26"/>
        <v>0</v>
      </c>
      <c r="AE214" s="36">
        <f t="shared" si="26"/>
        <v>0</v>
      </c>
      <c r="AF214" s="51">
        <f t="shared" si="26"/>
        <v>0</v>
      </c>
      <c r="AG214" s="50">
        <f t="shared" si="26"/>
        <v>412.72299999999984</v>
      </c>
      <c r="AH214" s="20"/>
      <c r="AI214" s="19"/>
      <c r="AK214" s="41"/>
    </row>
    <row r="215" spans="1:37" ht="15.75" thickBot="1" x14ac:dyDescent="0.3">
      <c r="A215" s="49" t="s">
        <v>17</v>
      </c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48"/>
      <c r="AH215" s="20"/>
      <c r="AI215" s="19"/>
      <c r="AK215" s="41"/>
    </row>
    <row r="216" spans="1:37" x14ac:dyDescent="0.25">
      <c r="A216" s="47" t="s">
        <v>23</v>
      </c>
      <c r="B216" s="46">
        <f t="shared" ref="B216:B221" si="27">AF216</f>
        <v>0</v>
      </c>
      <c r="C216" s="46">
        <v>0.3</v>
      </c>
      <c r="D216" s="46">
        <f t="shared" ref="D216:P216" si="28">C216</f>
        <v>0.3</v>
      </c>
      <c r="E216" s="46">
        <f t="shared" si="28"/>
        <v>0.3</v>
      </c>
      <c r="F216" s="46">
        <f t="shared" si="28"/>
        <v>0.3</v>
      </c>
      <c r="G216" s="46">
        <f t="shared" si="28"/>
        <v>0.3</v>
      </c>
      <c r="H216" s="46">
        <f t="shared" si="28"/>
        <v>0.3</v>
      </c>
      <c r="I216" s="46">
        <f t="shared" si="28"/>
        <v>0.3</v>
      </c>
      <c r="J216" s="46">
        <f t="shared" si="28"/>
        <v>0.3</v>
      </c>
      <c r="K216" s="46">
        <f t="shared" si="28"/>
        <v>0.3</v>
      </c>
      <c r="L216" s="46">
        <f t="shared" si="28"/>
        <v>0.3</v>
      </c>
      <c r="M216" s="46">
        <f t="shared" si="28"/>
        <v>0.3</v>
      </c>
      <c r="N216" s="46">
        <f t="shared" si="28"/>
        <v>0.3</v>
      </c>
      <c r="O216" s="46">
        <f t="shared" si="28"/>
        <v>0.3</v>
      </c>
      <c r="P216" s="46">
        <f t="shared" si="28"/>
        <v>0.3</v>
      </c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5">
        <v>2.4</v>
      </c>
      <c r="AH216" s="20"/>
      <c r="AI216" s="19"/>
      <c r="AK216" s="41"/>
    </row>
    <row r="217" spans="1:37" x14ac:dyDescent="0.25">
      <c r="A217" s="44" t="s">
        <v>22</v>
      </c>
      <c r="B217" s="43">
        <f t="shared" si="27"/>
        <v>0</v>
      </c>
      <c r="C217" s="43">
        <v>0.4</v>
      </c>
      <c r="D217" s="43">
        <f t="shared" ref="D217:P217" si="29">C217</f>
        <v>0.4</v>
      </c>
      <c r="E217" s="43">
        <f t="shared" si="29"/>
        <v>0.4</v>
      </c>
      <c r="F217" s="43">
        <f t="shared" si="29"/>
        <v>0.4</v>
      </c>
      <c r="G217" s="43">
        <f t="shared" si="29"/>
        <v>0.4</v>
      </c>
      <c r="H217" s="43">
        <f t="shared" si="29"/>
        <v>0.4</v>
      </c>
      <c r="I217" s="43">
        <f t="shared" si="29"/>
        <v>0.4</v>
      </c>
      <c r="J217" s="43">
        <f t="shared" si="29"/>
        <v>0.4</v>
      </c>
      <c r="K217" s="43">
        <f t="shared" si="29"/>
        <v>0.4</v>
      </c>
      <c r="L217" s="43">
        <f t="shared" si="29"/>
        <v>0.4</v>
      </c>
      <c r="M217" s="43">
        <f t="shared" si="29"/>
        <v>0.4</v>
      </c>
      <c r="N217" s="43">
        <f t="shared" si="29"/>
        <v>0.4</v>
      </c>
      <c r="O217" s="43">
        <f t="shared" si="29"/>
        <v>0.4</v>
      </c>
      <c r="P217" s="43">
        <f t="shared" si="29"/>
        <v>0.4</v>
      </c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2">
        <v>2</v>
      </c>
      <c r="AH217" s="20"/>
      <c r="AI217" s="19"/>
      <c r="AK217" s="41"/>
    </row>
    <row r="218" spans="1:37" x14ac:dyDescent="0.25">
      <c r="A218" s="44" t="s">
        <v>21</v>
      </c>
      <c r="B218" s="43">
        <f t="shared" si="27"/>
        <v>0</v>
      </c>
      <c r="C218" s="43">
        <v>1.5</v>
      </c>
      <c r="D218" s="43">
        <f t="shared" ref="D218:P218" si="30">C218</f>
        <v>1.5</v>
      </c>
      <c r="E218" s="43">
        <f t="shared" si="30"/>
        <v>1.5</v>
      </c>
      <c r="F218" s="43">
        <f t="shared" si="30"/>
        <v>1.5</v>
      </c>
      <c r="G218" s="43">
        <f t="shared" si="30"/>
        <v>1.5</v>
      </c>
      <c r="H218" s="43">
        <f t="shared" si="30"/>
        <v>1.5</v>
      </c>
      <c r="I218" s="43">
        <f t="shared" si="30"/>
        <v>1.5</v>
      </c>
      <c r="J218" s="43">
        <f t="shared" si="30"/>
        <v>1.5</v>
      </c>
      <c r="K218" s="43">
        <f t="shared" si="30"/>
        <v>1.5</v>
      </c>
      <c r="L218" s="43">
        <f t="shared" si="30"/>
        <v>1.5</v>
      </c>
      <c r="M218" s="43">
        <f t="shared" si="30"/>
        <v>1.5</v>
      </c>
      <c r="N218" s="43">
        <f t="shared" si="30"/>
        <v>1.5</v>
      </c>
      <c r="O218" s="43">
        <f t="shared" si="30"/>
        <v>1.5</v>
      </c>
      <c r="P218" s="43">
        <f t="shared" si="30"/>
        <v>1.5</v>
      </c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2">
        <v>1.5</v>
      </c>
      <c r="AH218" s="20"/>
      <c r="AI218" s="19"/>
      <c r="AK218" s="41"/>
    </row>
    <row r="219" spans="1:37" x14ac:dyDescent="0.25">
      <c r="A219" s="44" t="s">
        <v>20</v>
      </c>
      <c r="B219" s="43">
        <f t="shared" si="27"/>
        <v>0</v>
      </c>
      <c r="C219" s="43">
        <v>0.3</v>
      </c>
      <c r="D219" s="43">
        <f t="shared" ref="D219:P219" si="31">C219</f>
        <v>0.3</v>
      </c>
      <c r="E219" s="43">
        <f t="shared" si="31"/>
        <v>0.3</v>
      </c>
      <c r="F219" s="43">
        <f t="shared" si="31"/>
        <v>0.3</v>
      </c>
      <c r="G219" s="43">
        <f t="shared" si="31"/>
        <v>0.3</v>
      </c>
      <c r="H219" s="43">
        <f t="shared" si="31"/>
        <v>0.3</v>
      </c>
      <c r="I219" s="43">
        <f t="shared" si="31"/>
        <v>0.3</v>
      </c>
      <c r="J219" s="43">
        <f t="shared" si="31"/>
        <v>0.3</v>
      </c>
      <c r="K219" s="43">
        <f t="shared" si="31"/>
        <v>0.3</v>
      </c>
      <c r="L219" s="43">
        <f t="shared" si="31"/>
        <v>0.3</v>
      </c>
      <c r="M219" s="43">
        <f t="shared" si="31"/>
        <v>0.3</v>
      </c>
      <c r="N219" s="43">
        <f t="shared" si="31"/>
        <v>0.3</v>
      </c>
      <c r="O219" s="43">
        <f t="shared" si="31"/>
        <v>0.3</v>
      </c>
      <c r="P219" s="43">
        <f t="shared" si="31"/>
        <v>0.3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1</v>
      </c>
      <c r="AH219" s="20"/>
      <c r="AI219" s="19"/>
      <c r="AK219" s="41"/>
    </row>
    <row r="220" spans="1:37" x14ac:dyDescent="0.25">
      <c r="A220" s="44" t="s">
        <v>19</v>
      </c>
      <c r="B220" s="43">
        <f t="shared" si="27"/>
        <v>0</v>
      </c>
      <c r="C220" s="43">
        <v>0.4</v>
      </c>
      <c r="D220" s="43">
        <f t="shared" ref="D220:P220" si="32">C220</f>
        <v>0.4</v>
      </c>
      <c r="E220" s="43">
        <f t="shared" si="32"/>
        <v>0.4</v>
      </c>
      <c r="F220" s="43">
        <f t="shared" si="32"/>
        <v>0.4</v>
      </c>
      <c r="G220" s="43">
        <f t="shared" si="32"/>
        <v>0.4</v>
      </c>
      <c r="H220" s="43">
        <f t="shared" si="32"/>
        <v>0.4</v>
      </c>
      <c r="I220" s="43">
        <f t="shared" si="32"/>
        <v>0.4</v>
      </c>
      <c r="J220" s="43">
        <f t="shared" si="32"/>
        <v>0.4</v>
      </c>
      <c r="K220" s="43">
        <f t="shared" si="32"/>
        <v>0.4</v>
      </c>
      <c r="L220" s="43">
        <f t="shared" si="32"/>
        <v>0.4</v>
      </c>
      <c r="M220" s="43">
        <f t="shared" si="32"/>
        <v>0.4</v>
      </c>
      <c r="N220" s="43">
        <f t="shared" si="32"/>
        <v>0.4</v>
      </c>
      <c r="O220" s="43">
        <f t="shared" si="32"/>
        <v>0.4</v>
      </c>
      <c r="P220" s="43">
        <f t="shared" si="32"/>
        <v>0.4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</v>
      </c>
      <c r="AH220" s="20"/>
      <c r="AI220" s="19"/>
      <c r="AK220" s="41"/>
    </row>
    <row r="221" spans="1:37" ht="15.75" thickBot="1" x14ac:dyDescent="0.3">
      <c r="A221" s="40" t="s">
        <v>18</v>
      </c>
      <c r="B221" s="39">
        <f t="shared" si="27"/>
        <v>0</v>
      </c>
      <c r="C221" s="39">
        <v>0.64</v>
      </c>
      <c r="D221" s="39">
        <f t="shared" ref="D221:P221" si="33">C221</f>
        <v>0.64</v>
      </c>
      <c r="E221" s="39">
        <f t="shared" si="33"/>
        <v>0.64</v>
      </c>
      <c r="F221" s="39">
        <f t="shared" si="33"/>
        <v>0.64</v>
      </c>
      <c r="G221" s="39">
        <f t="shared" si="33"/>
        <v>0.64</v>
      </c>
      <c r="H221" s="39">
        <f t="shared" si="33"/>
        <v>0.64</v>
      </c>
      <c r="I221" s="39">
        <f t="shared" si="33"/>
        <v>0.64</v>
      </c>
      <c r="J221" s="39">
        <f t="shared" si="33"/>
        <v>0.64</v>
      </c>
      <c r="K221" s="39">
        <f t="shared" si="33"/>
        <v>0.64</v>
      </c>
      <c r="L221" s="39">
        <f t="shared" si="33"/>
        <v>0.64</v>
      </c>
      <c r="M221" s="39">
        <f t="shared" si="33"/>
        <v>0.64</v>
      </c>
      <c r="N221" s="39">
        <f t="shared" si="33"/>
        <v>0.64</v>
      </c>
      <c r="O221" s="39">
        <f t="shared" si="33"/>
        <v>0.64</v>
      </c>
      <c r="P221" s="39">
        <f t="shared" si="33"/>
        <v>0.64</v>
      </c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8">
        <v>0.66</v>
      </c>
      <c r="AH221" s="20"/>
      <c r="AI221" s="19"/>
    </row>
    <row r="222" spans="1:37" ht="15.75" thickBot="1" x14ac:dyDescent="0.3">
      <c r="A222" s="37" t="s">
        <v>17</v>
      </c>
      <c r="B222" s="36">
        <f t="shared" ref="B222:AG222" si="34">SUM(B216:B221)</f>
        <v>0</v>
      </c>
      <c r="C222" s="36">
        <f t="shared" si="34"/>
        <v>3.54</v>
      </c>
      <c r="D222" s="36">
        <f t="shared" si="34"/>
        <v>3.54</v>
      </c>
      <c r="E222" s="36">
        <f t="shared" si="34"/>
        <v>3.54</v>
      </c>
      <c r="F222" s="36">
        <f t="shared" si="34"/>
        <v>3.54</v>
      </c>
      <c r="G222" s="36">
        <f t="shared" si="34"/>
        <v>3.54</v>
      </c>
      <c r="H222" s="36">
        <f t="shared" si="34"/>
        <v>3.54</v>
      </c>
      <c r="I222" s="36">
        <f t="shared" si="34"/>
        <v>3.54</v>
      </c>
      <c r="J222" s="36">
        <f t="shared" si="34"/>
        <v>3.54</v>
      </c>
      <c r="K222" s="36">
        <f t="shared" si="34"/>
        <v>3.54</v>
      </c>
      <c r="L222" s="36">
        <f t="shared" si="34"/>
        <v>3.54</v>
      </c>
      <c r="M222" s="36">
        <f t="shared" si="34"/>
        <v>3.54</v>
      </c>
      <c r="N222" s="36">
        <f t="shared" si="34"/>
        <v>3.54</v>
      </c>
      <c r="O222" s="36">
        <f t="shared" si="34"/>
        <v>3.54</v>
      </c>
      <c r="P222" s="36">
        <f t="shared" si="34"/>
        <v>3.54</v>
      </c>
      <c r="Q222" s="36">
        <f t="shared" si="34"/>
        <v>0</v>
      </c>
      <c r="R222" s="36">
        <f t="shared" si="34"/>
        <v>0</v>
      </c>
      <c r="S222" s="36">
        <f t="shared" si="34"/>
        <v>0</v>
      </c>
      <c r="T222" s="36">
        <f t="shared" si="34"/>
        <v>0</v>
      </c>
      <c r="U222" s="36">
        <f t="shared" si="34"/>
        <v>0</v>
      </c>
      <c r="V222" s="36">
        <f t="shared" si="34"/>
        <v>0</v>
      </c>
      <c r="W222" s="36">
        <f t="shared" si="34"/>
        <v>0</v>
      </c>
      <c r="X222" s="36">
        <f t="shared" si="34"/>
        <v>0</v>
      </c>
      <c r="Y222" s="36">
        <f t="shared" si="34"/>
        <v>0</v>
      </c>
      <c r="Z222" s="36">
        <f t="shared" si="34"/>
        <v>0</v>
      </c>
      <c r="AA222" s="36">
        <f t="shared" si="34"/>
        <v>0</v>
      </c>
      <c r="AB222" s="36">
        <f t="shared" si="34"/>
        <v>0</v>
      </c>
      <c r="AC222" s="36">
        <f t="shared" si="34"/>
        <v>0</v>
      </c>
      <c r="AD222" s="36">
        <f t="shared" si="34"/>
        <v>0</v>
      </c>
      <c r="AE222" s="36">
        <f t="shared" si="34"/>
        <v>0</v>
      </c>
      <c r="AF222" s="36">
        <f t="shared" si="34"/>
        <v>0</v>
      </c>
      <c r="AG222" s="35">
        <f t="shared" si="34"/>
        <v>8.56</v>
      </c>
      <c r="AH222" s="20"/>
      <c r="AI222" s="19"/>
    </row>
    <row r="223" spans="1:37" ht="15.75" thickBot="1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34"/>
      <c r="AH223" s="2"/>
    </row>
    <row r="224" spans="1:37" x14ac:dyDescent="0.25">
      <c r="A224" s="33" t="s">
        <v>0</v>
      </c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1"/>
      <c r="AG224" s="2"/>
      <c r="AH224" s="20"/>
      <c r="AI224" s="19"/>
    </row>
    <row r="225" spans="1:50" x14ac:dyDescent="0.25">
      <c r="A225" s="30" t="s">
        <v>16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8"/>
      <c r="AG225" s="21"/>
      <c r="AH225" s="20"/>
      <c r="AI225" s="19"/>
    </row>
    <row r="226" spans="1:50" x14ac:dyDescent="0.25">
      <c r="A226" s="27" t="s">
        <v>15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5"/>
      <c r="AG226" s="21"/>
      <c r="AH226" s="20"/>
      <c r="AI226" s="19"/>
    </row>
    <row r="227" spans="1:50" x14ac:dyDescent="0.25">
      <c r="A227" s="27" t="s">
        <v>14</v>
      </c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5"/>
      <c r="AG227" s="21"/>
      <c r="AH227" s="20"/>
      <c r="AI227" s="19"/>
    </row>
    <row r="228" spans="1:50" ht="15.75" thickBot="1" x14ac:dyDescent="0.3">
      <c r="A228" s="24" t="s">
        <v>13</v>
      </c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2"/>
      <c r="AG228" s="21"/>
      <c r="AH228" s="20"/>
      <c r="AI228" s="19"/>
    </row>
    <row r="229" spans="1:50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5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50" x14ac:dyDescent="0.25">
      <c r="A231" s="18" t="s">
        <v>12</v>
      </c>
      <c r="B231" s="17">
        <f>MAX(G79:N79)</f>
        <v>1220.54</v>
      </c>
      <c r="C231" s="16">
        <f>INDEX(G9:N9,1,MATCH(MAX(G79:N79),G79:N79,0))</f>
        <v>0.375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15" t="str">
        <f ca="1">MID(CELL("filename",C7),FIND("]",CELL("filename",C7))+1,600)</f>
        <v>1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95" t="s">
        <v>11</v>
      </c>
      <c r="B233" s="195"/>
      <c r="C233" s="2"/>
      <c r="D233" s="15" t="str">
        <f ca="1">"Pie Chart of Daily Peak Demand(Inclusive of Export) of Nepal ("&amp;A4&amp;" "&amp;B4&amp;")"</f>
        <v>Pie Chart of Daily Peak Demand(Inclusive of Export) of Nepal (Nepali Date: 2079/06/1)</v>
      </c>
      <c r="E233" s="2"/>
      <c r="F233" s="2"/>
      <c r="G233" s="1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15" t="str">
        <f ca="1">"Daily Load Curve(Excluding of Export) of Nepal ("&amp;A4&amp;" "&amp;B4&amp;")"</f>
        <v>Daily Load Curve(Excluding of Export) of Nepal (Nepali Date: 2079/06/1)</v>
      </c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ht="12.75" customHeight="1" thickBot="1" x14ac:dyDescent="0.3">
      <c r="A234" s="7" t="s">
        <v>10</v>
      </c>
      <c r="B234" s="6"/>
      <c r="C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ht="15.75" thickTop="1" x14ac:dyDescent="0.25">
      <c r="A235" s="7" t="s">
        <v>9</v>
      </c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4" t="s">
        <v>8</v>
      </c>
      <c r="T235" s="13">
        <v>0</v>
      </c>
      <c r="U235" s="12">
        <v>4.1666666666666664E-2</v>
      </c>
      <c r="V235" s="10">
        <v>8.3333333333333301E-2</v>
      </c>
      <c r="W235" s="10">
        <v>0.125</v>
      </c>
      <c r="X235" s="10">
        <v>0.16666666666666699</v>
      </c>
      <c r="Y235" s="10">
        <v>0.20833333333333301</v>
      </c>
      <c r="Z235" s="10">
        <v>0.22916666666666666</v>
      </c>
      <c r="AA235" s="10">
        <v>0.25</v>
      </c>
      <c r="AB235" s="10">
        <v>0.27083333333333331</v>
      </c>
      <c r="AC235" s="10">
        <v>0.29166666666666669</v>
      </c>
      <c r="AD235" s="10">
        <v>0.3125</v>
      </c>
      <c r="AE235" s="11">
        <v>0.33333333333333331</v>
      </c>
      <c r="AF235" s="11">
        <v>0.375</v>
      </c>
      <c r="AG235" s="11">
        <v>0.41666666666666702</v>
      </c>
      <c r="AH235" s="11">
        <v>0.45833333333333298</v>
      </c>
      <c r="AI235" s="11">
        <v>0.5</v>
      </c>
      <c r="AJ235" s="11">
        <v>0.54166666666666696</v>
      </c>
      <c r="AK235" s="11">
        <v>0.58333333333333304</v>
      </c>
      <c r="AL235" s="11">
        <v>0.625</v>
      </c>
      <c r="AM235" s="11">
        <v>0.66666666666666696</v>
      </c>
      <c r="AN235" s="11">
        <v>0.70833333333333304</v>
      </c>
      <c r="AO235" s="11">
        <v>0.72916666666666663</v>
      </c>
      <c r="AP235" s="11">
        <v>0.75</v>
      </c>
      <c r="AQ235" s="11">
        <v>0.77083333333333337</v>
      </c>
      <c r="AR235" s="11">
        <v>0.79166666666666663</v>
      </c>
      <c r="AS235" s="11">
        <v>0.8125</v>
      </c>
      <c r="AT235" s="10">
        <v>0.83333333333333337</v>
      </c>
      <c r="AU235" s="10">
        <v>0.85416666666666663</v>
      </c>
      <c r="AV235" s="10">
        <v>0.875</v>
      </c>
      <c r="AW235" s="10">
        <v>0.91666666666666696</v>
      </c>
      <c r="AX235" s="10">
        <v>0.95833333333333304</v>
      </c>
    </row>
    <row r="236" spans="1:50" x14ac:dyDescent="0.25">
      <c r="A236" s="7" t="s">
        <v>7</v>
      </c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 t="s">
        <v>6</v>
      </c>
      <c r="T236" s="9">
        <f t="shared" ref="T236:AX236" si="35">B79</f>
        <v>1464.14</v>
      </c>
      <c r="U236" s="9">
        <f t="shared" si="35"/>
        <v>1468.04</v>
      </c>
      <c r="V236" s="9">
        <f t="shared" si="35"/>
        <v>1460.04</v>
      </c>
      <c r="W236" s="9">
        <f t="shared" si="35"/>
        <v>1305.04</v>
      </c>
      <c r="X236" s="9">
        <f t="shared" si="35"/>
        <v>1305.04</v>
      </c>
      <c r="Y236" s="9">
        <f t="shared" si="35"/>
        <v>1073.04</v>
      </c>
      <c r="Z236" s="9">
        <f t="shared" si="35"/>
        <v>1059.04</v>
      </c>
      <c r="AA236" s="9">
        <f t="shared" si="35"/>
        <v>1059.04</v>
      </c>
      <c r="AB236" s="9">
        <f t="shared" si="35"/>
        <v>1133.04</v>
      </c>
      <c r="AC236" s="9">
        <f t="shared" si="35"/>
        <v>1156.04</v>
      </c>
      <c r="AD236" s="9">
        <f t="shared" si="35"/>
        <v>1160.04</v>
      </c>
      <c r="AE236" s="9">
        <f t="shared" si="35"/>
        <v>1204.44</v>
      </c>
      <c r="AF236" s="9">
        <f t="shared" si="35"/>
        <v>1220.54</v>
      </c>
      <c r="AG236" s="9">
        <f t="shared" si="35"/>
        <v>1226.1399999999999</v>
      </c>
      <c r="AH236" s="9">
        <f t="shared" si="35"/>
        <v>1209.74</v>
      </c>
      <c r="AI236" s="9">
        <f t="shared" si="35"/>
        <v>1198.1399999999999</v>
      </c>
      <c r="AJ236" s="9">
        <f t="shared" si="35"/>
        <v>1181.1400000000001</v>
      </c>
      <c r="AK236" s="9">
        <f t="shared" si="35"/>
        <v>1054.1400000000001</v>
      </c>
      <c r="AL236" s="9">
        <f t="shared" si="35"/>
        <v>3.54</v>
      </c>
      <c r="AM236" s="9">
        <f t="shared" si="35"/>
        <v>959.74</v>
      </c>
      <c r="AN236" s="9">
        <f t="shared" si="35"/>
        <v>992.74</v>
      </c>
      <c r="AO236" s="9">
        <f t="shared" si="35"/>
        <v>1017.94</v>
      </c>
      <c r="AP236" s="9">
        <f t="shared" si="35"/>
        <v>1067.04</v>
      </c>
      <c r="AQ236" s="9">
        <f t="shared" si="35"/>
        <v>1185.74</v>
      </c>
      <c r="AR236" s="9">
        <f t="shared" si="35"/>
        <v>1262.04</v>
      </c>
      <c r="AS236" s="9">
        <f t="shared" si="35"/>
        <v>1254.04</v>
      </c>
      <c r="AT236" s="9">
        <f t="shared" si="35"/>
        <v>1270.54</v>
      </c>
      <c r="AU236" s="9">
        <f t="shared" si="35"/>
        <v>1268.54</v>
      </c>
      <c r="AV236" s="9">
        <f t="shared" si="35"/>
        <v>1163.94</v>
      </c>
      <c r="AW236" s="9">
        <f t="shared" si="35"/>
        <v>1134.6400000000001</v>
      </c>
      <c r="AX236" s="9">
        <f t="shared" si="35"/>
        <v>1232.9399999999998</v>
      </c>
    </row>
    <row r="237" spans="1:50" x14ac:dyDescent="0.25">
      <c r="A237" s="7" t="s">
        <v>5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50" x14ac:dyDescent="0.25">
      <c r="A238" s="7" t="s">
        <v>4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50" x14ac:dyDescent="0.25">
      <c r="A239" s="7" t="s">
        <v>3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2</v>
      </c>
      <c r="B240" s="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1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A257" s="5" t="s">
        <v>0</v>
      </c>
      <c r="B257" s="4">
        <f t="shared" ref="B257:AE257" si="36">C221</f>
        <v>0.64</v>
      </c>
      <c r="C257" s="4">
        <f t="shared" si="36"/>
        <v>0.64</v>
      </c>
      <c r="D257" s="4">
        <f t="shared" si="36"/>
        <v>0.64</v>
      </c>
      <c r="E257" s="4">
        <f t="shared" si="36"/>
        <v>0.64</v>
      </c>
      <c r="F257" s="4">
        <f t="shared" si="36"/>
        <v>0.64</v>
      </c>
      <c r="G257" s="4">
        <f t="shared" si="36"/>
        <v>0.64</v>
      </c>
      <c r="H257" s="4">
        <f t="shared" si="36"/>
        <v>0.64</v>
      </c>
      <c r="I257" s="4">
        <f t="shared" si="36"/>
        <v>0.64</v>
      </c>
      <c r="J257" s="4">
        <f t="shared" si="36"/>
        <v>0.64</v>
      </c>
      <c r="K257" s="4">
        <f t="shared" si="36"/>
        <v>0.64</v>
      </c>
      <c r="L257" s="4">
        <f t="shared" si="36"/>
        <v>0.64</v>
      </c>
      <c r="M257" s="4">
        <f t="shared" si="36"/>
        <v>0.64</v>
      </c>
      <c r="N257" s="4">
        <f t="shared" si="36"/>
        <v>0.64</v>
      </c>
      <c r="O257" s="4">
        <f t="shared" si="36"/>
        <v>0.64</v>
      </c>
      <c r="P257" s="4">
        <f t="shared" si="36"/>
        <v>0</v>
      </c>
      <c r="Q257" s="4">
        <f t="shared" si="36"/>
        <v>0</v>
      </c>
      <c r="R257" s="4">
        <f t="shared" si="36"/>
        <v>0</v>
      </c>
      <c r="S257" s="4">
        <f t="shared" si="36"/>
        <v>0</v>
      </c>
      <c r="T257" s="4">
        <f t="shared" si="36"/>
        <v>0</v>
      </c>
      <c r="U257" s="4">
        <f t="shared" si="36"/>
        <v>0</v>
      </c>
      <c r="V257" s="4">
        <f t="shared" si="36"/>
        <v>0</v>
      </c>
      <c r="W257" s="4">
        <f t="shared" si="36"/>
        <v>0</v>
      </c>
      <c r="X257" s="4">
        <f t="shared" si="36"/>
        <v>0</v>
      </c>
      <c r="Y257" s="4">
        <f t="shared" si="36"/>
        <v>0</v>
      </c>
      <c r="Z257" s="4">
        <f t="shared" si="36"/>
        <v>0</v>
      </c>
      <c r="AA257" s="4">
        <f t="shared" si="36"/>
        <v>0</v>
      </c>
      <c r="AB257" s="4">
        <f t="shared" si="36"/>
        <v>0</v>
      </c>
      <c r="AC257" s="4">
        <f t="shared" si="36"/>
        <v>0</v>
      </c>
      <c r="AD257" s="4">
        <f t="shared" si="36"/>
        <v>0</v>
      </c>
      <c r="AE257" s="4">
        <f t="shared" si="36"/>
        <v>0</v>
      </c>
      <c r="AF257" s="4">
        <f>B221</f>
        <v>0</v>
      </c>
      <c r="AG257" s="2"/>
      <c r="AH257" s="2"/>
    </row>
    <row r="258" spans="1:34" x14ac:dyDescent="0.25">
      <c r="A258" s="3" t="str">
        <f>A225</f>
        <v>KGA</v>
      </c>
      <c r="B258" s="3" t="str">
        <f t="shared" ref="B258:AF258" si="37">IF(B225&lt;100,"",B225-520)</f>
        <v/>
      </c>
      <c r="C258" s="3" t="str">
        <f t="shared" si="37"/>
        <v/>
      </c>
      <c r="D258" s="3" t="str">
        <f t="shared" si="37"/>
        <v/>
      </c>
      <c r="E258" s="3" t="str">
        <f t="shared" si="37"/>
        <v/>
      </c>
      <c r="F258" s="3" t="str">
        <f t="shared" si="37"/>
        <v/>
      </c>
      <c r="G258" s="3" t="str">
        <f t="shared" si="37"/>
        <v/>
      </c>
      <c r="H258" s="3" t="str">
        <f t="shared" si="37"/>
        <v/>
      </c>
      <c r="I258" s="3" t="str">
        <f t="shared" si="37"/>
        <v/>
      </c>
      <c r="J258" s="3" t="str">
        <f t="shared" si="37"/>
        <v/>
      </c>
      <c r="K258" s="3" t="str">
        <f t="shared" si="37"/>
        <v/>
      </c>
      <c r="L258" s="3" t="str">
        <f t="shared" si="37"/>
        <v/>
      </c>
      <c r="M258" s="3" t="str">
        <f t="shared" si="37"/>
        <v/>
      </c>
      <c r="N258" s="3" t="str">
        <f t="shared" si="37"/>
        <v/>
      </c>
      <c r="O258" s="3" t="str">
        <f t="shared" si="37"/>
        <v/>
      </c>
      <c r="P258" s="3" t="str">
        <f t="shared" si="37"/>
        <v/>
      </c>
      <c r="Q258" s="3" t="str">
        <f t="shared" si="37"/>
        <v/>
      </c>
      <c r="R258" s="3" t="str">
        <f t="shared" si="37"/>
        <v/>
      </c>
      <c r="S258" s="3" t="str">
        <f t="shared" si="37"/>
        <v/>
      </c>
      <c r="T258" s="3" t="str">
        <f t="shared" si="37"/>
        <v/>
      </c>
      <c r="U258" s="3" t="str">
        <f t="shared" si="37"/>
        <v/>
      </c>
      <c r="V258" s="3" t="str">
        <f t="shared" si="37"/>
        <v/>
      </c>
      <c r="W258" s="3" t="str">
        <f t="shared" si="37"/>
        <v/>
      </c>
      <c r="X258" s="3" t="str">
        <f t="shared" si="37"/>
        <v/>
      </c>
      <c r="Y258" s="3" t="str">
        <f t="shared" si="37"/>
        <v/>
      </c>
      <c r="Z258" s="3" t="str">
        <f t="shared" si="37"/>
        <v/>
      </c>
      <c r="AA258" s="3" t="str">
        <f t="shared" si="37"/>
        <v/>
      </c>
      <c r="AB258" s="3" t="str">
        <f t="shared" si="37"/>
        <v/>
      </c>
      <c r="AC258" s="3" t="str">
        <f t="shared" si="37"/>
        <v/>
      </c>
      <c r="AD258" s="3" t="str">
        <f t="shared" si="37"/>
        <v/>
      </c>
      <c r="AE258" s="3" t="str">
        <f t="shared" si="37"/>
        <v/>
      </c>
      <c r="AF258" s="3" t="str">
        <f t="shared" si="37"/>
        <v/>
      </c>
      <c r="AG258" s="2"/>
      <c r="AH258" s="2"/>
    </row>
    <row r="259" spans="1:34" x14ac:dyDescent="0.25">
      <c r="A259" s="3" t="str">
        <f>A226</f>
        <v>MMRS</v>
      </c>
      <c r="B259" s="3" t="str">
        <f t="shared" ref="B259:AF259" si="38">IF(B226&lt;100,"",B226-620)</f>
        <v/>
      </c>
      <c r="C259" s="3" t="str">
        <f t="shared" si="38"/>
        <v/>
      </c>
      <c r="D259" s="3" t="str">
        <f t="shared" si="38"/>
        <v/>
      </c>
      <c r="E259" s="3" t="str">
        <f t="shared" si="38"/>
        <v/>
      </c>
      <c r="F259" s="3" t="str">
        <f t="shared" si="38"/>
        <v/>
      </c>
      <c r="G259" s="3" t="str">
        <f t="shared" si="38"/>
        <v/>
      </c>
      <c r="H259" s="3" t="str">
        <f t="shared" si="38"/>
        <v/>
      </c>
      <c r="I259" s="3" t="str">
        <f t="shared" si="38"/>
        <v/>
      </c>
      <c r="J259" s="3" t="str">
        <f t="shared" si="38"/>
        <v/>
      </c>
      <c r="K259" s="3" t="str">
        <f t="shared" si="38"/>
        <v/>
      </c>
      <c r="L259" s="3" t="str">
        <f t="shared" si="38"/>
        <v/>
      </c>
      <c r="M259" s="3" t="str">
        <f t="shared" si="38"/>
        <v/>
      </c>
      <c r="N259" s="3" t="str">
        <f t="shared" si="38"/>
        <v/>
      </c>
      <c r="O259" s="3" t="str">
        <f t="shared" si="38"/>
        <v/>
      </c>
      <c r="P259" s="3" t="str">
        <f t="shared" si="38"/>
        <v/>
      </c>
      <c r="Q259" s="3" t="str">
        <f t="shared" si="38"/>
        <v/>
      </c>
      <c r="R259" s="3" t="str">
        <f t="shared" si="38"/>
        <v/>
      </c>
      <c r="S259" s="3" t="str">
        <f t="shared" si="38"/>
        <v/>
      </c>
      <c r="T259" s="3" t="str">
        <f t="shared" si="38"/>
        <v/>
      </c>
      <c r="U259" s="3" t="str">
        <f t="shared" si="38"/>
        <v/>
      </c>
      <c r="V259" s="3" t="str">
        <f t="shared" si="38"/>
        <v/>
      </c>
      <c r="W259" s="3" t="str">
        <f t="shared" si="38"/>
        <v/>
      </c>
      <c r="X259" s="3" t="str">
        <f t="shared" si="38"/>
        <v/>
      </c>
      <c r="Y259" s="3" t="str">
        <f t="shared" si="38"/>
        <v/>
      </c>
      <c r="Z259" s="3" t="str">
        <f t="shared" si="38"/>
        <v/>
      </c>
      <c r="AA259" s="3" t="str">
        <f t="shared" si="38"/>
        <v/>
      </c>
      <c r="AB259" s="3" t="str">
        <f t="shared" si="38"/>
        <v/>
      </c>
      <c r="AC259" s="3" t="str">
        <f t="shared" si="38"/>
        <v/>
      </c>
      <c r="AD259" s="3" t="str">
        <f t="shared" si="38"/>
        <v/>
      </c>
      <c r="AE259" s="3" t="str">
        <f t="shared" si="38"/>
        <v/>
      </c>
      <c r="AF259" s="3" t="str">
        <f t="shared" si="38"/>
        <v/>
      </c>
      <c r="AG259" s="2"/>
      <c r="AH259" s="2"/>
    </row>
    <row r="260" spans="1:34" x14ac:dyDescent="0.25">
      <c r="A260" s="3" t="str">
        <f>A227</f>
        <v>MRS</v>
      </c>
      <c r="B260" s="3" t="str">
        <f t="shared" ref="B260:AF260" si="39">IF(B227&lt;100,"",B227-330)</f>
        <v/>
      </c>
      <c r="C260" s="3" t="str">
        <f t="shared" si="39"/>
        <v/>
      </c>
      <c r="D260" s="3" t="str">
        <f t="shared" si="39"/>
        <v/>
      </c>
      <c r="E260" s="3" t="str">
        <f t="shared" si="39"/>
        <v/>
      </c>
      <c r="F260" s="3" t="str">
        <f t="shared" si="39"/>
        <v/>
      </c>
      <c r="G260" s="3" t="str">
        <f t="shared" si="39"/>
        <v/>
      </c>
      <c r="H260" s="3" t="str">
        <f t="shared" si="39"/>
        <v/>
      </c>
      <c r="I260" s="3" t="str">
        <f t="shared" si="39"/>
        <v/>
      </c>
      <c r="J260" s="3" t="str">
        <f t="shared" si="39"/>
        <v/>
      </c>
      <c r="K260" s="3" t="str">
        <f t="shared" si="39"/>
        <v/>
      </c>
      <c r="L260" s="3" t="str">
        <f t="shared" si="39"/>
        <v/>
      </c>
      <c r="M260" s="3" t="str">
        <f t="shared" si="39"/>
        <v/>
      </c>
      <c r="N260" s="3" t="str">
        <f t="shared" si="39"/>
        <v/>
      </c>
      <c r="O260" s="3" t="str">
        <f t="shared" si="39"/>
        <v/>
      </c>
      <c r="P260" s="3" t="str">
        <f t="shared" si="39"/>
        <v/>
      </c>
      <c r="Q260" s="3" t="str">
        <f t="shared" si="39"/>
        <v/>
      </c>
      <c r="R260" s="3" t="str">
        <f t="shared" si="39"/>
        <v/>
      </c>
      <c r="S260" s="3" t="str">
        <f t="shared" si="39"/>
        <v/>
      </c>
      <c r="T260" s="3" t="str">
        <f t="shared" si="39"/>
        <v/>
      </c>
      <c r="U260" s="3" t="str">
        <f t="shared" si="39"/>
        <v/>
      </c>
      <c r="V260" s="3" t="str">
        <f t="shared" si="39"/>
        <v/>
      </c>
      <c r="W260" s="3" t="str">
        <f t="shared" si="39"/>
        <v/>
      </c>
      <c r="X260" s="3" t="str">
        <f t="shared" si="39"/>
        <v/>
      </c>
      <c r="Y260" s="3" t="str">
        <f t="shared" si="39"/>
        <v/>
      </c>
      <c r="Z260" s="3" t="str">
        <f t="shared" si="39"/>
        <v/>
      </c>
      <c r="AA260" s="3" t="str">
        <f t="shared" si="39"/>
        <v/>
      </c>
      <c r="AB260" s="3" t="str">
        <f t="shared" si="39"/>
        <v/>
      </c>
      <c r="AC260" s="3" t="str">
        <f t="shared" si="39"/>
        <v/>
      </c>
      <c r="AD260" s="3" t="str">
        <f t="shared" si="39"/>
        <v/>
      </c>
      <c r="AE260" s="3" t="str">
        <f t="shared" si="39"/>
        <v/>
      </c>
      <c r="AF260" s="3" t="str">
        <f t="shared" si="39"/>
        <v/>
      </c>
      <c r="AG260" s="2"/>
      <c r="AH260" s="2"/>
    </row>
    <row r="261" spans="1:34" x14ac:dyDescent="0.25">
      <c r="A261" s="3" t="str">
        <f>A228</f>
        <v>KL 1</v>
      </c>
      <c r="B261" s="3" t="str">
        <f t="shared" ref="B261:AF261" si="40">IF(B228&lt;100,"",B228-1500)</f>
        <v/>
      </c>
      <c r="C261" s="3" t="str">
        <f t="shared" si="40"/>
        <v/>
      </c>
      <c r="D261" s="3" t="str">
        <f t="shared" si="40"/>
        <v/>
      </c>
      <c r="E261" s="3" t="str">
        <f t="shared" si="40"/>
        <v/>
      </c>
      <c r="F261" s="3" t="str">
        <f t="shared" si="40"/>
        <v/>
      </c>
      <c r="G261" s="3" t="str">
        <f t="shared" si="40"/>
        <v/>
      </c>
      <c r="H261" s="3" t="str">
        <f t="shared" si="40"/>
        <v/>
      </c>
      <c r="I261" s="3" t="str">
        <f t="shared" si="40"/>
        <v/>
      </c>
      <c r="J261" s="3" t="str">
        <f t="shared" si="40"/>
        <v/>
      </c>
      <c r="K261" s="3" t="str">
        <f t="shared" si="40"/>
        <v/>
      </c>
      <c r="L261" s="3" t="str">
        <f t="shared" si="40"/>
        <v/>
      </c>
      <c r="M261" s="3" t="str">
        <f t="shared" si="40"/>
        <v/>
      </c>
      <c r="N261" s="3" t="str">
        <f t="shared" si="40"/>
        <v/>
      </c>
      <c r="O261" s="3" t="str">
        <f t="shared" si="40"/>
        <v/>
      </c>
      <c r="P261" s="3" t="str">
        <f t="shared" si="40"/>
        <v/>
      </c>
      <c r="Q261" s="3" t="str">
        <f t="shared" si="40"/>
        <v/>
      </c>
      <c r="R261" s="3" t="str">
        <f t="shared" si="40"/>
        <v/>
      </c>
      <c r="S261" s="3" t="str">
        <f t="shared" si="40"/>
        <v/>
      </c>
      <c r="T261" s="3" t="str">
        <f t="shared" si="40"/>
        <v/>
      </c>
      <c r="U261" s="3" t="str">
        <f t="shared" si="40"/>
        <v/>
      </c>
      <c r="V261" s="3" t="str">
        <f t="shared" si="40"/>
        <v/>
      </c>
      <c r="W261" s="3" t="str">
        <f t="shared" si="40"/>
        <v/>
      </c>
      <c r="X261" s="3" t="str">
        <f t="shared" si="40"/>
        <v/>
      </c>
      <c r="Y261" s="3" t="str">
        <f t="shared" si="40"/>
        <v/>
      </c>
      <c r="Z261" s="3" t="str">
        <f t="shared" si="40"/>
        <v/>
      </c>
      <c r="AA261" s="3" t="str">
        <f t="shared" si="40"/>
        <v/>
      </c>
      <c r="AB261" s="3" t="str">
        <f t="shared" si="40"/>
        <v/>
      </c>
      <c r="AC261" s="3" t="str">
        <f t="shared" si="40"/>
        <v/>
      </c>
      <c r="AD261" s="3" t="str">
        <f t="shared" si="40"/>
        <v/>
      </c>
      <c r="AE261" s="3" t="str">
        <f t="shared" si="40"/>
        <v/>
      </c>
      <c r="AF261" s="3" t="str">
        <f t="shared" si="40"/>
        <v/>
      </c>
      <c r="AG261" s="2"/>
      <c r="AH261" s="2"/>
    </row>
    <row r="262" spans="1:34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</sheetData>
  <mergeCells count="48">
    <mergeCell ref="A233:B233"/>
    <mergeCell ref="AB9:AB10"/>
    <mergeCell ref="AC9:AC10"/>
    <mergeCell ref="AD9:AD10"/>
    <mergeCell ref="AE9:AE10"/>
    <mergeCell ref="P9:P10"/>
    <mergeCell ref="Q9:Q10"/>
    <mergeCell ref="R9:R10"/>
    <mergeCell ref="S9:S10"/>
    <mergeCell ref="M9:M10"/>
    <mergeCell ref="N9:N10"/>
    <mergeCell ref="O9:O10"/>
    <mergeCell ref="AG9:AG10"/>
    <mergeCell ref="V9:V10"/>
    <mergeCell ref="W9:W10"/>
    <mergeCell ref="X9:X10"/>
    <mergeCell ref="Y9:Y10"/>
    <mergeCell ref="Z9:Z10"/>
    <mergeCell ref="AA9:AA10"/>
    <mergeCell ref="AF9:AF10"/>
    <mergeCell ref="S8:AA8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T9:T10"/>
    <mergeCell ref="U9:U10"/>
    <mergeCell ref="J9:J10"/>
    <mergeCell ref="K9:K10"/>
    <mergeCell ref="L9:L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3">
    <cfRule type="expression" dxfId="969" priority="10">
      <formula>$AH11=0</formula>
    </cfRule>
  </conditionalFormatting>
  <conditionalFormatting sqref="B8 M8 S8 AB8">
    <cfRule type="expression" dxfId="968" priority="246">
      <formula>C$9&lt;8/24</formula>
    </cfRule>
    <cfRule type="expression" dxfId="967" priority="245">
      <formula>AND(C$9&gt;=8/24,C$9&lt;14/24)</formula>
    </cfRule>
    <cfRule type="expression" dxfId="966" priority="244">
      <formula>AND(C$9&gt;=14/24,C$9&lt;20/24)</formula>
    </cfRule>
  </conditionalFormatting>
  <conditionalFormatting sqref="B39:B42 C42:AG42">
    <cfRule type="expression" dxfId="965" priority="42">
      <formula>AND(B$9&gt;=14/24,B$9&lt;20/24)</formula>
    </cfRule>
    <cfRule type="expression" dxfId="964" priority="40">
      <formula>B39&gt;$AG39</formula>
    </cfRule>
    <cfRule type="expression" dxfId="963" priority="44">
      <formula>B$9&lt;8/24</formula>
    </cfRule>
    <cfRule type="expression" dxfId="962" priority="43">
      <formula>AND(B$9&gt;=8/24,B$9&lt;14/24)</formula>
    </cfRule>
    <cfRule type="expression" dxfId="961" priority="41">
      <formula>B$9&gt;=20/24</formula>
    </cfRule>
  </conditionalFormatting>
  <conditionalFormatting sqref="B43:D45">
    <cfRule type="expression" dxfId="960" priority="98">
      <formula>AND(B$9&gt;=8/24,B$9&lt;14/24)</formula>
    </cfRule>
    <cfRule type="expression" dxfId="959" priority="97">
      <formula>AND(B$9&gt;=14/24,B$9&lt;20/24)</formula>
    </cfRule>
    <cfRule type="expression" dxfId="958" priority="96">
      <formula>B$9&gt;=20/24</formula>
    </cfRule>
    <cfRule type="expression" dxfId="957" priority="99">
      <formula>B$9&lt;8/24</formula>
    </cfRule>
  </conditionalFormatting>
  <conditionalFormatting sqref="B11:Q11">
    <cfRule type="expression" dxfId="956" priority="116">
      <formula>B$9&lt;8/24</formula>
    </cfRule>
    <cfRule type="expression" dxfId="955" priority="115">
      <formula>AND(B$9&gt;=8/24,B$9&lt;14/24)</formula>
    </cfRule>
    <cfRule type="expression" dxfId="954" priority="114">
      <formula>AND(B$9&gt;=14/24,B$9&lt;20/24)</formula>
    </cfRule>
    <cfRule type="expression" dxfId="953" priority="113">
      <formula>B$9&gt;=20/24</formula>
    </cfRule>
  </conditionalFormatting>
  <conditionalFormatting sqref="B11:Q16">
    <cfRule type="expression" dxfId="952" priority="108">
      <formula>B11&gt;$AG11</formula>
    </cfRule>
  </conditionalFormatting>
  <conditionalFormatting sqref="B12:Q16">
    <cfRule type="expression" dxfId="951" priority="78">
      <formula>B$9&gt;=20/24</formula>
    </cfRule>
    <cfRule type="expression" dxfId="950" priority="81">
      <formula>B$9&lt;8/24</formula>
    </cfRule>
    <cfRule type="expression" dxfId="949" priority="80">
      <formula>AND(B$9&gt;=8/24,B$9&lt;14/24)</formula>
    </cfRule>
    <cfRule type="expression" dxfId="948" priority="79">
      <formula>AND(B$9&gt;=14/24,B$9&lt;20/24)</formula>
    </cfRule>
  </conditionalFormatting>
  <conditionalFormatting sqref="B48:Q54">
    <cfRule type="expression" dxfId="947" priority="69">
      <formula>B$9&gt;=20/24</formula>
    </cfRule>
    <cfRule type="expression" dxfId="946" priority="70">
      <formula>AND(B$9&gt;=14/24,B$9&lt;20/24)</formula>
    </cfRule>
    <cfRule type="expression" dxfId="945" priority="71">
      <formula>AND(B$9&gt;=8/24,B$9&lt;14/24)</formula>
    </cfRule>
    <cfRule type="expression" dxfId="944" priority="68">
      <formula>B48&gt;$AG48</formula>
    </cfRule>
    <cfRule type="expression" dxfId="943" priority="72">
      <formula>B$9&lt;8/24</formula>
    </cfRule>
  </conditionalFormatting>
  <conditionalFormatting sqref="B17:S23">
    <cfRule type="expression" dxfId="942" priority="61">
      <formula>AND(B$9&gt;=14/24,B$9&lt;20/24)</formula>
    </cfRule>
    <cfRule type="expression" dxfId="941" priority="62">
      <formula>AND(B$9&gt;=8/24,B$9&lt;14/24)</formula>
    </cfRule>
    <cfRule type="expression" dxfId="940" priority="63">
      <formula>B$9&lt;8/24</formula>
    </cfRule>
  </conditionalFormatting>
  <conditionalFormatting sqref="B24:S26 C57:AF59 B57:B60 C60:AG60 B73:B77 C77:AG77 B78:AF79">
    <cfRule type="expression" dxfId="939" priority="93">
      <formula>AND(B$9&gt;=8/24,B$9&lt;14/24)</formula>
    </cfRule>
    <cfRule type="expression" dxfId="938" priority="92">
      <formula>AND(B$9&gt;=14/24,B$9&lt;20/24)</formula>
    </cfRule>
    <cfRule type="expression" dxfId="937" priority="94">
      <formula>B$9&lt;8/24</formula>
    </cfRule>
  </conditionalFormatting>
  <conditionalFormatting sqref="B28:S35">
    <cfRule type="expression" dxfId="936" priority="77">
      <formula>B$9&lt;8/24</formula>
    </cfRule>
    <cfRule type="expression" dxfId="935" priority="75">
      <formula>AND(B$9&gt;=14/24,B$9&lt;20/24)</formula>
    </cfRule>
    <cfRule type="expression" dxfId="934" priority="74">
      <formula>B$9&gt;=20/24</formula>
    </cfRule>
    <cfRule type="expression" dxfId="933" priority="76">
      <formula>AND(B$9&gt;=8/24,B$9&lt;14/24)</formula>
    </cfRule>
  </conditionalFormatting>
  <conditionalFormatting sqref="B36:S36">
    <cfRule type="expression" dxfId="932" priority="103">
      <formula>B$9&lt;8/24</formula>
    </cfRule>
    <cfRule type="expression" dxfId="931" priority="100">
      <formula>B$9&gt;=20/24</formula>
    </cfRule>
    <cfRule type="expression" dxfId="930" priority="101">
      <formula>AND(B$9&gt;=14/24,B$9&lt;20/24)</formula>
    </cfRule>
    <cfRule type="expression" dxfId="929" priority="102">
      <formula>AND(B$9&gt;=8/24,B$9&lt;14/24)</formula>
    </cfRule>
  </conditionalFormatting>
  <conditionalFormatting sqref="B9:AF10 T11:AF11 B214:AF214 B216:B222 D216:AF222 U235:AF235">
    <cfRule type="expression" dxfId="928" priority="238">
      <formula>AND(B$9&gt;=14/24,B$9&lt;20/24)</formula>
    </cfRule>
    <cfRule type="expression" dxfId="927" priority="239">
      <formula>AND(B$9&gt;=8/24,B$9&lt;14/24)</formula>
    </cfRule>
    <cfRule type="expression" dxfId="926" priority="240">
      <formula>B$9&lt;8/24</formula>
    </cfRule>
  </conditionalFormatting>
  <conditionalFormatting sqref="B17:AF23">
    <cfRule type="expression" dxfId="925" priority="59">
      <formula>B17&gt;$AG17</formula>
    </cfRule>
    <cfRule type="expression" dxfId="924" priority="60">
      <formula>B$9&gt;=20/24</formula>
    </cfRule>
  </conditionalFormatting>
  <conditionalFormatting sqref="B24:AF34">
    <cfRule type="expression" dxfId="923" priority="73">
      <formula>B24&gt;$AG24</formula>
    </cfRule>
  </conditionalFormatting>
  <conditionalFormatting sqref="B27:AF27">
    <cfRule type="expression" dxfId="922" priority="67">
      <formula>B$9&lt;8/24</formula>
    </cfRule>
    <cfRule type="expression" dxfId="921" priority="64">
      <formula>B$9&gt;=20/24</formula>
    </cfRule>
    <cfRule type="expression" dxfId="920" priority="65">
      <formula>AND(B$9&gt;=14/24,B$9&lt;20/24)</formula>
    </cfRule>
    <cfRule type="expression" dxfId="919" priority="66">
      <formula>AND(B$9&gt;=8/24,B$9&lt;14/24)</formula>
    </cfRule>
  </conditionalFormatting>
  <conditionalFormatting sqref="B36:AF37">
    <cfRule type="expression" dxfId="918" priority="95">
      <formula>B36&gt;$AG36</formula>
    </cfRule>
  </conditionalFormatting>
  <conditionalFormatting sqref="B37:AF37">
    <cfRule type="expression" dxfId="917" priority="112">
      <formula>B$9&lt;8/24</formula>
    </cfRule>
    <cfRule type="expression" dxfId="916" priority="111">
      <formula>AND(B$9&gt;=8/24,B$9&lt;14/24)</formula>
    </cfRule>
    <cfRule type="expression" dxfId="915" priority="110">
      <formula>AND(B$9&gt;=14/24,B$9&lt;20/24)</formula>
    </cfRule>
    <cfRule type="expression" dxfId="914" priority="109">
      <formula>B$9&gt;=20/24</formula>
    </cfRule>
  </conditionalFormatting>
  <conditionalFormatting sqref="B61:AF72">
    <cfRule type="expression" dxfId="913" priority="55">
      <formula>AND(B$9&gt;=14/24,B$9&lt;20/24)</formula>
    </cfRule>
    <cfRule type="expression" dxfId="912" priority="56">
      <formula>AND(B$9&gt;=8/24,B$9&lt;14/24)</formula>
    </cfRule>
    <cfRule type="expression" dxfId="911" priority="57">
      <formula>B$9&lt;8/24</formula>
    </cfRule>
    <cfRule type="expression" dxfId="910" priority="54">
      <formula>B$9&gt;=20/24</formula>
    </cfRule>
  </conditionalFormatting>
  <conditionalFormatting sqref="B81:AF97">
    <cfRule type="expression" dxfId="905" priority="34">
      <formula>AND(B$9&gt;=8/24,B$9&lt;14/24)</formula>
    </cfRule>
    <cfRule type="expression" dxfId="904" priority="33">
      <formula>AND(B$9&gt;=14/24,B$9&lt;20/24)</formula>
    </cfRule>
    <cfRule type="expression" dxfId="903" priority="32">
      <formula>B$9&gt;=20/24</formula>
    </cfRule>
    <cfRule type="expression" dxfId="902" priority="35">
      <formula>B$9&lt;8/24</formula>
    </cfRule>
  </conditionalFormatting>
  <conditionalFormatting sqref="B99:AF106">
    <cfRule type="expression" dxfId="901" priority="9">
      <formula>B$9&lt;8/24</formula>
    </cfRule>
    <cfRule type="expression" dxfId="900" priority="8">
      <formula>AND(B$9&gt;=8/24,B$9&lt;14/24)</formula>
    </cfRule>
    <cfRule type="expression" dxfId="899" priority="7">
      <formula>AND(B$9&gt;=14/24,B$9&lt;20/24)</formula>
    </cfRule>
    <cfRule type="expression" dxfId="898" priority="6">
      <formula>B$9&gt;=20/24</formula>
    </cfRule>
  </conditionalFormatting>
  <conditionalFormatting sqref="B38:AG38 B43:D47 E47:Q47 C55:AG56 B55:B60 C57:AF59 C60:AG60">
    <cfRule type="expression" dxfId="893" priority="86">
      <formula>B38&gt;$AG38</formula>
    </cfRule>
  </conditionalFormatting>
  <conditionalFormatting sqref="C39:AF41">
    <cfRule type="expression" dxfId="892" priority="45">
      <formula>C39&gt;$AG39</formula>
    </cfRule>
    <cfRule type="expression" dxfId="891" priority="47">
      <formula>AND(C$9&gt;=14/24,C$9&lt;20/24)</formula>
    </cfRule>
    <cfRule type="expression" dxfId="890" priority="46">
      <formula>C$9&gt;=20/24</formula>
    </cfRule>
    <cfRule type="expression" dxfId="889" priority="48">
      <formula>AND(C$9&gt;=8/24,C$9&lt;14/24)</formula>
    </cfRule>
    <cfRule type="expression" dxfId="888" priority="49">
      <formula>C$9&lt;8/24</formula>
    </cfRule>
  </conditionalFormatting>
  <conditionalFormatting sqref="C57:AF59 B57:B60 C60:AG60 B24:AF26 B73:B77 C77:AG77 B78:AF79">
    <cfRule type="expression" dxfId="887" priority="91">
      <formula>B$9&gt;=20/24</formula>
    </cfRule>
  </conditionalFormatting>
  <conditionalFormatting sqref="E44:M45">
    <cfRule type="expression" dxfId="886" priority="203">
      <formula>E$9&gt;=20/24</formula>
    </cfRule>
    <cfRule type="expression" dxfId="885" priority="204">
      <formula>AND(E$9&gt;=14/24,E$9&lt;20/24)</formula>
    </cfRule>
    <cfRule type="expression" dxfId="884" priority="205">
      <formula>AND(E$9&gt;=8/24,E$9&lt;14/24)</formula>
    </cfRule>
    <cfRule type="expression" dxfId="883" priority="206">
      <formula>E$9&lt;8/24</formula>
    </cfRule>
  </conditionalFormatting>
  <conditionalFormatting sqref="E43:N43 N44:N46 O46:Q46">
    <cfRule type="expression" dxfId="882" priority="164">
      <formula>AND(E$9&gt;=14/24,E$9&lt;20/24)</formula>
    </cfRule>
    <cfRule type="expression" dxfId="881" priority="166">
      <formula>E$9&lt;8/24</formula>
    </cfRule>
    <cfRule type="expression" dxfId="880" priority="165">
      <formula>AND(E$9&gt;=8/24,E$9&lt;14/24)</formula>
    </cfRule>
    <cfRule type="expression" dxfId="879" priority="163">
      <formula>E$9&gt;=20/24</formula>
    </cfRule>
  </conditionalFormatting>
  <conditionalFormatting sqref="E43:N46 O46:Q46">
    <cfRule type="expression" dxfId="878" priority="162">
      <formula>E43&gt;$AG43</formula>
    </cfRule>
  </conditionalFormatting>
  <conditionalFormatting sqref="O3:P3">
    <cfRule type="iconSet" priority="241">
      <iconSet iconSet="3TrafficLights2" reverse="1">
        <cfvo type="percent" val="0"/>
        <cfvo type="num" val="1"/>
        <cfvo type="num" val="1"/>
      </iconSet>
    </cfRule>
  </conditionalFormatting>
  <conditionalFormatting sqref="O43:AF45">
    <cfRule type="expression" dxfId="877" priority="117">
      <formula>O43&gt;$AG43</formula>
    </cfRule>
    <cfRule type="expression" dxfId="876" priority="121">
      <formula>O$9&lt;8/24</formula>
    </cfRule>
    <cfRule type="expression" dxfId="875" priority="120">
      <formula>AND(O$9&gt;=8/24,O$9&lt;14/24)</formula>
    </cfRule>
    <cfRule type="expression" dxfId="874" priority="119">
      <formula>AND(O$9&gt;=14/24,O$9&lt;20/24)</formula>
    </cfRule>
    <cfRule type="expression" dxfId="873" priority="118">
      <formula>O$9&gt;=20/24</formula>
    </cfRule>
  </conditionalFormatting>
  <conditionalFormatting sqref="R11:S11">
    <cfRule type="expression" dxfId="872" priority="189">
      <formula>R11&gt;$AG11</formula>
    </cfRule>
  </conditionalFormatting>
  <conditionalFormatting sqref="R11:S14 T12:AF14 C73:AF76">
    <cfRule type="expression" dxfId="871" priority="194">
      <formula>C$9&gt;=20/24</formula>
    </cfRule>
    <cfRule type="expression" dxfId="870" priority="195">
      <formula>AND(C$9&gt;=14/24,C$9&lt;20/24)</formula>
    </cfRule>
    <cfRule type="expression" dxfId="869" priority="196">
      <formula>AND(C$9&gt;=8/24,C$9&lt;14/24)</formula>
    </cfRule>
    <cfRule type="expression" dxfId="868" priority="197">
      <formula>C$9&lt;8/24</formula>
    </cfRule>
  </conditionalFormatting>
  <conditionalFormatting sqref="R46:AD54">
    <cfRule type="expression" dxfId="867" priority="3">
      <formula>AND(R$9&gt;=14/24,R$9&lt;20/24)</formula>
    </cfRule>
    <cfRule type="expression" dxfId="866" priority="5">
      <formula>R$9&lt;8/24</formula>
    </cfRule>
    <cfRule type="expression" dxfId="865" priority="4">
      <formula>AND(R$9&gt;=8/24,R$9&lt;14/24)</formula>
    </cfRule>
    <cfRule type="expression" dxfId="864" priority="2">
      <formula>R$9&gt;=20/24</formula>
    </cfRule>
  </conditionalFormatting>
  <conditionalFormatting sqref="R11:AF16 B35:AF35">
    <cfRule type="expression" dxfId="863" priority="231">
      <formula>B11&gt;$AG11</formula>
    </cfRule>
  </conditionalFormatting>
  <conditionalFormatting sqref="R15:AF16">
    <cfRule type="expression" dxfId="862" priority="183">
      <formula>AND(R$9&gt;=8/24,R$9&lt;14/24)</formula>
    </cfRule>
    <cfRule type="expression" dxfId="861" priority="181">
      <formula>R$9&gt;=20/24</formula>
    </cfRule>
    <cfRule type="expression" dxfId="860" priority="182">
      <formula>AND(R$9&gt;=14/24,R$9&lt;20/24)</formula>
    </cfRule>
    <cfRule type="expression" dxfId="859" priority="184">
      <formula>R$9&lt;8/24</formula>
    </cfRule>
  </conditionalFormatting>
  <conditionalFormatting sqref="R46:AF54">
    <cfRule type="expression" dxfId="858" priority="1">
      <formula>R46&gt;$AG46</formula>
    </cfRule>
  </conditionalFormatting>
  <conditionalFormatting sqref="S8 AB8 B8 M8">
    <cfRule type="expression" dxfId="857" priority="243">
      <formula>C$9&gt;=20/24</formula>
    </cfRule>
  </conditionalFormatting>
  <conditionalFormatting sqref="S8">
    <cfRule type="expression" dxfId="856" priority="212">
      <formula>U$9&gt;=20/24</formula>
    </cfRule>
    <cfRule type="expression" dxfId="855" priority="214">
      <formula>AND(U$9&gt;=8/24,U$9&lt;14/24)</formula>
    </cfRule>
    <cfRule type="expression" dxfId="854" priority="215">
      <formula>U$9&lt;8/24</formula>
    </cfRule>
    <cfRule type="expression" dxfId="853" priority="213">
      <formula>AND(U$9&gt;=14/24,U$9&lt;20/24)</formula>
    </cfRule>
  </conditionalFormatting>
  <conditionalFormatting sqref="T235">
    <cfRule type="expression" dxfId="852" priority="259">
      <formula>AX$9&lt;8/24</formula>
    </cfRule>
    <cfRule type="expression" dxfId="851" priority="256">
      <formula>AX$9&gt;=20/24</formula>
    </cfRule>
    <cfRule type="expression" dxfId="850" priority="257">
      <formula>AND(AX$9&gt;=14/24,AX$9&lt;20/24)</formula>
    </cfRule>
    <cfRule type="expression" dxfId="849" priority="258">
      <formula>AND(AX$9&gt;=8/24,AX$9&lt;14/24)</formula>
    </cfRule>
  </conditionalFormatting>
  <conditionalFormatting sqref="T11:AF11 B9:AF10 B214:AF214 B216:B222 D216:AF222 U235:AF235">
    <cfRule type="expression" dxfId="848" priority="237">
      <formula>B$9&gt;=20/24</formula>
    </cfRule>
  </conditionalFormatting>
  <conditionalFormatting sqref="T17:AF26">
    <cfRule type="expression" dxfId="847" priority="155">
      <formula>AND(T$9&gt;=14/24,T$9&lt;20/24)</formula>
    </cfRule>
    <cfRule type="expression" dxfId="846" priority="157">
      <formula>T$9&lt;8/24</formula>
    </cfRule>
    <cfRule type="expression" dxfId="845" priority="156">
      <formula>AND(T$9&gt;=8/24,T$9&lt;14/24)</formula>
    </cfRule>
  </conditionalFormatting>
  <conditionalFormatting sqref="T28:AF36">
    <cfRule type="expression" dxfId="844" priority="177">
      <formula>T$9&gt;=20/24</formula>
    </cfRule>
    <cfRule type="expression" dxfId="843" priority="178">
      <formula>AND(T$9&gt;=14/24,T$9&lt;20/24)</formula>
    </cfRule>
    <cfRule type="expression" dxfId="842" priority="180">
      <formula>T$9&lt;8/24</formula>
    </cfRule>
    <cfRule type="expression" dxfId="841" priority="179">
      <formula>AND(T$9&gt;=8/24,T$9&lt;14/24)</formula>
    </cfRule>
  </conditionalFormatting>
  <conditionalFormatting sqref="V3 AB3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840" priority="209">
      <formula>AND(AD$9&gt;=14/24,AD$9&lt;20/24)</formula>
    </cfRule>
    <cfRule type="expression" dxfId="839" priority="211">
      <formula>AD$9&lt;8/24</formula>
    </cfRule>
    <cfRule type="expression" dxfId="838" priority="210">
      <formula>AND(AD$9&gt;=8/24,AD$9&lt;14/24)</formula>
    </cfRule>
    <cfRule type="expression" dxfId="837" priority="208">
      <formula>AD$9&gt;=20/24</formula>
    </cfRule>
  </conditionalFormatting>
  <conditionalFormatting sqref="AE48:AF54">
    <cfRule type="expression" dxfId="836" priority="170">
      <formula>AND(AE$9&gt;=8/24,AE$9&lt;14/24)</formula>
    </cfRule>
    <cfRule type="expression" dxfId="835" priority="171">
      <formula>AE$9&lt;8/24</formula>
    </cfRule>
    <cfRule type="expression" dxfId="834" priority="169">
      <formula>AND(AE$9&gt;=14/24,AE$9&lt;20/24)</formula>
    </cfRule>
    <cfRule type="expression" dxfId="833" priority="168">
      <formula>AE$9&gt;=20/24</formula>
    </cfRule>
  </conditionalFormatting>
  <conditionalFormatting sqref="AG235">
    <cfRule type="expression" dxfId="832" priority="249">
      <formula>AND(B$9&gt;=14/24,B$9&lt;20/24)</formula>
    </cfRule>
    <cfRule type="expression" dxfId="831" priority="248">
      <formula>B$9&gt;=20/24</formula>
    </cfRule>
    <cfRule type="expression" dxfId="830" priority="250">
      <formula>AND(B$9&gt;=8/24,B$9&lt;14/24)</formula>
    </cfRule>
    <cfRule type="expression" dxfId="829" priority="251">
      <formula>B$9&lt;8/24</formula>
    </cfRule>
  </conditionalFormatting>
  <conditionalFormatting sqref="AH235:AX235">
    <cfRule type="expression" dxfId="828" priority="252">
      <formula>AG$9&gt;=20/24</formula>
    </cfRule>
    <cfRule type="expression" dxfId="827" priority="253">
      <formula>AND(AG$9&gt;=14/24,AG$9&lt;20/24)</formula>
    </cfRule>
    <cfRule type="expression" dxfId="826" priority="254">
      <formula>AND(AG$9&gt;=8/24,AG$9&lt;14/24)</formula>
    </cfRule>
    <cfRule type="expression" dxfId="825" priority="255">
      <formula>AG$9&lt;8/24</formula>
    </cfRule>
  </conditionalFormatting>
  <conditionalFormatting sqref="AL4:AL6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AL31">
    <cfRule type="iconSet" priority="31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228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AL35 AL7:AL30 AL32">
    <cfRule type="iconSet" priority="260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0" id="{CFCA960B-AEE8-4525-9616-ED9FB9C15A4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29" id="{529DD57E-E9B7-46BB-AB4B-4A384EB6580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8" id="{5BD8E935-D118-4A54-B5B8-EC0AB1D7B9F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7" id="{8738933E-E01D-49A5-BDC5-13245A8B3B0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18" id="{70D6FA6C-ABD7-4D74-B6BF-4D83BE5A023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9" id="{BA1ADE68-1DE4-4749-A4CA-DA5F261A0B8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" id="{65603947-305E-4AD9-822E-C392BCAD1249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" id="{975F1F08-9380-4FF5-9E78-0CEA7DF7437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B107:AF107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268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N107" sqref="N10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AG38</f>
        <v>665.78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AG56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2079/06/2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("&amp;ROUND(B239,0)&amp;" MW)"&amp;"    IPP   = "&amp;ROUND(B234,0)&amp;" MW     NEA RoR = "&amp;ROUND(B235,0)&amp;" MWImport   = "&amp;ROUND(B237,0)&amp;" MW      KL1+KL2+K3 = "&amp;ROUND(B236,0) &amp;" MW    EXPORT = "&amp;ROUND(B238,0)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AG60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C72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5.5</v>
      </c>
      <c r="Q5" s="148">
        <f t="shared" si="0"/>
        <v>10</v>
      </c>
      <c r="R5" s="148">
        <f t="shared" si="0"/>
        <v>15</v>
      </c>
      <c r="S5" s="148">
        <f t="shared" si="0"/>
        <v>52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0</v>
      </c>
      <c r="X5" s="148">
        <f t="shared" si="0"/>
        <v>36</v>
      </c>
      <c r="Y5" s="148">
        <f t="shared" si="0"/>
        <v>0</v>
      </c>
      <c r="Z5" s="148">
        <f t="shared" si="0"/>
        <v>0</v>
      </c>
      <c r="AA5" s="148">
        <f t="shared" si="0"/>
        <v>0</v>
      </c>
      <c r="AB5" s="148">
        <f t="shared" si="0"/>
        <v>0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B72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"&amp;ROUND(B239,0)&amp;"MW at "&amp;TRUNC(B240*24,0)&amp;":"&amp;ROUND((B240*24-TRUNC(B240*24,0))*60,0)&amp;"hr at "&amp;ROUND(B241,1)&amp;"Hz     "&amp;A231&amp;" "&amp;ROUND(B231,0)&amp;"MW at "&amp;TRUNC(C231*24,0)&amp;":"&amp;ROUND((C231*24-TRUNC(C231*24,0))*6,0)&amp;"0hr"</f>
        <v>Evening Peak 0MW at 0:0hr at 0Hz     Morning Peak 1559MW at 9:00hr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1261.69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Load=1275</v>
      </c>
      <c r="B7" s="137">
        <f t="shared" ref="B7:AF7" si="1">B79</f>
        <v>1333.04</v>
      </c>
      <c r="C7" s="137">
        <f t="shared" si="1"/>
        <v>1318.74</v>
      </c>
      <c r="D7" s="137">
        <f t="shared" si="1"/>
        <v>1292.54</v>
      </c>
      <c r="E7" s="137">
        <f t="shared" si="1"/>
        <v>1306.24</v>
      </c>
      <c r="F7" s="137">
        <f t="shared" si="1"/>
        <v>1275.1399999999999</v>
      </c>
      <c r="G7" s="137">
        <f t="shared" si="1"/>
        <v>1275.6399999999999</v>
      </c>
      <c r="H7" s="137">
        <f t="shared" si="1"/>
        <v>1275.6399999999999</v>
      </c>
      <c r="I7" s="137">
        <f t="shared" si="1"/>
        <v>1296.54</v>
      </c>
      <c r="J7" s="137">
        <f t="shared" si="1"/>
        <v>1311.74</v>
      </c>
      <c r="K7" s="137">
        <f t="shared" si="1"/>
        <v>1429.44</v>
      </c>
      <c r="L7" s="137">
        <f t="shared" si="1"/>
        <v>1483.24</v>
      </c>
      <c r="M7" s="137">
        <f t="shared" si="1"/>
        <v>1553.6399999999999</v>
      </c>
      <c r="N7" s="137">
        <f t="shared" si="1"/>
        <v>1559.44</v>
      </c>
      <c r="O7" s="137">
        <f t="shared" si="1"/>
        <v>1562.94</v>
      </c>
      <c r="P7" s="137">
        <f t="shared" si="1"/>
        <v>1558.44</v>
      </c>
      <c r="Q7" s="137">
        <f t="shared" si="1"/>
        <v>1576.1399999999999</v>
      </c>
      <c r="R7" s="137">
        <f t="shared" si="1"/>
        <v>1580.44</v>
      </c>
      <c r="S7" s="137">
        <f t="shared" si="1"/>
        <v>1585.44</v>
      </c>
      <c r="T7" s="137">
        <f t="shared" si="1"/>
        <v>1634.44</v>
      </c>
      <c r="U7" s="137">
        <f t="shared" si="1"/>
        <v>1595.74</v>
      </c>
      <c r="V7" s="137">
        <f t="shared" si="1"/>
        <v>1667.8400000000001</v>
      </c>
      <c r="W7" s="137">
        <f t="shared" si="1"/>
        <v>1667.8400000000001</v>
      </c>
      <c r="X7" s="137">
        <f t="shared" si="1"/>
        <v>1649.8400000000001</v>
      </c>
      <c r="Y7" s="137">
        <f t="shared" si="1"/>
        <v>1670.8400000000001</v>
      </c>
      <c r="Z7" s="137">
        <f t="shared" si="1"/>
        <v>1745.64</v>
      </c>
      <c r="AA7" s="137">
        <f t="shared" si="1"/>
        <v>1708.3400000000001</v>
      </c>
      <c r="AB7" s="137">
        <f t="shared" si="1"/>
        <v>1800.04</v>
      </c>
      <c r="AC7" s="137">
        <f t="shared" si="1"/>
        <v>1800.74</v>
      </c>
      <c r="AD7" s="137">
        <f t="shared" si="1"/>
        <v>1801.5400000000002</v>
      </c>
      <c r="AE7" s="137">
        <f t="shared" si="1"/>
        <v>1777.5400000000002</v>
      </c>
      <c r="AF7" s="137">
        <f t="shared" si="1"/>
        <v>1784.14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28">
        <v>53.7</v>
      </c>
      <c r="C11" s="128">
        <v>53.7</v>
      </c>
      <c r="D11" s="128">
        <v>53.7</v>
      </c>
      <c r="E11" s="128">
        <v>53.7</v>
      </c>
      <c r="F11" s="128">
        <v>53.7</v>
      </c>
      <c r="G11" s="128">
        <v>53.7</v>
      </c>
      <c r="H11" s="128">
        <v>53.7</v>
      </c>
      <c r="I11" s="128">
        <v>53.7</v>
      </c>
      <c r="J11" s="128">
        <v>53.7</v>
      </c>
      <c r="K11" s="128">
        <v>53.7</v>
      </c>
      <c r="L11" s="128">
        <v>53.7</v>
      </c>
      <c r="M11" s="128">
        <v>53.7</v>
      </c>
      <c r="N11" s="128">
        <v>53.7</v>
      </c>
      <c r="O11" s="105">
        <v>53.5</v>
      </c>
      <c r="P11" s="105">
        <v>53.5</v>
      </c>
      <c r="Q11" s="105">
        <v>53.5</v>
      </c>
      <c r="R11" s="105">
        <v>53.5</v>
      </c>
      <c r="S11" s="105">
        <v>53.5</v>
      </c>
      <c r="T11" s="105">
        <v>53.5</v>
      </c>
      <c r="U11" s="128">
        <v>26</v>
      </c>
      <c r="V11" s="128">
        <v>53.9</v>
      </c>
      <c r="W11" s="128">
        <v>53.9</v>
      </c>
      <c r="X11" s="128">
        <v>53.9</v>
      </c>
      <c r="Y11" s="128">
        <v>53.9</v>
      </c>
      <c r="Z11" s="128">
        <v>53.7</v>
      </c>
      <c r="AA11" s="128">
        <v>53.7</v>
      </c>
      <c r="AB11" s="128">
        <v>53.7</v>
      </c>
      <c r="AC11" s="128">
        <v>53.7</v>
      </c>
      <c r="AD11" s="128">
        <v>53.7</v>
      </c>
      <c r="AE11" s="128">
        <v>53.7</v>
      </c>
      <c r="AF11" s="128">
        <v>53.7</v>
      </c>
      <c r="AG11" s="127">
        <v>52.4</v>
      </c>
      <c r="AH11" s="20">
        <f t="shared" ref="AH11:AH74" si="2">MAX(B11:AF11)</f>
        <v>53.9</v>
      </c>
      <c r="AI11" s="19">
        <f t="shared" ref="AI11:AI74" si="3">MIN(B11:AF11)</f>
        <v>26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50.4</v>
      </c>
      <c r="C12" s="105">
        <v>50.5</v>
      </c>
      <c r="D12" s="105">
        <v>50.4</v>
      </c>
      <c r="E12" s="105">
        <v>50.4</v>
      </c>
      <c r="F12" s="105">
        <v>50.4</v>
      </c>
      <c r="G12" s="105">
        <v>50.4</v>
      </c>
      <c r="H12" s="105">
        <v>50.4</v>
      </c>
      <c r="I12" s="105">
        <v>50.4</v>
      </c>
      <c r="J12" s="105">
        <v>50.4</v>
      </c>
      <c r="K12" s="105">
        <v>50.4</v>
      </c>
      <c r="L12" s="105">
        <v>50.4</v>
      </c>
      <c r="M12" s="105">
        <v>50.4</v>
      </c>
      <c r="N12" s="105">
        <v>50.4</v>
      </c>
      <c r="O12" s="105">
        <v>50.5</v>
      </c>
      <c r="P12" s="105">
        <v>50.5</v>
      </c>
      <c r="Q12" s="105">
        <v>50.5</v>
      </c>
      <c r="R12" s="105">
        <v>50.5</v>
      </c>
      <c r="S12" s="105">
        <v>50.5</v>
      </c>
      <c r="T12" s="105">
        <v>50.5</v>
      </c>
      <c r="U12" s="105">
        <v>50.5</v>
      </c>
      <c r="V12" s="105">
        <v>50.5</v>
      </c>
      <c r="W12" s="105">
        <v>50.5</v>
      </c>
      <c r="X12" s="105">
        <v>50.5</v>
      </c>
      <c r="Y12" s="105">
        <v>50.5</v>
      </c>
      <c r="Z12" s="105">
        <v>50.3</v>
      </c>
      <c r="AA12" s="105">
        <v>50.3</v>
      </c>
      <c r="AB12" s="105">
        <v>50.3</v>
      </c>
      <c r="AC12" s="105">
        <v>50.3</v>
      </c>
      <c r="AD12" s="105">
        <v>50.3</v>
      </c>
      <c r="AE12" s="105">
        <v>50.3</v>
      </c>
      <c r="AF12" s="105">
        <v>50.3</v>
      </c>
      <c r="AG12" s="126">
        <v>50</v>
      </c>
      <c r="AH12" s="20">
        <f t="shared" si="2"/>
        <v>50.5</v>
      </c>
      <c r="AI12" s="19">
        <f t="shared" si="3"/>
        <v>50.3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37.200000000000003</v>
      </c>
      <c r="C13" s="105">
        <v>37.200000000000003</v>
      </c>
      <c r="D13" s="105">
        <v>37.200000000000003</v>
      </c>
      <c r="E13" s="105">
        <v>37.200000000000003</v>
      </c>
      <c r="F13" s="105">
        <v>37.200000000000003</v>
      </c>
      <c r="G13" s="105">
        <v>37.200000000000003</v>
      </c>
      <c r="H13" s="105">
        <v>37.200000000000003</v>
      </c>
      <c r="I13" s="105">
        <v>37.200000000000003</v>
      </c>
      <c r="J13" s="105">
        <v>37.200000000000003</v>
      </c>
      <c r="K13" s="105">
        <v>37.200000000000003</v>
      </c>
      <c r="L13" s="105">
        <v>37.200000000000003</v>
      </c>
      <c r="M13" s="105">
        <v>46</v>
      </c>
      <c r="N13" s="105">
        <v>46</v>
      </c>
      <c r="O13" s="105">
        <v>46</v>
      </c>
      <c r="P13" s="105">
        <v>46</v>
      </c>
      <c r="Q13" s="105">
        <v>46</v>
      </c>
      <c r="R13" s="105">
        <v>46</v>
      </c>
      <c r="S13" s="105">
        <v>46</v>
      </c>
      <c r="T13" s="105">
        <v>46</v>
      </c>
      <c r="U13" s="105">
        <v>46</v>
      </c>
      <c r="V13" s="105">
        <v>46</v>
      </c>
      <c r="W13" s="105">
        <v>46</v>
      </c>
      <c r="X13" s="105">
        <v>46</v>
      </c>
      <c r="Y13" s="105">
        <v>46</v>
      </c>
      <c r="Z13" s="105">
        <v>46.2</v>
      </c>
      <c r="AA13" s="105">
        <v>46.2</v>
      </c>
      <c r="AB13" s="105">
        <v>46.2</v>
      </c>
      <c r="AC13" s="105">
        <v>46.2</v>
      </c>
      <c r="AD13" s="105">
        <v>46.2</v>
      </c>
      <c r="AE13" s="105">
        <v>46.2</v>
      </c>
      <c r="AF13" s="105">
        <v>46.2</v>
      </c>
      <c r="AG13" s="126">
        <v>45</v>
      </c>
      <c r="AH13" s="20">
        <f t="shared" si="2"/>
        <v>46.2</v>
      </c>
      <c r="AI13" s="19">
        <f t="shared" si="3"/>
        <v>37.200000000000003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25</v>
      </c>
      <c r="C14" s="105">
        <v>25</v>
      </c>
      <c r="D14" s="105">
        <v>25</v>
      </c>
      <c r="E14" s="105">
        <v>25</v>
      </c>
      <c r="F14" s="105">
        <v>25</v>
      </c>
      <c r="G14" s="105">
        <v>25</v>
      </c>
      <c r="H14" s="105">
        <v>25</v>
      </c>
      <c r="I14" s="105">
        <v>25</v>
      </c>
      <c r="J14" s="105">
        <v>25</v>
      </c>
      <c r="K14" s="105">
        <v>25</v>
      </c>
      <c r="L14" s="105">
        <v>25</v>
      </c>
      <c r="M14" s="105">
        <v>35</v>
      </c>
      <c r="N14" s="105">
        <v>32</v>
      </c>
      <c r="O14" s="105">
        <v>28</v>
      </c>
      <c r="P14" s="105">
        <v>32</v>
      </c>
      <c r="Q14" s="105">
        <v>32</v>
      </c>
      <c r="R14" s="105">
        <v>32</v>
      </c>
      <c r="S14" s="105">
        <v>32</v>
      </c>
      <c r="T14" s="105">
        <v>28</v>
      </c>
      <c r="U14" s="105">
        <v>28</v>
      </c>
      <c r="V14" s="105">
        <v>28</v>
      </c>
      <c r="W14" s="105">
        <v>28</v>
      </c>
      <c r="X14" s="105">
        <v>28</v>
      </c>
      <c r="Y14" s="105">
        <v>28</v>
      </c>
      <c r="Z14" s="105">
        <v>32</v>
      </c>
      <c r="AA14" s="105">
        <v>32</v>
      </c>
      <c r="AB14" s="105">
        <v>32</v>
      </c>
      <c r="AC14" s="105">
        <v>32</v>
      </c>
      <c r="AD14" s="105">
        <v>32</v>
      </c>
      <c r="AE14" s="105">
        <v>30</v>
      </c>
      <c r="AF14" s="105">
        <v>30</v>
      </c>
      <c r="AG14" s="126">
        <v>42</v>
      </c>
      <c r="AH14" s="20">
        <f t="shared" si="2"/>
        <v>35</v>
      </c>
      <c r="AI14" s="19">
        <f t="shared" si="3"/>
        <v>25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0</v>
      </c>
      <c r="N15" s="105">
        <v>15</v>
      </c>
      <c r="O15" s="105">
        <v>20</v>
      </c>
      <c r="P15" s="105">
        <v>12</v>
      </c>
      <c r="Q15" s="105">
        <v>12</v>
      </c>
      <c r="R15" s="105">
        <v>12</v>
      </c>
      <c r="S15" s="105">
        <v>12</v>
      </c>
      <c r="T15" s="105">
        <v>28</v>
      </c>
      <c r="U15" s="105">
        <v>28</v>
      </c>
      <c r="V15" s="105">
        <v>28</v>
      </c>
      <c r="W15" s="105">
        <v>28</v>
      </c>
      <c r="X15" s="105">
        <v>10</v>
      </c>
      <c r="Y15" s="105">
        <v>29</v>
      </c>
      <c r="Z15" s="105">
        <v>29</v>
      </c>
      <c r="AA15" s="105">
        <v>29</v>
      </c>
      <c r="AB15" s="105">
        <v>30</v>
      </c>
      <c r="AC15" s="105">
        <v>30</v>
      </c>
      <c r="AD15" s="105">
        <v>30</v>
      </c>
      <c r="AE15" s="105">
        <v>15</v>
      </c>
      <c r="AF15" s="105">
        <v>15</v>
      </c>
      <c r="AG15" s="96">
        <v>30</v>
      </c>
      <c r="AH15" s="20">
        <f t="shared" si="2"/>
        <v>30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217</v>
      </c>
      <c r="B16" s="105">
        <v>25</v>
      </c>
      <c r="C16" s="105">
        <v>25</v>
      </c>
      <c r="D16" s="105">
        <v>25</v>
      </c>
      <c r="E16" s="105">
        <v>25</v>
      </c>
      <c r="F16" s="105">
        <v>25</v>
      </c>
      <c r="G16" s="105">
        <v>25</v>
      </c>
      <c r="H16" s="105">
        <v>25</v>
      </c>
      <c r="I16" s="105">
        <v>25</v>
      </c>
      <c r="J16" s="105">
        <v>25</v>
      </c>
      <c r="K16" s="105">
        <v>25</v>
      </c>
      <c r="L16" s="105">
        <v>25</v>
      </c>
      <c r="M16" s="105">
        <v>25</v>
      </c>
      <c r="N16" s="105">
        <v>25</v>
      </c>
      <c r="O16" s="105">
        <v>25</v>
      </c>
      <c r="P16" s="105">
        <v>25</v>
      </c>
      <c r="Q16" s="105">
        <v>25</v>
      </c>
      <c r="R16" s="105">
        <v>25</v>
      </c>
      <c r="S16" s="105">
        <v>25</v>
      </c>
      <c r="T16" s="105">
        <v>25</v>
      </c>
      <c r="U16" s="105">
        <v>25</v>
      </c>
      <c r="V16" s="105">
        <v>25</v>
      </c>
      <c r="W16" s="105">
        <v>25</v>
      </c>
      <c r="X16" s="105">
        <v>25</v>
      </c>
      <c r="Y16" s="105">
        <v>25</v>
      </c>
      <c r="Z16" s="105">
        <v>25</v>
      </c>
      <c r="AA16" s="105">
        <v>25</v>
      </c>
      <c r="AB16" s="105">
        <v>25</v>
      </c>
      <c r="AC16" s="105">
        <v>25</v>
      </c>
      <c r="AD16" s="105">
        <v>25</v>
      </c>
      <c r="AE16" s="105">
        <v>25</v>
      </c>
      <c r="AF16" s="105">
        <v>25</v>
      </c>
      <c r="AG16" s="126">
        <v>25</v>
      </c>
      <c r="AH16" s="20">
        <f t="shared" si="2"/>
        <v>25</v>
      </c>
      <c r="AI16" s="19">
        <f t="shared" si="3"/>
        <v>25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216</v>
      </c>
      <c r="B17" s="105">
        <v>25</v>
      </c>
      <c r="C17" s="105">
        <v>25</v>
      </c>
      <c r="D17" s="105">
        <v>25</v>
      </c>
      <c r="E17" s="105">
        <v>25</v>
      </c>
      <c r="F17" s="105">
        <v>25</v>
      </c>
      <c r="G17" s="105">
        <v>25</v>
      </c>
      <c r="H17" s="105">
        <v>25</v>
      </c>
      <c r="I17" s="105">
        <v>25</v>
      </c>
      <c r="J17" s="105">
        <v>25</v>
      </c>
      <c r="K17" s="105">
        <v>0</v>
      </c>
      <c r="L17" s="105">
        <v>0</v>
      </c>
      <c r="M17" s="105">
        <v>0</v>
      </c>
      <c r="N17" s="105">
        <v>0</v>
      </c>
      <c r="O17" s="105">
        <v>0</v>
      </c>
      <c r="P17" s="105">
        <v>0</v>
      </c>
      <c r="Q17" s="105">
        <v>12.5</v>
      </c>
      <c r="R17" s="105">
        <v>12.5</v>
      </c>
      <c r="S17" s="105">
        <v>12.5</v>
      </c>
      <c r="T17" s="105">
        <v>12.5</v>
      </c>
      <c r="U17" s="105">
        <v>25</v>
      </c>
      <c r="V17" s="105">
        <v>25</v>
      </c>
      <c r="W17" s="105">
        <v>25</v>
      </c>
      <c r="X17" s="105">
        <v>25</v>
      </c>
      <c r="Y17" s="105">
        <v>13</v>
      </c>
      <c r="Z17" s="105">
        <v>25</v>
      </c>
      <c r="AA17" s="105">
        <v>25</v>
      </c>
      <c r="AB17" s="105">
        <v>25</v>
      </c>
      <c r="AC17" s="105">
        <v>25</v>
      </c>
      <c r="AD17" s="105">
        <v>25</v>
      </c>
      <c r="AE17" s="105">
        <v>25</v>
      </c>
      <c r="AF17" s="105">
        <v>25</v>
      </c>
      <c r="AG17" s="126">
        <v>25</v>
      </c>
      <c r="AH17" s="20">
        <f t="shared" si="2"/>
        <v>25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215</v>
      </c>
      <c r="B18" s="105">
        <v>25</v>
      </c>
      <c r="C18" s="105">
        <v>25</v>
      </c>
      <c r="D18" s="105">
        <v>25</v>
      </c>
      <c r="E18" s="105">
        <v>25</v>
      </c>
      <c r="F18" s="105">
        <v>25</v>
      </c>
      <c r="G18" s="105">
        <v>25</v>
      </c>
      <c r="H18" s="105">
        <v>25</v>
      </c>
      <c r="I18" s="105">
        <v>25</v>
      </c>
      <c r="J18" s="105">
        <v>25</v>
      </c>
      <c r="K18" s="105">
        <v>25</v>
      </c>
      <c r="L18" s="105">
        <v>25</v>
      </c>
      <c r="M18" s="105">
        <v>25</v>
      </c>
      <c r="N18" s="105">
        <v>25</v>
      </c>
      <c r="O18" s="105">
        <v>25</v>
      </c>
      <c r="P18" s="105">
        <v>25</v>
      </c>
      <c r="Q18" s="105">
        <v>25</v>
      </c>
      <c r="R18" s="105">
        <v>25</v>
      </c>
      <c r="S18" s="105">
        <v>25</v>
      </c>
      <c r="T18" s="105">
        <v>25</v>
      </c>
      <c r="U18" s="105">
        <v>25</v>
      </c>
      <c r="V18" s="105">
        <v>25</v>
      </c>
      <c r="W18" s="105">
        <v>25</v>
      </c>
      <c r="X18" s="105">
        <v>25</v>
      </c>
      <c r="Y18" s="105">
        <v>25</v>
      </c>
      <c r="Z18" s="105">
        <v>25</v>
      </c>
      <c r="AA18" s="105">
        <v>25</v>
      </c>
      <c r="AB18" s="105">
        <v>25</v>
      </c>
      <c r="AC18" s="105">
        <v>25</v>
      </c>
      <c r="AD18" s="105">
        <v>25</v>
      </c>
      <c r="AE18" s="105">
        <v>25</v>
      </c>
      <c r="AF18" s="105">
        <v>25</v>
      </c>
      <c r="AG18" s="126">
        <v>25</v>
      </c>
      <c r="AH18" s="20">
        <f t="shared" si="2"/>
        <v>25</v>
      </c>
      <c r="AI18" s="19">
        <f t="shared" si="3"/>
        <v>25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214</v>
      </c>
      <c r="B19" s="105">
        <v>25</v>
      </c>
      <c r="C19" s="105">
        <v>25</v>
      </c>
      <c r="D19" s="105">
        <v>25</v>
      </c>
      <c r="E19" s="105">
        <v>25</v>
      </c>
      <c r="F19" s="105">
        <v>25</v>
      </c>
      <c r="G19" s="105">
        <v>25</v>
      </c>
      <c r="H19" s="105">
        <v>25</v>
      </c>
      <c r="I19" s="105">
        <v>25</v>
      </c>
      <c r="J19" s="105">
        <v>25</v>
      </c>
      <c r="K19" s="105">
        <v>25</v>
      </c>
      <c r="L19" s="105">
        <v>25</v>
      </c>
      <c r="M19" s="105">
        <v>25</v>
      </c>
      <c r="N19" s="105" t="s">
        <v>242</v>
      </c>
      <c r="O19" s="105" t="s">
        <v>243</v>
      </c>
      <c r="P19" s="105" t="s">
        <v>244</v>
      </c>
      <c r="Q19" s="105" t="s">
        <v>245</v>
      </c>
      <c r="R19" s="105" t="s">
        <v>246</v>
      </c>
      <c r="S19" s="105" t="s">
        <v>247</v>
      </c>
      <c r="T19" s="105" t="s">
        <v>248</v>
      </c>
      <c r="U19" s="105" t="s">
        <v>249</v>
      </c>
      <c r="V19" s="105" t="s">
        <v>250</v>
      </c>
      <c r="W19" s="105" t="s">
        <v>251</v>
      </c>
      <c r="X19" s="105" t="s">
        <v>252</v>
      </c>
      <c r="Y19" s="105" t="s">
        <v>253</v>
      </c>
      <c r="Z19" s="105">
        <v>33.200000000000003</v>
      </c>
      <c r="AA19" s="105">
        <v>33.200000000000003</v>
      </c>
      <c r="AB19" s="105">
        <v>33.200000000000003</v>
      </c>
      <c r="AC19" s="105">
        <v>33.200000000000003</v>
      </c>
      <c r="AD19" s="105">
        <v>33.200000000000003</v>
      </c>
      <c r="AE19" s="105">
        <v>33.200000000000003</v>
      </c>
      <c r="AF19" s="105">
        <v>33.200000000000003</v>
      </c>
      <c r="AG19" s="126">
        <v>24.2</v>
      </c>
      <c r="AH19" s="20">
        <f t="shared" si="2"/>
        <v>33.200000000000003</v>
      </c>
      <c r="AI19" s="19">
        <f t="shared" si="3"/>
        <v>25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213</v>
      </c>
      <c r="B20" s="105">
        <v>23.5</v>
      </c>
      <c r="C20" s="105">
        <v>23.5</v>
      </c>
      <c r="D20" s="105">
        <v>23.5</v>
      </c>
      <c r="E20" s="105">
        <v>23.5</v>
      </c>
      <c r="F20" s="105">
        <v>23.5</v>
      </c>
      <c r="G20" s="105">
        <v>23.5</v>
      </c>
      <c r="H20" s="105">
        <v>23.5</v>
      </c>
      <c r="I20" s="105">
        <v>23.5</v>
      </c>
      <c r="J20" s="105">
        <v>23.5</v>
      </c>
      <c r="K20" s="105">
        <v>23</v>
      </c>
      <c r="L20" s="105">
        <v>23</v>
      </c>
      <c r="M20" s="105">
        <v>23</v>
      </c>
      <c r="N20" s="105">
        <v>23</v>
      </c>
      <c r="O20" s="105">
        <v>23</v>
      </c>
      <c r="P20" s="105">
        <v>23</v>
      </c>
      <c r="Q20" s="105">
        <v>23</v>
      </c>
      <c r="R20" s="105">
        <v>23</v>
      </c>
      <c r="S20" s="105">
        <v>23</v>
      </c>
      <c r="T20" s="105">
        <v>23</v>
      </c>
      <c r="U20" s="105">
        <v>23</v>
      </c>
      <c r="V20" s="105">
        <v>23</v>
      </c>
      <c r="W20" s="105">
        <v>23</v>
      </c>
      <c r="X20" s="105">
        <v>23</v>
      </c>
      <c r="Y20" s="105">
        <v>23</v>
      </c>
      <c r="Z20" s="105">
        <v>23.5</v>
      </c>
      <c r="AA20" s="105">
        <v>23.5</v>
      </c>
      <c r="AB20" s="105">
        <v>23.5</v>
      </c>
      <c r="AC20" s="105">
        <v>23.5</v>
      </c>
      <c r="AD20" s="105">
        <v>23.5</v>
      </c>
      <c r="AE20" s="105">
        <v>23.5</v>
      </c>
      <c r="AF20" s="105">
        <v>23.5</v>
      </c>
      <c r="AG20" s="126">
        <v>23.5</v>
      </c>
      <c r="AH20" s="20">
        <f t="shared" si="2"/>
        <v>23.5</v>
      </c>
      <c r="AI20" s="19">
        <f t="shared" si="3"/>
        <v>23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212</v>
      </c>
      <c r="B21" s="105">
        <v>19</v>
      </c>
      <c r="C21" s="105">
        <v>19</v>
      </c>
      <c r="D21" s="105">
        <v>19</v>
      </c>
      <c r="E21" s="105">
        <v>19</v>
      </c>
      <c r="F21" s="105">
        <v>19</v>
      </c>
      <c r="G21" s="105">
        <v>19</v>
      </c>
      <c r="H21" s="105">
        <v>19</v>
      </c>
      <c r="I21" s="105">
        <v>19</v>
      </c>
      <c r="J21" s="105">
        <v>19</v>
      </c>
      <c r="K21" s="105">
        <v>19</v>
      </c>
      <c r="L21" s="105">
        <v>19</v>
      </c>
      <c r="M21" s="105">
        <v>19</v>
      </c>
      <c r="N21" s="105">
        <v>19</v>
      </c>
      <c r="O21" s="105">
        <v>19</v>
      </c>
      <c r="P21" s="105">
        <v>19</v>
      </c>
      <c r="Q21" s="105">
        <v>19</v>
      </c>
      <c r="R21" s="105">
        <v>19</v>
      </c>
      <c r="S21" s="105">
        <v>19</v>
      </c>
      <c r="T21" s="105">
        <v>19</v>
      </c>
      <c r="U21" s="105">
        <v>19</v>
      </c>
      <c r="V21" s="105">
        <v>19</v>
      </c>
      <c r="W21" s="105">
        <v>19</v>
      </c>
      <c r="X21" s="105">
        <v>19</v>
      </c>
      <c r="Y21" s="105">
        <v>19</v>
      </c>
      <c r="Z21" s="105">
        <v>22</v>
      </c>
      <c r="AA21" s="105">
        <v>22</v>
      </c>
      <c r="AB21" s="105">
        <v>22</v>
      </c>
      <c r="AC21" s="105">
        <v>22</v>
      </c>
      <c r="AD21" s="105">
        <v>22</v>
      </c>
      <c r="AE21" s="105">
        <v>22</v>
      </c>
      <c r="AF21" s="105">
        <v>22</v>
      </c>
      <c r="AG21" s="126">
        <v>22.2</v>
      </c>
      <c r="AH21" s="20">
        <f t="shared" si="2"/>
        <v>22</v>
      </c>
      <c r="AI21" s="19">
        <f t="shared" si="3"/>
        <v>19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211</v>
      </c>
      <c r="B22" s="105">
        <v>22</v>
      </c>
      <c r="C22" s="105">
        <v>22</v>
      </c>
      <c r="D22" s="105">
        <v>22</v>
      </c>
      <c r="E22" s="105">
        <v>22</v>
      </c>
      <c r="F22" s="105">
        <v>22</v>
      </c>
      <c r="G22" s="105">
        <v>22</v>
      </c>
      <c r="H22" s="105">
        <v>22</v>
      </c>
      <c r="I22" s="105">
        <v>22</v>
      </c>
      <c r="J22" s="105">
        <v>22</v>
      </c>
      <c r="K22" s="105">
        <v>22</v>
      </c>
      <c r="L22" s="105">
        <v>22</v>
      </c>
      <c r="M22" s="105">
        <v>22</v>
      </c>
      <c r="N22" s="105">
        <v>22</v>
      </c>
      <c r="O22" s="105">
        <v>22</v>
      </c>
      <c r="P22" s="105">
        <v>22</v>
      </c>
      <c r="Q22" s="105">
        <v>22</v>
      </c>
      <c r="R22" s="105">
        <v>22</v>
      </c>
      <c r="S22" s="105">
        <v>22</v>
      </c>
      <c r="T22" s="105">
        <v>22</v>
      </c>
      <c r="U22" s="105">
        <v>22</v>
      </c>
      <c r="V22" s="105">
        <v>22</v>
      </c>
      <c r="W22" s="105">
        <v>22</v>
      </c>
      <c r="X22" s="105">
        <v>22</v>
      </c>
      <c r="Y22" s="105">
        <v>22</v>
      </c>
      <c r="Z22" s="105">
        <v>22</v>
      </c>
      <c r="AA22" s="105">
        <v>22</v>
      </c>
      <c r="AB22" s="105">
        <v>22</v>
      </c>
      <c r="AC22" s="105">
        <v>22</v>
      </c>
      <c r="AD22" s="105">
        <v>22</v>
      </c>
      <c r="AE22" s="105">
        <v>22</v>
      </c>
      <c r="AF22" s="105">
        <v>22</v>
      </c>
      <c r="AG22" s="126">
        <v>22.1</v>
      </c>
      <c r="AH22" s="20">
        <f t="shared" si="2"/>
        <v>22</v>
      </c>
      <c r="AI22" s="19">
        <f t="shared" si="3"/>
        <v>22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210</v>
      </c>
      <c r="B23" s="105">
        <v>22</v>
      </c>
      <c r="C23" s="105">
        <v>22</v>
      </c>
      <c r="D23" s="105">
        <v>22</v>
      </c>
      <c r="E23" s="105">
        <v>22</v>
      </c>
      <c r="F23" s="105">
        <v>22</v>
      </c>
      <c r="G23" s="105">
        <v>22</v>
      </c>
      <c r="H23" s="105">
        <v>22</v>
      </c>
      <c r="I23" s="105">
        <v>22</v>
      </c>
      <c r="J23" s="105">
        <v>22</v>
      </c>
      <c r="K23" s="105">
        <v>22</v>
      </c>
      <c r="L23" s="105">
        <v>22</v>
      </c>
      <c r="M23" s="105">
        <v>22</v>
      </c>
      <c r="N23" s="105">
        <v>22</v>
      </c>
      <c r="O23" s="105">
        <v>22</v>
      </c>
      <c r="P23" s="105">
        <v>22</v>
      </c>
      <c r="Q23" s="105">
        <v>22</v>
      </c>
      <c r="R23" s="105">
        <v>22</v>
      </c>
      <c r="S23" s="105">
        <v>22</v>
      </c>
      <c r="T23" s="105">
        <v>22</v>
      </c>
      <c r="U23" s="105">
        <v>22</v>
      </c>
      <c r="V23" s="105">
        <v>22</v>
      </c>
      <c r="W23" s="105">
        <v>22</v>
      </c>
      <c r="X23" s="105">
        <v>22</v>
      </c>
      <c r="Y23" s="105">
        <v>22</v>
      </c>
      <c r="Z23" s="105">
        <v>22</v>
      </c>
      <c r="AA23" s="105">
        <v>22</v>
      </c>
      <c r="AB23" s="105">
        <v>22</v>
      </c>
      <c r="AC23" s="105">
        <v>22</v>
      </c>
      <c r="AD23" s="105">
        <v>22</v>
      </c>
      <c r="AE23" s="105">
        <v>22</v>
      </c>
      <c r="AF23" s="105">
        <v>22</v>
      </c>
      <c r="AG23" s="126">
        <v>22</v>
      </c>
      <c r="AH23" s="20">
        <f t="shared" si="2"/>
        <v>22</v>
      </c>
      <c r="AI23" s="19">
        <f t="shared" si="3"/>
        <v>22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209</v>
      </c>
      <c r="B24" s="105">
        <v>22</v>
      </c>
      <c r="C24" s="105">
        <v>22</v>
      </c>
      <c r="D24" s="105">
        <v>22</v>
      </c>
      <c r="E24" s="105">
        <v>22</v>
      </c>
      <c r="F24" s="105">
        <v>22</v>
      </c>
      <c r="G24" s="105">
        <v>22</v>
      </c>
      <c r="H24" s="105">
        <v>22</v>
      </c>
      <c r="I24" s="105">
        <v>22</v>
      </c>
      <c r="J24" s="105">
        <v>22</v>
      </c>
      <c r="K24" s="105">
        <v>22</v>
      </c>
      <c r="L24" s="105">
        <v>22</v>
      </c>
      <c r="M24" s="105">
        <v>22</v>
      </c>
      <c r="N24" s="105">
        <v>22</v>
      </c>
      <c r="O24" s="105">
        <v>22</v>
      </c>
      <c r="P24" s="105">
        <v>22</v>
      </c>
      <c r="Q24" s="105">
        <v>22</v>
      </c>
      <c r="R24" s="105">
        <v>22</v>
      </c>
      <c r="S24" s="105">
        <v>22</v>
      </c>
      <c r="T24" s="105">
        <v>22</v>
      </c>
      <c r="U24" s="105">
        <v>16</v>
      </c>
      <c r="V24" s="105">
        <v>16</v>
      </c>
      <c r="W24" s="105">
        <v>16</v>
      </c>
      <c r="X24" s="105">
        <v>16</v>
      </c>
      <c r="Y24" s="105">
        <v>16</v>
      </c>
      <c r="Z24" s="105">
        <v>22</v>
      </c>
      <c r="AA24" s="105">
        <v>22</v>
      </c>
      <c r="AB24" s="105">
        <v>22</v>
      </c>
      <c r="AC24" s="105">
        <v>22</v>
      </c>
      <c r="AD24" s="105">
        <v>22</v>
      </c>
      <c r="AE24" s="105">
        <v>22</v>
      </c>
      <c r="AF24" s="105">
        <v>22</v>
      </c>
      <c r="AG24" s="126">
        <v>22</v>
      </c>
      <c r="AH24" s="20">
        <f t="shared" si="2"/>
        <v>22</v>
      </c>
      <c r="AI24" s="19">
        <f t="shared" si="3"/>
        <v>16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208</v>
      </c>
      <c r="B25" s="105">
        <v>0</v>
      </c>
      <c r="C25" s="105">
        <v>0</v>
      </c>
      <c r="D25" s="105">
        <v>0</v>
      </c>
      <c r="E25" s="105">
        <v>0</v>
      </c>
      <c r="F25" s="105">
        <v>0</v>
      </c>
      <c r="G25" s="105">
        <v>0</v>
      </c>
      <c r="H25" s="105">
        <v>0</v>
      </c>
      <c r="I25" s="105">
        <v>0</v>
      </c>
      <c r="J25" s="105">
        <v>0</v>
      </c>
      <c r="K25" s="105">
        <v>0</v>
      </c>
      <c r="L25" s="105">
        <v>0</v>
      </c>
      <c r="M25" s="105">
        <v>10</v>
      </c>
      <c r="N25" s="105">
        <v>7</v>
      </c>
      <c r="O25" s="105">
        <v>7</v>
      </c>
      <c r="P25" s="105">
        <v>7</v>
      </c>
      <c r="Q25" s="105">
        <v>7</v>
      </c>
      <c r="R25" s="105">
        <v>7</v>
      </c>
      <c r="S25" s="105">
        <v>7</v>
      </c>
      <c r="T25" s="105">
        <v>7</v>
      </c>
      <c r="U25" s="105">
        <v>7</v>
      </c>
      <c r="V25" s="105">
        <v>7</v>
      </c>
      <c r="W25" s="105">
        <v>7</v>
      </c>
      <c r="X25" s="105">
        <v>7</v>
      </c>
      <c r="Y25" s="105">
        <v>15</v>
      </c>
      <c r="Z25" s="105">
        <v>10</v>
      </c>
      <c r="AA25" s="105">
        <v>10</v>
      </c>
      <c r="AB25" s="105">
        <v>10</v>
      </c>
      <c r="AC25" s="105">
        <v>10</v>
      </c>
      <c r="AD25" s="105">
        <v>10</v>
      </c>
      <c r="AE25" s="105">
        <v>10</v>
      </c>
      <c r="AF25" s="105">
        <v>10</v>
      </c>
      <c r="AG25" s="126">
        <v>20</v>
      </c>
      <c r="AH25" s="20">
        <f t="shared" si="2"/>
        <v>15</v>
      </c>
      <c r="AI25" s="19">
        <f t="shared" si="3"/>
        <v>0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207</v>
      </c>
      <c r="B26" s="105">
        <v>14</v>
      </c>
      <c r="C26" s="105">
        <v>14</v>
      </c>
      <c r="D26" s="105">
        <v>14</v>
      </c>
      <c r="E26" s="105">
        <v>14</v>
      </c>
      <c r="F26" s="105">
        <v>14</v>
      </c>
      <c r="G26" s="105">
        <v>14</v>
      </c>
      <c r="H26" s="105">
        <v>14</v>
      </c>
      <c r="I26" s="105">
        <v>14</v>
      </c>
      <c r="J26" s="105">
        <v>14</v>
      </c>
      <c r="K26" s="105">
        <v>14</v>
      </c>
      <c r="L26" s="105">
        <v>14</v>
      </c>
      <c r="M26" s="105">
        <v>14</v>
      </c>
      <c r="N26" s="105">
        <v>14</v>
      </c>
      <c r="O26" s="105">
        <v>14</v>
      </c>
      <c r="P26" s="105">
        <v>14</v>
      </c>
      <c r="Q26" s="105">
        <v>14</v>
      </c>
      <c r="R26" s="105">
        <v>14</v>
      </c>
      <c r="S26" s="105">
        <v>14</v>
      </c>
      <c r="T26" s="105">
        <v>14</v>
      </c>
      <c r="U26" s="105">
        <v>14</v>
      </c>
      <c r="V26" s="105">
        <v>14</v>
      </c>
      <c r="W26" s="105">
        <v>14</v>
      </c>
      <c r="X26" s="105">
        <v>14</v>
      </c>
      <c r="Y26" s="105">
        <v>14</v>
      </c>
      <c r="Z26" s="105">
        <v>14</v>
      </c>
      <c r="AA26" s="105">
        <v>14</v>
      </c>
      <c r="AB26" s="105">
        <v>14</v>
      </c>
      <c r="AC26" s="105">
        <v>14</v>
      </c>
      <c r="AD26" s="105">
        <v>14</v>
      </c>
      <c r="AE26" s="105">
        <v>14</v>
      </c>
      <c r="AF26" s="105">
        <v>14</v>
      </c>
      <c r="AG26" s="126">
        <v>14.9</v>
      </c>
      <c r="AH26" s="20">
        <f t="shared" si="2"/>
        <v>14</v>
      </c>
      <c r="AI26" s="19">
        <f t="shared" si="3"/>
        <v>14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206</v>
      </c>
      <c r="B27" s="105">
        <v>6</v>
      </c>
      <c r="C27" s="105">
        <v>6</v>
      </c>
      <c r="D27" s="105">
        <v>6</v>
      </c>
      <c r="E27" s="105">
        <v>6</v>
      </c>
      <c r="F27" s="105">
        <v>6</v>
      </c>
      <c r="G27" s="105">
        <v>6</v>
      </c>
      <c r="H27" s="105">
        <v>6</v>
      </c>
      <c r="I27" s="105">
        <v>6</v>
      </c>
      <c r="J27" s="105">
        <v>6</v>
      </c>
      <c r="K27" s="105">
        <v>6</v>
      </c>
      <c r="L27" s="105">
        <v>6</v>
      </c>
      <c r="M27" s="105">
        <v>6</v>
      </c>
      <c r="N27" s="105">
        <v>6</v>
      </c>
      <c r="O27" s="105">
        <v>6</v>
      </c>
      <c r="P27" s="105">
        <v>6</v>
      </c>
      <c r="Q27" s="105">
        <v>6</v>
      </c>
      <c r="R27" s="105">
        <v>6</v>
      </c>
      <c r="S27" s="105">
        <v>6</v>
      </c>
      <c r="T27" s="105">
        <v>6</v>
      </c>
      <c r="U27" s="105">
        <v>6</v>
      </c>
      <c r="V27" s="105">
        <v>6</v>
      </c>
      <c r="W27" s="105">
        <v>6</v>
      </c>
      <c r="X27" s="105">
        <v>6</v>
      </c>
      <c r="Y27" s="105">
        <v>6</v>
      </c>
      <c r="Z27" s="105">
        <v>13</v>
      </c>
      <c r="AA27" s="105">
        <v>13</v>
      </c>
      <c r="AB27" s="105">
        <v>13</v>
      </c>
      <c r="AC27" s="105">
        <v>13</v>
      </c>
      <c r="AD27" s="105">
        <v>13</v>
      </c>
      <c r="AE27" s="105">
        <v>13</v>
      </c>
      <c r="AF27" s="105">
        <v>13</v>
      </c>
      <c r="AG27" s="126">
        <v>13.6</v>
      </c>
      <c r="AH27" s="20">
        <f t="shared" si="2"/>
        <v>13</v>
      </c>
      <c r="AI27" s="19">
        <f t="shared" si="3"/>
        <v>6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205</v>
      </c>
      <c r="B28" s="105">
        <v>10</v>
      </c>
      <c r="C28" s="105">
        <v>10</v>
      </c>
      <c r="D28" s="105">
        <v>10</v>
      </c>
      <c r="E28" s="105">
        <v>10</v>
      </c>
      <c r="F28" s="105">
        <v>10</v>
      </c>
      <c r="G28" s="105">
        <v>10</v>
      </c>
      <c r="H28" s="105">
        <v>10</v>
      </c>
      <c r="I28" s="105">
        <v>10</v>
      </c>
      <c r="J28" s="105">
        <v>10</v>
      </c>
      <c r="K28" s="105">
        <v>10</v>
      </c>
      <c r="L28" s="105">
        <v>10</v>
      </c>
      <c r="M28" s="105">
        <v>10</v>
      </c>
      <c r="N28" s="105">
        <v>10</v>
      </c>
      <c r="O28" s="105">
        <v>10</v>
      </c>
      <c r="P28" s="105">
        <v>10</v>
      </c>
      <c r="Q28" s="105">
        <v>10</v>
      </c>
      <c r="R28" s="105">
        <v>10</v>
      </c>
      <c r="S28" s="105">
        <v>10</v>
      </c>
      <c r="T28" s="105">
        <v>10</v>
      </c>
      <c r="U28" s="105">
        <v>10</v>
      </c>
      <c r="V28" s="105">
        <v>10</v>
      </c>
      <c r="W28" s="105">
        <v>10</v>
      </c>
      <c r="X28" s="105">
        <v>10</v>
      </c>
      <c r="Y28" s="105">
        <v>10</v>
      </c>
      <c r="Z28" s="105">
        <v>11</v>
      </c>
      <c r="AA28" s="105">
        <v>11</v>
      </c>
      <c r="AB28" s="105">
        <v>11</v>
      </c>
      <c r="AC28" s="105">
        <v>11</v>
      </c>
      <c r="AD28" s="105">
        <v>11</v>
      </c>
      <c r="AE28" s="105">
        <v>11</v>
      </c>
      <c r="AF28" s="105">
        <v>11</v>
      </c>
      <c r="AG28" s="126">
        <v>13</v>
      </c>
      <c r="AH28" s="20">
        <f t="shared" si="2"/>
        <v>11</v>
      </c>
      <c r="AI28" s="19">
        <f t="shared" si="3"/>
        <v>10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204</v>
      </c>
      <c r="B29" s="105">
        <v>8</v>
      </c>
      <c r="C29" s="105">
        <v>8</v>
      </c>
      <c r="D29" s="105">
        <v>8</v>
      </c>
      <c r="E29" s="105">
        <v>8</v>
      </c>
      <c r="F29" s="105">
        <v>8</v>
      </c>
      <c r="G29" s="105">
        <v>8</v>
      </c>
      <c r="H29" s="105">
        <v>8</v>
      </c>
      <c r="I29" s="105">
        <v>8</v>
      </c>
      <c r="J29" s="105">
        <v>8</v>
      </c>
      <c r="K29" s="105">
        <v>8</v>
      </c>
      <c r="L29" s="105">
        <v>8</v>
      </c>
      <c r="M29" s="105">
        <v>8</v>
      </c>
      <c r="N29" s="105">
        <v>8</v>
      </c>
      <c r="O29" s="105">
        <v>8</v>
      </c>
      <c r="P29" s="105">
        <v>8</v>
      </c>
      <c r="Q29" s="105">
        <v>8</v>
      </c>
      <c r="R29" s="105">
        <v>8</v>
      </c>
      <c r="S29" s="105">
        <v>8</v>
      </c>
      <c r="T29" s="105">
        <v>8</v>
      </c>
      <c r="U29" s="105">
        <v>8</v>
      </c>
      <c r="V29" s="105">
        <v>8</v>
      </c>
      <c r="W29" s="105">
        <v>8</v>
      </c>
      <c r="X29" s="105">
        <v>8</v>
      </c>
      <c r="Y29" s="105">
        <v>8</v>
      </c>
      <c r="Z29" s="105">
        <v>12</v>
      </c>
      <c r="AA29" s="105">
        <v>12</v>
      </c>
      <c r="AB29" s="105">
        <v>12</v>
      </c>
      <c r="AC29" s="105">
        <v>12</v>
      </c>
      <c r="AD29" s="105">
        <v>12</v>
      </c>
      <c r="AE29" s="105">
        <v>12</v>
      </c>
      <c r="AF29" s="105">
        <v>12</v>
      </c>
      <c r="AG29" s="126">
        <v>12</v>
      </c>
      <c r="AH29" s="20">
        <f t="shared" si="2"/>
        <v>12</v>
      </c>
      <c r="AI29" s="19">
        <f t="shared" si="3"/>
        <v>8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203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0</v>
      </c>
      <c r="N30" s="105">
        <v>0</v>
      </c>
      <c r="O30" s="105">
        <v>0</v>
      </c>
      <c r="P30" s="105">
        <v>0</v>
      </c>
      <c r="Q30" s="105">
        <v>0</v>
      </c>
      <c r="R30" s="105">
        <v>0</v>
      </c>
      <c r="S30" s="105">
        <v>0</v>
      </c>
      <c r="T30" s="105">
        <v>0</v>
      </c>
      <c r="U30" s="105">
        <v>0</v>
      </c>
      <c r="V30" s="105">
        <v>0</v>
      </c>
      <c r="W30" s="105">
        <v>0</v>
      </c>
      <c r="X30" s="105">
        <v>0</v>
      </c>
      <c r="Y30" s="105">
        <v>0</v>
      </c>
      <c r="Z30" s="105">
        <v>2</v>
      </c>
      <c r="AA30" s="105">
        <v>2</v>
      </c>
      <c r="AB30" s="105">
        <v>2</v>
      </c>
      <c r="AC30" s="105">
        <v>2</v>
      </c>
      <c r="AD30" s="105">
        <v>2</v>
      </c>
      <c r="AE30" s="105">
        <v>2</v>
      </c>
      <c r="AF30" s="105">
        <v>2</v>
      </c>
      <c r="AG30" s="126">
        <v>12</v>
      </c>
      <c r="AH30" s="20">
        <f t="shared" si="2"/>
        <v>2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ht="14.25" customHeight="1" x14ac:dyDescent="0.25">
      <c r="A31" s="97" t="s">
        <v>202</v>
      </c>
      <c r="B31" s="105">
        <v>9</v>
      </c>
      <c r="C31" s="105">
        <v>9</v>
      </c>
      <c r="D31" s="105">
        <v>9</v>
      </c>
      <c r="E31" s="105">
        <v>9</v>
      </c>
      <c r="F31" s="105">
        <v>9</v>
      </c>
      <c r="G31" s="105">
        <v>9</v>
      </c>
      <c r="H31" s="105">
        <v>9</v>
      </c>
      <c r="I31" s="105">
        <v>9</v>
      </c>
      <c r="J31" s="105">
        <v>9</v>
      </c>
      <c r="K31" s="105">
        <v>9</v>
      </c>
      <c r="L31" s="105">
        <v>9</v>
      </c>
      <c r="M31" s="105">
        <v>9</v>
      </c>
      <c r="N31" s="105">
        <v>9</v>
      </c>
      <c r="O31" s="105">
        <v>9</v>
      </c>
      <c r="P31" s="105">
        <v>9</v>
      </c>
      <c r="Q31" s="105">
        <v>9</v>
      </c>
      <c r="R31" s="105">
        <v>9</v>
      </c>
      <c r="S31" s="105">
        <v>9</v>
      </c>
      <c r="T31" s="105">
        <v>9</v>
      </c>
      <c r="U31" s="105">
        <v>9</v>
      </c>
      <c r="V31" s="105">
        <v>9</v>
      </c>
      <c r="W31" s="105">
        <v>9</v>
      </c>
      <c r="X31" s="105">
        <v>9</v>
      </c>
      <c r="Y31" s="105">
        <v>9</v>
      </c>
      <c r="Z31" s="105">
        <v>12</v>
      </c>
      <c r="AA31" s="105">
        <v>12</v>
      </c>
      <c r="AB31" s="105">
        <v>12</v>
      </c>
      <c r="AC31" s="105">
        <v>12</v>
      </c>
      <c r="AD31" s="105">
        <v>12</v>
      </c>
      <c r="AE31" s="105">
        <v>12</v>
      </c>
      <c r="AF31" s="105">
        <v>12</v>
      </c>
      <c r="AG31" s="125">
        <v>22</v>
      </c>
      <c r="AH31" s="20">
        <f t="shared" si="2"/>
        <v>12</v>
      </c>
      <c r="AI31" s="19">
        <f t="shared" si="3"/>
        <v>9</v>
      </c>
      <c r="AK31" s="41"/>
      <c r="AL31" s="124"/>
      <c r="AM31" s="121"/>
      <c r="AN31" s="121"/>
      <c r="AO31" s="121"/>
      <c r="AP31" s="121"/>
      <c r="AQ31" s="123"/>
      <c r="AR31" s="122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ht="14.25" customHeight="1" x14ac:dyDescent="0.25">
      <c r="A32" s="97" t="s">
        <v>201</v>
      </c>
      <c r="B32" s="105">
        <v>11</v>
      </c>
      <c r="C32" s="105">
        <v>11</v>
      </c>
      <c r="D32" s="105">
        <v>11</v>
      </c>
      <c r="E32" s="105">
        <v>11</v>
      </c>
      <c r="F32" s="105">
        <v>11</v>
      </c>
      <c r="G32" s="105">
        <v>11</v>
      </c>
      <c r="H32" s="105">
        <v>11</v>
      </c>
      <c r="I32" s="105">
        <v>11</v>
      </c>
      <c r="J32" s="105">
        <v>11</v>
      </c>
      <c r="K32" s="105">
        <v>11</v>
      </c>
      <c r="L32" s="105">
        <v>11</v>
      </c>
      <c r="M32" s="105">
        <v>11</v>
      </c>
      <c r="N32" s="105">
        <v>11</v>
      </c>
      <c r="O32" s="105">
        <v>11</v>
      </c>
      <c r="P32" s="105">
        <v>11</v>
      </c>
      <c r="Q32" s="105">
        <v>11</v>
      </c>
      <c r="R32" s="105">
        <v>11</v>
      </c>
      <c r="S32" s="105">
        <v>11</v>
      </c>
      <c r="T32" s="105">
        <v>11</v>
      </c>
      <c r="U32" s="105">
        <v>11</v>
      </c>
      <c r="V32" s="105">
        <v>11</v>
      </c>
      <c r="W32" s="105">
        <v>11</v>
      </c>
      <c r="X32" s="105">
        <v>11</v>
      </c>
      <c r="Y32" s="105">
        <v>11</v>
      </c>
      <c r="Z32" s="105">
        <v>11</v>
      </c>
      <c r="AA32" s="105">
        <v>11</v>
      </c>
      <c r="AB32" s="105">
        <v>11</v>
      </c>
      <c r="AC32" s="105">
        <v>11</v>
      </c>
      <c r="AD32" s="105">
        <v>11</v>
      </c>
      <c r="AE32" s="105">
        <v>11</v>
      </c>
      <c r="AF32" s="105">
        <v>11</v>
      </c>
      <c r="AG32" s="96">
        <v>11.88</v>
      </c>
      <c r="AH32" s="20">
        <f t="shared" si="2"/>
        <v>11</v>
      </c>
      <c r="AI32" s="19">
        <f t="shared" si="3"/>
        <v>11</v>
      </c>
      <c r="AK32" s="41"/>
      <c r="AL32" s="124"/>
      <c r="AM32" s="121"/>
      <c r="AN32" s="121"/>
      <c r="AO32" s="121"/>
      <c r="AP32" s="121"/>
      <c r="AQ32" s="123"/>
      <c r="AR32" s="122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5" t="s">
        <v>200</v>
      </c>
      <c r="B33" s="105">
        <v>10</v>
      </c>
      <c r="C33" s="105">
        <v>10</v>
      </c>
      <c r="D33" s="105">
        <v>10</v>
      </c>
      <c r="E33" s="105">
        <v>10</v>
      </c>
      <c r="F33" s="105">
        <v>10</v>
      </c>
      <c r="G33" s="105">
        <v>10</v>
      </c>
      <c r="H33" s="105">
        <v>10</v>
      </c>
      <c r="I33" s="105">
        <v>10</v>
      </c>
      <c r="J33" s="105">
        <v>10</v>
      </c>
      <c r="K33" s="105">
        <v>10</v>
      </c>
      <c r="L33" s="105">
        <v>10</v>
      </c>
      <c r="M33" s="105">
        <v>10</v>
      </c>
      <c r="N33" s="105">
        <v>10</v>
      </c>
      <c r="O33" s="105">
        <v>10</v>
      </c>
      <c r="P33" s="105">
        <v>10</v>
      </c>
      <c r="Q33" s="105">
        <v>10</v>
      </c>
      <c r="R33" s="105">
        <v>10</v>
      </c>
      <c r="S33" s="105">
        <v>10</v>
      </c>
      <c r="T33" s="105">
        <v>10</v>
      </c>
      <c r="U33" s="105">
        <v>10</v>
      </c>
      <c r="V33" s="105">
        <v>10</v>
      </c>
      <c r="W33" s="105">
        <v>10</v>
      </c>
      <c r="X33" s="105">
        <v>10</v>
      </c>
      <c r="Y33" s="105">
        <v>10</v>
      </c>
      <c r="Z33" s="105">
        <v>11</v>
      </c>
      <c r="AA33" s="105">
        <v>11</v>
      </c>
      <c r="AB33" s="105">
        <v>11</v>
      </c>
      <c r="AC33" s="105">
        <v>11</v>
      </c>
      <c r="AD33" s="105">
        <v>11</v>
      </c>
      <c r="AE33" s="105">
        <v>11</v>
      </c>
      <c r="AF33" s="105">
        <v>11</v>
      </c>
      <c r="AG33" s="94">
        <v>11</v>
      </c>
      <c r="AH33" s="20">
        <f t="shared" si="2"/>
        <v>11</v>
      </c>
      <c r="AI33" s="19">
        <f t="shared" si="3"/>
        <v>10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5" t="s">
        <v>199</v>
      </c>
      <c r="B34" s="105">
        <v>7.5</v>
      </c>
      <c r="C34" s="105">
        <v>7.5</v>
      </c>
      <c r="D34" s="105">
        <v>7.5</v>
      </c>
      <c r="E34" s="105">
        <v>7.5</v>
      </c>
      <c r="F34" s="105">
        <v>7.5</v>
      </c>
      <c r="G34" s="105">
        <v>7.5</v>
      </c>
      <c r="H34" s="105">
        <v>7.5</v>
      </c>
      <c r="I34" s="105">
        <v>7.5</v>
      </c>
      <c r="J34" s="105">
        <v>7.5</v>
      </c>
      <c r="K34" s="105">
        <v>7.5</v>
      </c>
      <c r="L34" s="105">
        <v>7.5</v>
      </c>
      <c r="M34" s="105">
        <v>7.5</v>
      </c>
      <c r="N34" s="105">
        <v>7.5</v>
      </c>
      <c r="O34" s="105">
        <v>7.5</v>
      </c>
      <c r="P34" s="105">
        <v>7.5</v>
      </c>
      <c r="Q34" s="105">
        <v>7.5</v>
      </c>
      <c r="R34" s="105">
        <v>7.5</v>
      </c>
      <c r="S34" s="105">
        <v>7.5</v>
      </c>
      <c r="T34" s="105">
        <v>7.5</v>
      </c>
      <c r="U34" s="105">
        <v>7.5</v>
      </c>
      <c r="V34" s="105">
        <v>7.5</v>
      </c>
      <c r="W34" s="105">
        <v>7.5</v>
      </c>
      <c r="X34" s="105">
        <v>7.5</v>
      </c>
      <c r="Y34" s="105">
        <v>7.5</v>
      </c>
      <c r="Z34" s="105">
        <v>9.5</v>
      </c>
      <c r="AA34" s="105">
        <v>9.5</v>
      </c>
      <c r="AB34" s="105">
        <v>9.5</v>
      </c>
      <c r="AC34" s="105">
        <v>9.5</v>
      </c>
      <c r="AD34" s="105">
        <v>9.5</v>
      </c>
      <c r="AE34" s="105">
        <v>9.5</v>
      </c>
      <c r="AF34" s="105">
        <v>9.5</v>
      </c>
      <c r="AG34" s="94">
        <v>10</v>
      </c>
      <c r="AH34" s="20">
        <f t="shared" si="2"/>
        <v>9.5</v>
      </c>
      <c r="AI34" s="19">
        <f t="shared" si="3"/>
        <v>7.5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x14ac:dyDescent="0.25">
      <c r="A35" s="95" t="s">
        <v>198</v>
      </c>
      <c r="B35" s="105">
        <v>0</v>
      </c>
      <c r="C35" s="105">
        <v>0</v>
      </c>
      <c r="D35" s="105">
        <v>0</v>
      </c>
      <c r="E35" s="105">
        <v>0</v>
      </c>
      <c r="F35" s="105">
        <v>0</v>
      </c>
      <c r="G35" s="105">
        <v>0</v>
      </c>
      <c r="H35" s="105">
        <v>0</v>
      </c>
      <c r="I35" s="105">
        <v>0</v>
      </c>
      <c r="J35" s="105">
        <v>0</v>
      </c>
      <c r="K35" s="105">
        <v>0</v>
      </c>
      <c r="L35" s="105">
        <v>0</v>
      </c>
      <c r="M35" s="105">
        <v>0</v>
      </c>
      <c r="N35" s="105">
        <v>0</v>
      </c>
      <c r="O35" s="105">
        <v>0</v>
      </c>
      <c r="P35" s="105">
        <v>0</v>
      </c>
      <c r="Q35" s="105">
        <v>0</v>
      </c>
      <c r="R35" s="105">
        <v>0</v>
      </c>
      <c r="S35" s="105">
        <v>0</v>
      </c>
      <c r="T35" s="105">
        <v>0</v>
      </c>
      <c r="U35" s="105">
        <v>0</v>
      </c>
      <c r="V35" s="105">
        <v>0</v>
      </c>
      <c r="W35" s="105">
        <v>0</v>
      </c>
      <c r="X35" s="105">
        <v>0</v>
      </c>
      <c r="Y35" s="105">
        <v>0</v>
      </c>
      <c r="Z35" s="105">
        <v>0</v>
      </c>
      <c r="AA35" s="105">
        <v>0</v>
      </c>
      <c r="AB35" s="105">
        <v>0</v>
      </c>
      <c r="AC35" s="105">
        <v>0</v>
      </c>
      <c r="AD35" s="105">
        <v>0</v>
      </c>
      <c r="AE35" s="105">
        <v>0</v>
      </c>
      <c r="AF35" s="105">
        <v>0</v>
      </c>
      <c r="AG35" s="94">
        <v>10</v>
      </c>
      <c r="AH35" s="20">
        <f t="shared" si="2"/>
        <v>0</v>
      </c>
      <c r="AI35" s="19">
        <f t="shared" si="3"/>
        <v>0</v>
      </c>
      <c r="AK35" s="41"/>
      <c r="AL35" s="124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x14ac:dyDescent="0.25">
      <c r="A36" s="111" t="s">
        <v>197</v>
      </c>
      <c r="B36" s="113">
        <v>300</v>
      </c>
      <c r="C36" s="113">
        <v>300</v>
      </c>
      <c r="D36" s="113">
        <v>300</v>
      </c>
      <c r="E36" s="113">
        <v>300</v>
      </c>
      <c r="F36" s="113">
        <v>300</v>
      </c>
      <c r="G36" s="113">
        <v>300</v>
      </c>
      <c r="H36" s="113">
        <v>300</v>
      </c>
      <c r="I36" s="113">
        <v>300</v>
      </c>
      <c r="J36" s="113">
        <v>300</v>
      </c>
      <c r="K36" s="113">
        <v>300</v>
      </c>
      <c r="L36" s="113">
        <v>300</v>
      </c>
      <c r="M36" s="113">
        <v>300</v>
      </c>
      <c r="N36" s="113">
        <v>300</v>
      </c>
      <c r="O36" s="113">
        <v>300</v>
      </c>
      <c r="P36" s="113">
        <v>300</v>
      </c>
      <c r="Q36" s="113">
        <v>300</v>
      </c>
      <c r="R36" s="113">
        <v>300</v>
      </c>
      <c r="S36" s="113">
        <v>300</v>
      </c>
      <c r="T36" s="113">
        <v>300</v>
      </c>
      <c r="U36" s="113">
        <v>300</v>
      </c>
      <c r="V36" s="113">
        <v>300</v>
      </c>
      <c r="W36" s="113">
        <v>300</v>
      </c>
      <c r="X36" s="113">
        <v>300</v>
      </c>
      <c r="Y36" s="113">
        <v>300</v>
      </c>
      <c r="Z36" s="113">
        <v>300</v>
      </c>
      <c r="AA36" s="113">
        <v>300</v>
      </c>
      <c r="AB36" s="113">
        <v>300</v>
      </c>
      <c r="AC36" s="113">
        <v>300</v>
      </c>
      <c r="AD36" s="113">
        <v>300</v>
      </c>
      <c r="AE36" s="113">
        <v>300</v>
      </c>
      <c r="AF36" s="113">
        <v>300</v>
      </c>
      <c r="AG36" s="94">
        <v>85</v>
      </c>
      <c r="AH36" s="20">
        <f t="shared" si="2"/>
        <v>300</v>
      </c>
      <c r="AI36" s="19">
        <f t="shared" si="3"/>
        <v>300</v>
      </c>
      <c r="AK36" s="41"/>
    </row>
    <row r="37" spans="1:88" ht="15.75" thickBot="1" x14ac:dyDescent="0.3">
      <c r="A37" s="120" t="s">
        <v>196</v>
      </c>
      <c r="B37" s="119">
        <f>67.8+100.1</f>
        <v>167.89999999999998</v>
      </c>
      <c r="C37" s="119">
        <f>67.8+100.3</f>
        <v>168.1</v>
      </c>
      <c r="D37" s="119">
        <f>67.9+100.6</f>
        <v>168.5</v>
      </c>
      <c r="E37" s="119">
        <f>66+100.8</f>
        <v>166.8</v>
      </c>
      <c r="F37" s="119">
        <f>65.8+100.8</f>
        <v>166.6</v>
      </c>
      <c r="G37" s="119">
        <f>65.8+100.6</f>
        <v>166.39999999999998</v>
      </c>
      <c r="H37" s="119">
        <f>64.8+100.2</f>
        <v>165</v>
      </c>
      <c r="I37" s="119">
        <f>59.8+99.4</f>
        <v>159.19999999999999</v>
      </c>
      <c r="J37" s="119">
        <v>157</v>
      </c>
      <c r="K37" s="119">
        <f>36.5+98.9</f>
        <v>135.4</v>
      </c>
      <c r="L37" s="113">
        <f>36.2+98.7</f>
        <v>134.9</v>
      </c>
      <c r="M37" s="113">
        <f>98.1+35.9</f>
        <v>134</v>
      </c>
      <c r="N37" s="113">
        <f>99.3+26.6</f>
        <v>125.9</v>
      </c>
      <c r="O37" s="113">
        <f>99.5+26.6</f>
        <v>126.1</v>
      </c>
      <c r="P37" s="113">
        <f>99.7+70.1</f>
        <v>169.8</v>
      </c>
      <c r="Q37" s="113">
        <f>153</f>
        <v>153</v>
      </c>
      <c r="R37" s="113">
        <f>99.6+52.8</f>
        <v>152.39999999999998</v>
      </c>
      <c r="S37" s="113">
        <f>100+36</f>
        <v>136</v>
      </c>
      <c r="T37" s="119">
        <v>135</v>
      </c>
      <c r="U37" s="119">
        <v>168</v>
      </c>
      <c r="V37" s="119">
        <v>149</v>
      </c>
      <c r="W37" s="119">
        <v>149</v>
      </c>
      <c r="X37" s="119">
        <v>149</v>
      </c>
      <c r="Y37" s="119">
        <v>149</v>
      </c>
      <c r="Z37" s="119">
        <v>168</v>
      </c>
      <c r="AA37" s="119">
        <v>168</v>
      </c>
      <c r="AB37" s="119">
        <f>69.6+98.1</f>
        <v>167.7</v>
      </c>
      <c r="AC37" s="119">
        <f>69.4+98.4</f>
        <v>167.8</v>
      </c>
      <c r="AD37" s="119">
        <f>69.6+98.7</f>
        <v>168.3</v>
      </c>
      <c r="AE37" s="119">
        <f>70.1+100.5</f>
        <v>170.6</v>
      </c>
      <c r="AF37" s="119">
        <f>70.2+99.1</f>
        <v>169.3</v>
      </c>
      <c r="AG37" s="94">
        <v>240</v>
      </c>
      <c r="AH37" s="20">
        <f t="shared" si="2"/>
        <v>170.6</v>
      </c>
      <c r="AI37" s="19">
        <f t="shared" si="3"/>
        <v>125.9</v>
      </c>
      <c r="AK37" s="41"/>
    </row>
    <row r="38" spans="1:88" ht="15.75" thickBot="1" x14ac:dyDescent="0.3">
      <c r="A38" s="118" t="s">
        <v>195</v>
      </c>
      <c r="B38" s="86">
        <f>SUM(B11:B36)</f>
        <v>750.3</v>
      </c>
      <c r="C38" s="86">
        <f t="shared" ref="C38:AG38" si="4">SUM(C11:C36)</f>
        <v>750.4</v>
      </c>
      <c r="D38" s="86">
        <f t="shared" si="4"/>
        <v>750.3</v>
      </c>
      <c r="E38" s="86">
        <f t="shared" si="4"/>
        <v>750.3</v>
      </c>
      <c r="F38" s="86">
        <f t="shared" si="4"/>
        <v>750.3</v>
      </c>
      <c r="G38" s="86">
        <f t="shared" si="4"/>
        <v>750.3</v>
      </c>
      <c r="H38" s="86">
        <f t="shared" si="4"/>
        <v>750.3</v>
      </c>
      <c r="I38" s="86">
        <f t="shared" si="4"/>
        <v>750.3</v>
      </c>
      <c r="J38" s="86">
        <f t="shared" si="4"/>
        <v>750.3</v>
      </c>
      <c r="K38" s="86">
        <f t="shared" si="4"/>
        <v>724.8</v>
      </c>
      <c r="L38" s="86">
        <f t="shared" si="4"/>
        <v>724.8</v>
      </c>
      <c r="M38" s="86">
        <f t="shared" si="4"/>
        <v>753.6</v>
      </c>
      <c r="N38" s="86">
        <f t="shared" si="4"/>
        <v>737.6</v>
      </c>
      <c r="O38" s="86">
        <f t="shared" si="4"/>
        <v>738.5</v>
      </c>
      <c r="P38" s="86">
        <f t="shared" si="4"/>
        <v>734.5</v>
      </c>
      <c r="Q38" s="86">
        <f t="shared" si="4"/>
        <v>747</v>
      </c>
      <c r="R38" s="86">
        <f t="shared" si="4"/>
        <v>747</v>
      </c>
      <c r="S38" s="86">
        <f t="shared" si="4"/>
        <v>747</v>
      </c>
      <c r="T38" s="86">
        <f t="shared" si="4"/>
        <v>759</v>
      </c>
      <c r="U38" s="86">
        <f t="shared" si="4"/>
        <v>738</v>
      </c>
      <c r="V38" s="86">
        <f t="shared" si="4"/>
        <v>765.9</v>
      </c>
      <c r="W38" s="86">
        <f t="shared" si="4"/>
        <v>765.9</v>
      </c>
      <c r="X38" s="86">
        <f t="shared" si="4"/>
        <v>747.9</v>
      </c>
      <c r="Y38" s="86">
        <f t="shared" si="4"/>
        <v>762.9</v>
      </c>
      <c r="Z38" s="86">
        <f t="shared" si="4"/>
        <v>836.4</v>
      </c>
      <c r="AA38" s="86">
        <f t="shared" si="4"/>
        <v>836.4</v>
      </c>
      <c r="AB38" s="86">
        <f t="shared" si="4"/>
        <v>837.4</v>
      </c>
      <c r="AC38" s="86">
        <f t="shared" si="4"/>
        <v>837.4</v>
      </c>
      <c r="AD38" s="86">
        <f t="shared" si="4"/>
        <v>837.4</v>
      </c>
      <c r="AE38" s="86">
        <f t="shared" si="4"/>
        <v>820.4</v>
      </c>
      <c r="AF38" s="86">
        <f t="shared" si="4"/>
        <v>820.4</v>
      </c>
      <c r="AG38" s="101">
        <f t="shared" si="4"/>
        <v>665.78</v>
      </c>
      <c r="AH38" s="20">
        <f t="shared" si="2"/>
        <v>837.4</v>
      </c>
      <c r="AI38" s="19">
        <f t="shared" si="3"/>
        <v>724.8</v>
      </c>
      <c r="AK38" s="41"/>
    </row>
    <row r="39" spans="1:88" x14ac:dyDescent="0.25">
      <c r="A39" s="117" t="s">
        <v>194</v>
      </c>
      <c r="B39" s="105">
        <v>350</v>
      </c>
      <c r="C39" s="105">
        <v>350</v>
      </c>
      <c r="D39" s="105">
        <v>350</v>
      </c>
      <c r="E39" s="105">
        <v>350</v>
      </c>
      <c r="F39" s="105">
        <v>350</v>
      </c>
      <c r="G39" s="105">
        <v>350</v>
      </c>
      <c r="H39" s="105">
        <v>350</v>
      </c>
      <c r="I39" s="105">
        <v>350</v>
      </c>
      <c r="J39" s="105">
        <v>350</v>
      </c>
      <c r="K39" s="105">
        <v>380</v>
      </c>
      <c r="L39" s="105">
        <v>400</v>
      </c>
      <c r="M39" s="105">
        <v>440</v>
      </c>
      <c r="N39" s="105">
        <v>456</v>
      </c>
      <c r="O39" s="105">
        <v>456</v>
      </c>
      <c r="P39" s="105">
        <v>456</v>
      </c>
      <c r="Q39" s="105">
        <v>456</v>
      </c>
      <c r="R39" s="105">
        <v>456</v>
      </c>
      <c r="S39" s="105">
        <v>456</v>
      </c>
      <c r="T39" s="105">
        <v>456</v>
      </c>
      <c r="U39" s="105">
        <v>456</v>
      </c>
      <c r="V39" s="105">
        <v>456</v>
      </c>
      <c r="W39" s="105">
        <v>456</v>
      </c>
      <c r="X39" s="105">
        <v>456</v>
      </c>
      <c r="Y39" s="105">
        <v>456</v>
      </c>
      <c r="Z39" s="105">
        <v>456</v>
      </c>
      <c r="AA39" s="105">
        <v>456</v>
      </c>
      <c r="AB39" s="105">
        <v>456</v>
      </c>
      <c r="AC39" s="105">
        <v>456</v>
      </c>
      <c r="AD39" s="105">
        <v>456</v>
      </c>
      <c r="AE39" s="105">
        <v>456</v>
      </c>
      <c r="AF39" s="105">
        <v>456</v>
      </c>
      <c r="AG39" s="96">
        <v>456</v>
      </c>
      <c r="AH39" s="20">
        <f t="shared" si="2"/>
        <v>456</v>
      </c>
      <c r="AI39" s="19">
        <f t="shared" si="3"/>
        <v>350</v>
      </c>
      <c r="AK39" s="41"/>
    </row>
    <row r="40" spans="1:88" x14ac:dyDescent="0.25">
      <c r="A40" s="116" t="s">
        <v>193</v>
      </c>
      <c r="B40" s="80">
        <v>60</v>
      </c>
      <c r="C40" s="80">
        <v>60</v>
      </c>
      <c r="D40" s="80">
        <v>60</v>
      </c>
      <c r="E40" s="80">
        <v>60</v>
      </c>
      <c r="F40" s="80">
        <v>60</v>
      </c>
      <c r="G40" s="80">
        <v>60</v>
      </c>
      <c r="H40" s="80">
        <v>60</v>
      </c>
      <c r="I40" s="80">
        <v>60</v>
      </c>
      <c r="J40" s="80">
        <v>60</v>
      </c>
      <c r="K40" s="80">
        <v>60</v>
      </c>
      <c r="L40" s="80">
        <v>60</v>
      </c>
      <c r="M40" s="80">
        <v>60</v>
      </c>
      <c r="N40" s="80">
        <v>60</v>
      </c>
      <c r="O40" s="80">
        <v>60</v>
      </c>
      <c r="P40" s="80">
        <v>60</v>
      </c>
      <c r="Q40" s="80">
        <v>60</v>
      </c>
      <c r="R40" s="80">
        <v>60</v>
      </c>
      <c r="S40" s="80">
        <v>60</v>
      </c>
      <c r="T40" s="80">
        <v>60</v>
      </c>
      <c r="U40" s="80">
        <v>60</v>
      </c>
      <c r="V40" s="80">
        <v>60</v>
      </c>
      <c r="W40" s="80">
        <v>60</v>
      </c>
      <c r="X40" s="80">
        <v>60</v>
      </c>
      <c r="Y40" s="80">
        <v>60</v>
      </c>
      <c r="Z40" s="80">
        <v>60</v>
      </c>
      <c r="AA40" s="80">
        <v>60</v>
      </c>
      <c r="AB40" s="80">
        <v>60</v>
      </c>
      <c r="AC40" s="80">
        <v>60</v>
      </c>
      <c r="AD40" s="80">
        <v>60</v>
      </c>
      <c r="AE40" s="80">
        <v>60</v>
      </c>
      <c r="AF40" s="80">
        <v>60</v>
      </c>
      <c r="AG40" s="94">
        <v>60</v>
      </c>
      <c r="AH40" s="20">
        <f t="shared" si="2"/>
        <v>60</v>
      </c>
      <c r="AI40" s="19">
        <f t="shared" si="3"/>
        <v>60</v>
      </c>
      <c r="AK40" s="41"/>
    </row>
    <row r="41" spans="1:88" ht="15.75" thickBot="1" x14ac:dyDescent="0.3">
      <c r="A41" s="115" t="s">
        <v>192</v>
      </c>
      <c r="B41" s="107">
        <v>22</v>
      </c>
      <c r="C41" s="107">
        <v>22</v>
      </c>
      <c r="D41" s="107">
        <v>22</v>
      </c>
      <c r="E41" s="107">
        <v>22</v>
      </c>
      <c r="F41" s="107">
        <v>22</v>
      </c>
      <c r="G41" s="107">
        <v>22</v>
      </c>
      <c r="H41" s="107">
        <v>22</v>
      </c>
      <c r="I41" s="107">
        <v>22</v>
      </c>
      <c r="J41" s="107">
        <v>22</v>
      </c>
      <c r="K41" s="107">
        <v>22</v>
      </c>
      <c r="L41" s="107">
        <v>22</v>
      </c>
      <c r="M41" s="107">
        <v>22</v>
      </c>
      <c r="N41" s="107">
        <v>22</v>
      </c>
      <c r="O41" s="107">
        <v>22</v>
      </c>
      <c r="P41" s="107">
        <v>22</v>
      </c>
      <c r="Q41" s="107">
        <v>22</v>
      </c>
      <c r="R41" s="107">
        <v>22</v>
      </c>
      <c r="S41" s="107">
        <v>22</v>
      </c>
      <c r="T41" s="107">
        <v>22</v>
      </c>
      <c r="U41" s="107">
        <v>22</v>
      </c>
      <c r="V41" s="107">
        <v>22</v>
      </c>
      <c r="W41" s="107">
        <v>22</v>
      </c>
      <c r="X41" s="107">
        <v>22</v>
      </c>
      <c r="Y41" s="107">
        <v>22</v>
      </c>
      <c r="Z41" s="107">
        <v>22</v>
      </c>
      <c r="AA41" s="107">
        <v>22</v>
      </c>
      <c r="AB41" s="107">
        <v>22</v>
      </c>
      <c r="AC41" s="107">
        <v>22</v>
      </c>
      <c r="AD41" s="107">
        <v>22</v>
      </c>
      <c r="AE41" s="107">
        <v>22</v>
      </c>
      <c r="AF41" s="107">
        <v>22</v>
      </c>
      <c r="AG41" s="106">
        <v>22.1</v>
      </c>
      <c r="AH41" s="20">
        <f t="shared" si="2"/>
        <v>22</v>
      </c>
      <c r="AI41" s="19">
        <f t="shared" si="3"/>
        <v>22</v>
      </c>
      <c r="AK41" s="41"/>
    </row>
    <row r="42" spans="1:88" ht="15.75" thickBot="1" x14ac:dyDescent="0.3">
      <c r="A42" s="114" t="s">
        <v>191</v>
      </c>
      <c r="B42" s="86">
        <f>SUM(B39:B41)</f>
        <v>432</v>
      </c>
      <c r="C42" s="86">
        <f t="shared" ref="C42:AG42" si="5">SUM(C39:C41)</f>
        <v>432</v>
      </c>
      <c r="D42" s="86">
        <f t="shared" si="5"/>
        <v>432</v>
      </c>
      <c r="E42" s="86">
        <f t="shared" si="5"/>
        <v>432</v>
      </c>
      <c r="F42" s="86">
        <f t="shared" si="5"/>
        <v>432</v>
      </c>
      <c r="G42" s="86">
        <f t="shared" si="5"/>
        <v>432</v>
      </c>
      <c r="H42" s="86">
        <f t="shared" si="5"/>
        <v>432</v>
      </c>
      <c r="I42" s="86">
        <f t="shared" si="5"/>
        <v>432</v>
      </c>
      <c r="J42" s="86">
        <f t="shared" si="5"/>
        <v>432</v>
      </c>
      <c r="K42" s="86">
        <f t="shared" si="5"/>
        <v>462</v>
      </c>
      <c r="L42" s="86">
        <f t="shared" si="5"/>
        <v>482</v>
      </c>
      <c r="M42" s="86">
        <f t="shared" si="5"/>
        <v>522</v>
      </c>
      <c r="N42" s="86">
        <f t="shared" si="5"/>
        <v>538</v>
      </c>
      <c r="O42" s="86">
        <f t="shared" si="5"/>
        <v>538</v>
      </c>
      <c r="P42" s="86">
        <f t="shared" si="5"/>
        <v>538</v>
      </c>
      <c r="Q42" s="86">
        <f t="shared" si="5"/>
        <v>538</v>
      </c>
      <c r="R42" s="86">
        <f t="shared" si="5"/>
        <v>538</v>
      </c>
      <c r="S42" s="86">
        <f t="shared" si="5"/>
        <v>538</v>
      </c>
      <c r="T42" s="86">
        <f t="shared" si="5"/>
        <v>538</v>
      </c>
      <c r="U42" s="86">
        <f t="shared" si="5"/>
        <v>538</v>
      </c>
      <c r="V42" s="86">
        <f t="shared" si="5"/>
        <v>538</v>
      </c>
      <c r="W42" s="86">
        <f t="shared" si="5"/>
        <v>538</v>
      </c>
      <c r="X42" s="86">
        <f t="shared" si="5"/>
        <v>538</v>
      </c>
      <c r="Y42" s="86">
        <f t="shared" si="5"/>
        <v>538</v>
      </c>
      <c r="Z42" s="86">
        <f t="shared" si="5"/>
        <v>538</v>
      </c>
      <c r="AA42" s="86">
        <f t="shared" si="5"/>
        <v>538</v>
      </c>
      <c r="AB42" s="86">
        <f t="shared" si="5"/>
        <v>538</v>
      </c>
      <c r="AC42" s="86">
        <f t="shared" si="5"/>
        <v>538</v>
      </c>
      <c r="AD42" s="86">
        <f t="shared" si="5"/>
        <v>538</v>
      </c>
      <c r="AE42" s="86">
        <f t="shared" si="5"/>
        <v>538</v>
      </c>
      <c r="AF42" s="86">
        <f t="shared" si="5"/>
        <v>538</v>
      </c>
      <c r="AG42" s="101">
        <f t="shared" si="5"/>
        <v>538.1</v>
      </c>
      <c r="AH42" s="20">
        <f t="shared" si="2"/>
        <v>538</v>
      </c>
      <c r="AI42" s="19">
        <f t="shared" si="3"/>
        <v>432</v>
      </c>
      <c r="AK42" s="41"/>
    </row>
    <row r="43" spans="1:88" x14ac:dyDescent="0.25">
      <c r="A43" s="97" t="s">
        <v>190</v>
      </c>
      <c r="B43" s="105">
        <v>30.5</v>
      </c>
      <c r="C43" s="105">
        <v>30.6</v>
      </c>
      <c r="D43" s="105">
        <v>30.6</v>
      </c>
      <c r="E43" s="105">
        <v>30.6</v>
      </c>
      <c r="F43" s="105">
        <v>0</v>
      </c>
      <c r="G43" s="105">
        <v>0</v>
      </c>
      <c r="H43" s="105">
        <v>0</v>
      </c>
      <c r="I43" s="105">
        <v>0</v>
      </c>
      <c r="J43" s="105">
        <v>0</v>
      </c>
      <c r="K43" s="105">
        <v>0</v>
      </c>
      <c r="L43" s="105">
        <v>0</v>
      </c>
      <c r="M43" s="105">
        <v>0</v>
      </c>
      <c r="N43" s="105">
        <v>0</v>
      </c>
      <c r="O43" s="105">
        <v>0</v>
      </c>
      <c r="P43" s="105">
        <v>0</v>
      </c>
      <c r="Q43" s="105">
        <v>0</v>
      </c>
      <c r="R43" s="105">
        <v>0</v>
      </c>
      <c r="S43" s="105">
        <v>0</v>
      </c>
      <c r="T43" s="105">
        <v>0</v>
      </c>
      <c r="U43" s="105">
        <v>96</v>
      </c>
      <c r="V43" s="105">
        <v>140</v>
      </c>
      <c r="W43" s="105">
        <v>140</v>
      </c>
      <c r="X43" s="105">
        <v>140</v>
      </c>
      <c r="Y43" s="105">
        <v>140</v>
      </c>
      <c r="Z43" s="105">
        <v>140</v>
      </c>
      <c r="AA43" s="105">
        <v>140</v>
      </c>
      <c r="AB43" s="105">
        <v>141.69999999999999</v>
      </c>
      <c r="AC43" s="105">
        <v>142.1</v>
      </c>
      <c r="AD43" s="105">
        <v>142.5</v>
      </c>
      <c r="AE43" s="105">
        <v>142.5</v>
      </c>
      <c r="AF43" s="105">
        <v>142.5</v>
      </c>
      <c r="AG43" s="96">
        <v>144</v>
      </c>
      <c r="AH43" s="20">
        <f t="shared" si="2"/>
        <v>142.5</v>
      </c>
      <c r="AI43" s="19">
        <f t="shared" si="3"/>
        <v>0</v>
      </c>
      <c r="AK43" s="41"/>
    </row>
    <row r="44" spans="1:88" x14ac:dyDescent="0.25">
      <c r="A44" s="95" t="s">
        <v>189</v>
      </c>
      <c r="B44" s="80">
        <v>25.9</v>
      </c>
      <c r="C44" s="80">
        <v>25.8</v>
      </c>
      <c r="D44" s="80">
        <v>0</v>
      </c>
      <c r="E44" s="80">
        <v>0</v>
      </c>
      <c r="F44" s="80">
        <v>0</v>
      </c>
      <c r="G44" s="80">
        <v>0</v>
      </c>
      <c r="H44" s="80">
        <v>0</v>
      </c>
      <c r="I44" s="80">
        <v>0</v>
      </c>
      <c r="J44" s="80">
        <v>0</v>
      </c>
      <c r="K44" s="80">
        <v>60.9</v>
      </c>
      <c r="L44" s="80">
        <v>71.599999999999994</v>
      </c>
      <c r="M44" s="80">
        <v>72.599999999999994</v>
      </c>
      <c r="N44" s="105">
        <v>72.2</v>
      </c>
      <c r="O44" s="105">
        <v>72.7</v>
      </c>
      <c r="P44" s="105">
        <v>72.900000000000006</v>
      </c>
      <c r="Q44" s="105">
        <v>72.400000000000006</v>
      </c>
      <c r="R44" s="105">
        <v>71.599999999999994</v>
      </c>
      <c r="S44" s="105">
        <v>71.599999999999994</v>
      </c>
      <c r="T44" s="105">
        <v>71.599999999999994</v>
      </c>
      <c r="U44" s="80">
        <v>70.8</v>
      </c>
      <c r="V44" s="80">
        <v>71</v>
      </c>
      <c r="W44" s="80">
        <v>71</v>
      </c>
      <c r="X44" s="80">
        <v>71</v>
      </c>
      <c r="Y44" s="80">
        <v>71</v>
      </c>
      <c r="Z44" s="80">
        <v>71</v>
      </c>
      <c r="AA44" s="80">
        <v>71</v>
      </c>
      <c r="AB44" s="80">
        <v>71</v>
      </c>
      <c r="AC44" s="80">
        <v>71.2</v>
      </c>
      <c r="AD44" s="80">
        <v>71.7</v>
      </c>
      <c r="AE44" s="80">
        <v>71.7</v>
      </c>
      <c r="AF44" s="80">
        <v>70.599999999999994</v>
      </c>
      <c r="AG44" s="94">
        <v>70</v>
      </c>
      <c r="AH44" s="20">
        <f t="shared" si="2"/>
        <v>72.900000000000006</v>
      </c>
      <c r="AI44" s="19">
        <f t="shared" si="3"/>
        <v>0</v>
      </c>
      <c r="AK44" s="41"/>
    </row>
    <row r="45" spans="1:88" x14ac:dyDescent="0.25">
      <c r="A45" s="95" t="s">
        <v>188</v>
      </c>
      <c r="B45" s="80">
        <v>17.899999999999999</v>
      </c>
      <c r="C45" s="80">
        <v>18.2</v>
      </c>
      <c r="D45" s="80">
        <v>18.399999999999999</v>
      </c>
      <c r="E45" s="80">
        <v>18.2</v>
      </c>
      <c r="F45" s="80">
        <v>18.2</v>
      </c>
      <c r="G45" s="80">
        <v>18.3</v>
      </c>
      <c r="H45" s="80">
        <v>18.3</v>
      </c>
      <c r="I45" s="80">
        <v>18.399999999999999</v>
      </c>
      <c r="J45" s="80">
        <v>18.399999999999999</v>
      </c>
      <c r="K45" s="80">
        <v>45</v>
      </c>
      <c r="L45" s="80">
        <v>63.8</v>
      </c>
      <c r="M45" s="80">
        <v>63.8</v>
      </c>
      <c r="N45" s="105">
        <v>64.8</v>
      </c>
      <c r="O45" s="105">
        <v>64.900000000000006</v>
      </c>
      <c r="P45" s="105">
        <v>64.2</v>
      </c>
      <c r="Q45" s="105">
        <v>64.099999999999994</v>
      </c>
      <c r="R45" s="105">
        <v>64.7</v>
      </c>
      <c r="S45" s="105">
        <v>64.7</v>
      </c>
      <c r="T45" s="105">
        <v>64.7</v>
      </c>
      <c r="U45" s="80">
        <v>64.5</v>
      </c>
      <c r="V45" s="80">
        <v>64.5</v>
      </c>
      <c r="W45" s="80">
        <v>64.5</v>
      </c>
      <c r="X45" s="80">
        <v>64.5</v>
      </c>
      <c r="Y45" s="80">
        <v>64.5</v>
      </c>
      <c r="Z45" s="80">
        <v>64.5</v>
      </c>
      <c r="AA45" s="80">
        <v>64.5</v>
      </c>
      <c r="AB45" s="80">
        <v>64.5</v>
      </c>
      <c r="AC45" s="80">
        <v>64.599999999999994</v>
      </c>
      <c r="AD45" s="80">
        <v>64.400000000000006</v>
      </c>
      <c r="AE45" s="80">
        <v>64.400000000000006</v>
      </c>
      <c r="AF45" s="80">
        <v>64.400000000000006</v>
      </c>
      <c r="AG45" s="94">
        <v>69</v>
      </c>
      <c r="AH45" s="20">
        <f t="shared" si="2"/>
        <v>64.900000000000006</v>
      </c>
      <c r="AI45" s="19">
        <f t="shared" si="3"/>
        <v>17.899999999999999</v>
      </c>
      <c r="AK45" s="41"/>
    </row>
    <row r="46" spans="1:88" x14ac:dyDescent="0.25">
      <c r="A46" s="95" t="s">
        <v>187</v>
      </c>
      <c r="B46" s="113">
        <v>10.8</v>
      </c>
      <c r="C46" s="113">
        <v>10.8</v>
      </c>
      <c r="D46" s="113">
        <v>10.8</v>
      </c>
      <c r="E46" s="113">
        <v>10.8</v>
      </c>
      <c r="F46" s="113">
        <v>10.8</v>
      </c>
      <c r="G46" s="113">
        <v>10.8</v>
      </c>
      <c r="H46" s="113">
        <v>10.8</v>
      </c>
      <c r="I46" s="113">
        <v>30.2</v>
      </c>
      <c r="J46" s="113">
        <v>30.2</v>
      </c>
      <c r="K46" s="113">
        <v>55.9</v>
      </c>
      <c r="L46" s="113">
        <v>60.2</v>
      </c>
      <c r="M46" s="113">
        <v>60.2</v>
      </c>
      <c r="N46" s="105">
        <v>60.4</v>
      </c>
      <c r="O46" s="105">
        <v>60.4</v>
      </c>
      <c r="P46" s="105">
        <v>60.4</v>
      </c>
      <c r="Q46" s="105">
        <v>60.7</v>
      </c>
      <c r="R46" s="105">
        <v>60.7</v>
      </c>
      <c r="S46" s="105">
        <v>60.7</v>
      </c>
      <c r="T46" s="105">
        <v>60.7</v>
      </c>
      <c r="U46" s="105">
        <v>0</v>
      </c>
      <c r="V46" s="105">
        <v>0</v>
      </c>
      <c r="W46" s="105">
        <v>0</v>
      </c>
      <c r="X46" s="105">
        <v>0</v>
      </c>
      <c r="Y46" s="105">
        <v>0</v>
      </c>
      <c r="Z46" s="105">
        <v>0</v>
      </c>
      <c r="AA46" s="105">
        <v>0</v>
      </c>
      <c r="AB46" s="113">
        <v>60.4</v>
      </c>
      <c r="AC46" s="113">
        <v>60.4</v>
      </c>
      <c r="AD46" s="113">
        <v>60.4</v>
      </c>
      <c r="AE46" s="113">
        <v>60.4</v>
      </c>
      <c r="AF46" s="113">
        <v>60.4</v>
      </c>
      <c r="AG46" s="94">
        <v>60</v>
      </c>
      <c r="AH46" s="20">
        <f t="shared" si="2"/>
        <v>60.7</v>
      </c>
      <c r="AI46" s="19">
        <f t="shared" si="3"/>
        <v>0</v>
      </c>
      <c r="AK46" s="41"/>
    </row>
    <row r="47" spans="1:88" x14ac:dyDescent="0.25">
      <c r="A47" s="95" t="s">
        <v>186</v>
      </c>
      <c r="B47" s="113">
        <v>14.4</v>
      </c>
      <c r="C47" s="113">
        <v>0</v>
      </c>
      <c r="D47" s="113">
        <v>0</v>
      </c>
      <c r="E47" s="113">
        <v>13.9</v>
      </c>
      <c r="F47" s="113">
        <v>13.4</v>
      </c>
      <c r="G47" s="113">
        <v>13.4</v>
      </c>
      <c r="H47" s="113">
        <v>13.4</v>
      </c>
      <c r="I47" s="113">
        <v>14.8</v>
      </c>
      <c r="J47" s="113">
        <v>30</v>
      </c>
      <c r="K47" s="113">
        <v>30</v>
      </c>
      <c r="L47" s="113">
        <v>30</v>
      </c>
      <c r="M47" s="113">
        <v>30</v>
      </c>
      <c r="N47" s="113">
        <v>30</v>
      </c>
      <c r="O47" s="113">
        <v>30</v>
      </c>
      <c r="P47" s="113">
        <v>30</v>
      </c>
      <c r="Q47" s="113">
        <v>30</v>
      </c>
      <c r="R47" s="113">
        <v>30</v>
      </c>
      <c r="S47" s="113">
        <v>30</v>
      </c>
      <c r="T47" s="113">
        <v>30</v>
      </c>
      <c r="U47" s="105">
        <v>30</v>
      </c>
      <c r="V47" s="105">
        <v>30</v>
      </c>
      <c r="W47" s="105">
        <v>30</v>
      </c>
      <c r="X47" s="105">
        <v>30</v>
      </c>
      <c r="Y47" s="105">
        <v>0</v>
      </c>
      <c r="Z47" s="105">
        <v>0</v>
      </c>
      <c r="AA47" s="105">
        <v>0</v>
      </c>
      <c r="AB47" s="105">
        <v>28.7</v>
      </c>
      <c r="AC47" s="113">
        <v>28.7</v>
      </c>
      <c r="AD47" s="113">
        <v>28.8</v>
      </c>
      <c r="AE47" s="113">
        <v>28.8</v>
      </c>
      <c r="AF47" s="113">
        <v>28.8</v>
      </c>
      <c r="AG47" s="94">
        <v>30</v>
      </c>
      <c r="AH47" s="20">
        <f t="shared" si="2"/>
        <v>30</v>
      </c>
      <c r="AI47" s="19">
        <f t="shared" si="3"/>
        <v>0</v>
      </c>
      <c r="AK47" s="41"/>
    </row>
    <row r="48" spans="1:88" x14ac:dyDescent="0.25">
      <c r="A48" s="95" t="s">
        <v>185</v>
      </c>
      <c r="B48" s="80">
        <v>0</v>
      </c>
      <c r="C48" s="80">
        <v>0</v>
      </c>
      <c r="D48" s="80">
        <v>0</v>
      </c>
      <c r="E48" s="80">
        <v>0</v>
      </c>
      <c r="F48" s="80">
        <v>0</v>
      </c>
      <c r="G48" s="80">
        <v>0</v>
      </c>
      <c r="H48" s="80">
        <v>0</v>
      </c>
      <c r="I48" s="80">
        <v>0</v>
      </c>
      <c r="J48" s="80">
        <v>0</v>
      </c>
      <c r="K48" s="80">
        <v>0</v>
      </c>
      <c r="L48" s="80">
        <v>0</v>
      </c>
      <c r="M48" s="80">
        <v>0</v>
      </c>
      <c r="N48" s="80">
        <v>5</v>
      </c>
      <c r="O48" s="80">
        <v>7</v>
      </c>
      <c r="P48" s="80">
        <v>7</v>
      </c>
      <c r="Q48" s="80">
        <v>7</v>
      </c>
      <c r="R48" s="80">
        <v>7</v>
      </c>
      <c r="S48" s="80">
        <v>7</v>
      </c>
      <c r="T48" s="80">
        <v>7</v>
      </c>
      <c r="U48" s="80">
        <v>7</v>
      </c>
      <c r="V48" s="80">
        <v>7</v>
      </c>
      <c r="W48" s="80">
        <v>7</v>
      </c>
      <c r="X48" s="80">
        <v>7</v>
      </c>
      <c r="Y48" s="80">
        <v>7</v>
      </c>
      <c r="Z48" s="80">
        <v>7</v>
      </c>
      <c r="AA48" s="80">
        <v>7</v>
      </c>
      <c r="AB48" s="80">
        <v>0</v>
      </c>
      <c r="AC48" s="80">
        <v>0</v>
      </c>
      <c r="AD48" s="80">
        <v>0</v>
      </c>
      <c r="AE48" s="80">
        <v>0</v>
      </c>
      <c r="AF48" s="80">
        <v>0</v>
      </c>
      <c r="AG48" s="94">
        <v>25</v>
      </c>
      <c r="AH48" s="20">
        <f t="shared" si="2"/>
        <v>7</v>
      </c>
      <c r="AI48" s="19">
        <f t="shared" si="3"/>
        <v>0</v>
      </c>
      <c r="AK48" s="41"/>
    </row>
    <row r="49" spans="1:41" x14ac:dyDescent="0.25">
      <c r="A49" s="95" t="s">
        <v>184</v>
      </c>
      <c r="B49" s="80">
        <v>16.899999999999999</v>
      </c>
      <c r="C49" s="80">
        <v>16.100000000000001</v>
      </c>
      <c r="D49" s="80">
        <v>16.100000000000001</v>
      </c>
      <c r="E49" s="80">
        <v>16.100000000000001</v>
      </c>
      <c r="F49" s="80">
        <v>16.100000000000001</v>
      </c>
      <c r="G49" s="80">
        <v>16.5</v>
      </c>
      <c r="H49" s="80">
        <v>16.5</v>
      </c>
      <c r="I49" s="80">
        <v>16.5</v>
      </c>
      <c r="J49" s="80">
        <v>16.5</v>
      </c>
      <c r="K49" s="80">
        <v>16.5</v>
      </c>
      <c r="L49" s="80">
        <v>16.5</v>
      </c>
      <c r="M49" s="80">
        <v>17.100000000000001</v>
      </c>
      <c r="N49" s="80">
        <v>17.100000000000001</v>
      </c>
      <c r="O49" s="80">
        <v>17.100000000000001</v>
      </c>
      <c r="P49" s="80">
        <v>17.100000000000001</v>
      </c>
      <c r="Q49" s="80">
        <v>17.100000000000001</v>
      </c>
      <c r="R49" s="80">
        <v>17.100000000000001</v>
      </c>
      <c r="S49" s="80">
        <v>17.100000000000001</v>
      </c>
      <c r="T49" s="80">
        <v>17.100000000000001</v>
      </c>
      <c r="U49" s="80">
        <v>17.100000000000001</v>
      </c>
      <c r="V49" s="80">
        <v>17.100000000000001</v>
      </c>
      <c r="W49" s="80">
        <v>17.100000000000001</v>
      </c>
      <c r="X49" s="80">
        <v>17.100000000000001</v>
      </c>
      <c r="Y49" s="80">
        <v>17.100000000000001</v>
      </c>
      <c r="Z49" s="80">
        <v>17.100000000000001</v>
      </c>
      <c r="AA49" s="80">
        <v>17.100000000000001</v>
      </c>
      <c r="AB49" s="80">
        <v>17.100000000000001</v>
      </c>
      <c r="AC49" s="80">
        <v>17.100000000000001</v>
      </c>
      <c r="AD49" s="80">
        <v>17.100000000000001</v>
      </c>
      <c r="AE49" s="80">
        <v>17.100000000000001</v>
      </c>
      <c r="AF49" s="80">
        <v>16.899999999999999</v>
      </c>
      <c r="AG49" s="94">
        <v>24</v>
      </c>
      <c r="AH49" s="20">
        <f t="shared" si="2"/>
        <v>17.100000000000001</v>
      </c>
      <c r="AI49" s="19">
        <f t="shared" si="3"/>
        <v>16.100000000000001</v>
      </c>
      <c r="AK49" s="41"/>
    </row>
    <row r="50" spans="1:41" x14ac:dyDescent="0.25">
      <c r="A50" s="95" t="s">
        <v>183</v>
      </c>
      <c r="B50" s="80">
        <v>3</v>
      </c>
      <c r="C50" s="80">
        <v>3</v>
      </c>
      <c r="D50" s="80">
        <v>3</v>
      </c>
      <c r="E50" s="80">
        <v>3</v>
      </c>
      <c r="F50" s="80">
        <v>3</v>
      </c>
      <c r="G50" s="80">
        <v>3</v>
      </c>
      <c r="H50" s="80">
        <v>3</v>
      </c>
      <c r="I50" s="80">
        <v>3</v>
      </c>
      <c r="J50" s="80">
        <v>3</v>
      </c>
      <c r="K50" s="80">
        <v>3</v>
      </c>
      <c r="L50" s="80">
        <v>3</v>
      </c>
      <c r="M50" s="80">
        <v>3</v>
      </c>
      <c r="N50" s="80">
        <v>3</v>
      </c>
      <c r="O50" s="80">
        <v>3</v>
      </c>
      <c r="P50" s="80">
        <v>3</v>
      </c>
      <c r="Q50" s="80">
        <v>3</v>
      </c>
      <c r="R50" s="80">
        <v>3</v>
      </c>
      <c r="S50" s="80">
        <v>3</v>
      </c>
      <c r="T50" s="80">
        <v>3</v>
      </c>
      <c r="U50" s="80">
        <v>3</v>
      </c>
      <c r="V50" s="80">
        <v>3</v>
      </c>
      <c r="W50" s="80">
        <v>3</v>
      </c>
      <c r="X50" s="80">
        <v>3</v>
      </c>
      <c r="Y50" s="80">
        <v>3</v>
      </c>
      <c r="Z50" s="80">
        <v>3</v>
      </c>
      <c r="AA50" s="80">
        <v>3</v>
      </c>
      <c r="AB50" s="80">
        <v>3</v>
      </c>
      <c r="AC50" s="80">
        <v>3</v>
      </c>
      <c r="AD50" s="80">
        <v>3</v>
      </c>
      <c r="AE50" s="80">
        <v>3</v>
      </c>
      <c r="AF50" s="80">
        <v>3</v>
      </c>
      <c r="AG50" s="94">
        <v>15</v>
      </c>
      <c r="AH50" s="20">
        <f t="shared" si="2"/>
        <v>3</v>
      </c>
      <c r="AI50" s="19">
        <f t="shared" si="3"/>
        <v>3</v>
      </c>
      <c r="AK50" s="41"/>
      <c r="AL50" s="112"/>
      <c r="AO50" s="112"/>
    </row>
    <row r="51" spans="1:41" s="112" customFormat="1" x14ac:dyDescent="0.25">
      <c r="A51" s="95" t="s">
        <v>182</v>
      </c>
      <c r="B51" s="80">
        <v>9</v>
      </c>
      <c r="C51" s="80">
        <v>9</v>
      </c>
      <c r="D51" s="80">
        <v>8.5</v>
      </c>
      <c r="E51" s="80">
        <v>8.5</v>
      </c>
      <c r="F51" s="80">
        <v>8.5</v>
      </c>
      <c r="G51" s="80">
        <v>8.5</v>
      </c>
      <c r="H51" s="80">
        <v>8.5</v>
      </c>
      <c r="I51" s="80">
        <v>8.5</v>
      </c>
      <c r="J51" s="80">
        <v>8.5</v>
      </c>
      <c r="K51" s="80">
        <v>8.5</v>
      </c>
      <c r="L51" s="80">
        <v>8.5</v>
      </c>
      <c r="M51" s="80">
        <v>8.5</v>
      </c>
      <c r="N51" s="80">
        <v>8.5</v>
      </c>
      <c r="O51" s="80">
        <v>8.5</v>
      </c>
      <c r="P51" s="80">
        <v>8.5</v>
      </c>
      <c r="Q51" s="80">
        <v>8.5</v>
      </c>
      <c r="R51" s="80">
        <v>8.5</v>
      </c>
      <c r="S51" s="80">
        <v>8.5</v>
      </c>
      <c r="T51" s="80">
        <v>8.5</v>
      </c>
      <c r="U51" s="80">
        <v>8.5</v>
      </c>
      <c r="V51" s="80">
        <v>8.5</v>
      </c>
      <c r="W51" s="80">
        <v>8.5</v>
      </c>
      <c r="X51" s="80">
        <v>8.5</v>
      </c>
      <c r="Y51" s="80">
        <v>8.5</v>
      </c>
      <c r="Z51" s="80">
        <v>8.5</v>
      </c>
      <c r="AA51" s="80">
        <v>8.5</v>
      </c>
      <c r="AB51" s="80">
        <v>8.5</v>
      </c>
      <c r="AC51" s="80">
        <v>8.5</v>
      </c>
      <c r="AD51" s="80">
        <v>8.5</v>
      </c>
      <c r="AE51" s="80">
        <v>8.5</v>
      </c>
      <c r="AF51" s="80">
        <v>9.5</v>
      </c>
      <c r="AG51" s="94">
        <v>14.1</v>
      </c>
      <c r="AH51" s="20">
        <f t="shared" si="2"/>
        <v>9.5</v>
      </c>
      <c r="AI51" s="19">
        <f t="shared" si="3"/>
        <v>8.5</v>
      </c>
      <c r="AJ51" s="1"/>
      <c r="AK51" s="41"/>
      <c r="AL51" s="1"/>
      <c r="AM51" s="1"/>
      <c r="AN51" s="1"/>
      <c r="AO51" s="1"/>
    </row>
    <row r="52" spans="1:41" x14ac:dyDescent="0.25">
      <c r="A52" s="108" t="s">
        <v>181</v>
      </c>
      <c r="B52" s="80">
        <v>6.6</v>
      </c>
      <c r="C52" s="80">
        <v>7.1</v>
      </c>
      <c r="D52" s="80">
        <v>7.1</v>
      </c>
      <c r="E52" s="80">
        <v>7.1</v>
      </c>
      <c r="F52" s="80">
        <v>7.1</v>
      </c>
      <c r="G52" s="80">
        <v>7.1</v>
      </c>
      <c r="H52" s="80">
        <v>7.1</v>
      </c>
      <c r="I52" s="80">
        <v>7.1</v>
      </c>
      <c r="J52" s="80">
        <v>7.1</v>
      </c>
      <c r="K52" s="80">
        <v>7.1</v>
      </c>
      <c r="L52" s="80">
        <v>7.1</v>
      </c>
      <c r="M52" s="80">
        <v>7.1</v>
      </c>
      <c r="N52" s="80">
        <v>7.1</v>
      </c>
      <c r="O52" s="80">
        <v>7.1</v>
      </c>
      <c r="P52" s="80">
        <v>7.1</v>
      </c>
      <c r="Q52" s="80">
        <v>7.1</v>
      </c>
      <c r="R52" s="80">
        <v>7.1</v>
      </c>
      <c r="S52" s="80">
        <v>7.1</v>
      </c>
      <c r="T52" s="80">
        <v>7.1</v>
      </c>
      <c r="U52" s="80">
        <v>7.1</v>
      </c>
      <c r="V52" s="80">
        <v>7.1</v>
      </c>
      <c r="W52" s="80">
        <v>7.1</v>
      </c>
      <c r="X52" s="80">
        <v>7.1</v>
      </c>
      <c r="Y52" s="80">
        <v>7.1</v>
      </c>
      <c r="Z52" s="80">
        <v>7.1</v>
      </c>
      <c r="AA52" s="80">
        <v>7.1</v>
      </c>
      <c r="AB52" s="80">
        <v>14</v>
      </c>
      <c r="AC52" s="80">
        <v>14</v>
      </c>
      <c r="AD52" s="80">
        <v>14</v>
      </c>
      <c r="AE52" s="80">
        <v>7</v>
      </c>
      <c r="AF52" s="80">
        <v>13.9</v>
      </c>
      <c r="AG52" s="94">
        <v>14</v>
      </c>
      <c r="AH52" s="20">
        <f t="shared" si="2"/>
        <v>14</v>
      </c>
      <c r="AI52" s="19">
        <f t="shared" si="3"/>
        <v>6.6</v>
      </c>
      <c r="AK52" s="41"/>
    </row>
    <row r="53" spans="1:41" x14ac:dyDescent="0.25">
      <c r="A53" s="95" t="s">
        <v>180</v>
      </c>
      <c r="B53" s="80">
        <v>9</v>
      </c>
      <c r="C53" s="80">
        <v>9</v>
      </c>
      <c r="D53" s="80">
        <v>9</v>
      </c>
      <c r="E53" s="80">
        <v>9</v>
      </c>
      <c r="F53" s="80">
        <v>9</v>
      </c>
      <c r="G53" s="80">
        <v>9</v>
      </c>
      <c r="H53" s="80">
        <v>9</v>
      </c>
      <c r="I53" s="80">
        <v>9</v>
      </c>
      <c r="J53" s="80">
        <v>9</v>
      </c>
      <c r="K53" s="80">
        <v>9</v>
      </c>
      <c r="L53" s="80">
        <v>9</v>
      </c>
      <c r="M53" s="80">
        <v>9</v>
      </c>
      <c r="N53" s="80">
        <v>9</v>
      </c>
      <c r="O53" s="80">
        <v>9</v>
      </c>
      <c r="P53" s="80">
        <v>9</v>
      </c>
      <c r="Q53" s="80">
        <v>9</v>
      </c>
      <c r="R53" s="80">
        <v>9</v>
      </c>
      <c r="S53" s="80">
        <v>9</v>
      </c>
      <c r="T53" s="80">
        <v>9</v>
      </c>
      <c r="U53" s="80">
        <v>9</v>
      </c>
      <c r="V53" s="80">
        <v>9</v>
      </c>
      <c r="W53" s="80">
        <v>9</v>
      </c>
      <c r="X53" s="80">
        <v>9</v>
      </c>
      <c r="Y53" s="80">
        <v>9</v>
      </c>
      <c r="Z53" s="80">
        <v>9</v>
      </c>
      <c r="AA53" s="80">
        <v>9</v>
      </c>
      <c r="AB53" s="80">
        <v>9</v>
      </c>
      <c r="AC53" s="80">
        <v>9</v>
      </c>
      <c r="AD53" s="80">
        <v>9</v>
      </c>
      <c r="AE53" s="80">
        <v>9</v>
      </c>
      <c r="AF53" s="80">
        <v>9</v>
      </c>
      <c r="AG53" s="94">
        <v>10.050000000000001</v>
      </c>
      <c r="AH53" s="20">
        <f t="shared" si="2"/>
        <v>9</v>
      </c>
      <c r="AI53" s="19">
        <f t="shared" si="3"/>
        <v>9</v>
      </c>
      <c r="AK53" s="41"/>
    </row>
    <row r="54" spans="1:41" x14ac:dyDescent="0.25">
      <c r="A54" s="95" t="s">
        <v>179</v>
      </c>
      <c r="B54" s="80">
        <v>3.2</v>
      </c>
      <c r="C54" s="80">
        <v>3.2</v>
      </c>
      <c r="D54" s="80">
        <v>3.2</v>
      </c>
      <c r="E54" s="80">
        <v>3.2</v>
      </c>
      <c r="F54" s="80">
        <v>3.2</v>
      </c>
      <c r="G54" s="80">
        <v>3.2</v>
      </c>
      <c r="H54" s="80">
        <v>3.2</v>
      </c>
      <c r="I54" s="80">
        <v>3.2</v>
      </c>
      <c r="J54" s="80">
        <v>3.2</v>
      </c>
      <c r="K54" s="80">
        <v>3.2</v>
      </c>
      <c r="L54" s="80">
        <v>3.2</v>
      </c>
      <c r="M54" s="80">
        <v>3.2</v>
      </c>
      <c r="N54" s="80">
        <v>3.2</v>
      </c>
      <c r="O54" s="80">
        <v>3.2</v>
      </c>
      <c r="P54" s="80">
        <v>3.2</v>
      </c>
      <c r="Q54" s="80">
        <v>3.2</v>
      </c>
      <c r="R54" s="80">
        <v>3.2</v>
      </c>
      <c r="S54" s="80">
        <v>3.2</v>
      </c>
      <c r="T54" s="80">
        <v>3.2</v>
      </c>
      <c r="U54" s="80">
        <v>3.2</v>
      </c>
      <c r="V54" s="80">
        <v>3.2</v>
      </c>
      <c r="W54" s="80">
        <v>3.2</v>
      </c>
      <c r="X54" s="80">
        <v>3.2</v>
      </c>
      <c r="Y54" s="80">
        <v>3.2</v>
      </c>
      <c r="Z54" s="80">
        <v>3.2</v>
      </c>
      <c r="AA54" s="80">
        <v>3.2</v>
      </c>
      <c r="AB54" s="80">
        <v>3.2</v>
      </c>
      <c r="AC54" s="80">
        <v>3.2</v>
      </c>
      <c r="AD54" s="80">
        <v>3.2</v>
      </c>
      <c r="AE54" s="80">
        <v>3.2</v>
      </c>
      <c r="AF54" s="80">
        <v>3.2</v>
      </c>
      <c r="AG54" s="94">
        <v>6.2</v>
      </c>
      <c r="AH54" s="20">
        <f t="shared" si="2"/>
        <v>3.2</v>
      </c>
      <c r="AI54" s="19">
        <f t="shared" si="3"/>
        <v>3.2</v>
      </c>
      <c r="AK54" s="41"/>
    </row>
    <row r="55" spans="1:41" ht="15.75" thickBot="1" x14ac:dyDescent="0.3">
      <c r="A55" s="111" t="s">
        <v>17</v>
      </c>
      <c r="B55" s="110">
        <v>3.54</v>
      </c>
      <c r="C55" s="110">
        <v>3.54</v>
      </c>
      <c r="D55" s="110">
        <v>3.54</v>
      </c>
      <c r="E55" s="110">
        <v>3.54</v>
      </c>
      <c r="F55" s="110">
        <v>3.54</v>
      </c>
      <c r="G55" s="110">
        <v>3.54</v>
      </c>
      <c r="H55" s="110">
        <v>3.54</v>
      </c>
      <c r="I55" s="110">
        <v>3.54</v>
      </c>
      <c r="J55" s="110">
        <v>3.54</v>
      </c>
      <c r="K55" s="110">
        <v>3.54</v>
      </c>
      <c r="L55" s="110">
        <v>3.54</v>
      </c>
      <c r="M55" s="110">
        <v>3.54</v>
      </c>
      <c r="N55" s="110">
        <v>3.54</v>
      </c>
      <c r="O55" s="110">
        <v>3.54</v>
      </c>
      <c r="P55" s="110">
        <v>3.54</v>
      </c>
      <c r="Q55" s="110">
        <v>3.54</v>
      </c>
      <c r="R55" s="110">
        <v>3.54</v>
      </c>
      <c r="S55" s="110">
        <v>3.54</v>
      </c>
      <c r="T55" s="110">
        <v>3.54</v>
      </c>
      <c r="U55" s="110">
        <v>3.54</v>
      </c>
      <c r="V55" s="110">
        <v>3.54</v>
      </c>
      <c r="W55" s="110">
        <v>3.54</v>
      </c>
      <c r="X55" s="110">
        <v>3.54</v>
      </c>
      <c r="Y55" s="110">
        <v>3.54</v>
      </c>
      <c r="Z55" s="110">
        <v>3.54</v>
      </c>
      <c r="AA55" s="110">
        <v>3.54</v>
      </c>
      <c r="AB55" s="110">
        <v>3.54</v>
      </c>
      <c r="AC55" s="110">
        <v>3.54</v>
      </c>
      <c r="AD55" s="110">
        <v>3.54</v>
      </c>
      <c r="AE55" s="110">
        <v>3.54</v>
      </c>
      <c r="AF55" s="110">
        <v>3.54</v>
      </c>
      <c r="AG55" s="109">
        <f>AG222</f>
        <v>8.56</v>
      </c>
      <c r="AH55" s="20">
        <f t="shared" si="2"/>
        <v>3.54</v>
      </c>
      <c r="AI55" s="19">
        <f t="shared" si="3"/>
        <v>3.54</v>
      </c>
      <c r="AK55" s="41"/>
    </row>
    <row r="56" spans="1:41" ht="15.75" thickBot="1" x14ac:dyDescent="0.3">
      <c r="A56" s="87" t="s">
        <v>178</v>
      </c>
      <c r="B56" s="86">
        <f>SUM(B43:B55)</f>
        <v>150.73999999999998</v>
      </c>
      <c r="C56" s="86">
        <f t="shared" ref="C56:AG56" si="6">SUM(C43:C55)</f>
        <v>136.33999999999997</v>
      </c>
      <c r="D56" s="86">
        <f t="shared" si="6"/>
        <v>110.24000000000001</v>
      </c>
      <c r="E56" s="86">
        <f t="shared" si="6"/>
        <v>123.94</v>
      </c>
      <c r="F56" s="86">
        <f t="shared" si="6"/>
        <v>92.84</v>
      </c>
      <c r="G56" s="86">
        <f t="shared" si="6"/>
        <v>93.34</v>
      </c>
      <c r="H56" s="86">
        <f t="shared" si="6"/>
        <v>93.34</v>
      </c>
      <c r="I56" s="86">
        <f t="shared" si="6"/>
        <v>114.24</v>
      </c>
      <c r="J56" s="86">
        <f t="shared" si="6"/>
        <v>129.44</v>
      </c>
      <c r="K56" s="86">
        <f t="shared" si="6"/>
        <v>242.64</v>
      </c>
      <c r="L56" s="86">
        <f t="shared" si="6"/>
        <v>276.44</v>
      </c>
      <c r="M56" s="86">
        <f t="shared" si="6"/>
        <v>278.03999999999996</v>
      </c>
      <c r="N56" s="86">
        <f t="shared" si="6"/>
        <v>283.84000000000003</v>
      </c>
      <c r="O56" s="86">
        <f t="shared" si="6"/>
        <v>286.44000000000005</v>
      </c>
      <c r="P56" s="86">
        <f t="shared" si="6"/>
        <v>285.94000000000005</v>
      </c>
      <c r="Q56" s="86">
        <f t="shared" si="6"/>
        <v>285.64</v>
      </c>
      <c r="R56" s="86">
        <f t="shared" si="6"/>
        <v>285.44000000000005</v>
      </c>
      <c r="S56" s="86">
        <f t="shared" si="6"/>
        <v>285.44000000000005</v>
      </c>
      <c r="T56" s="86">
        <f t="shared" si="6"/>
        <v>285.44000000000005</v>
      </c>
      <c r="U56" s="86">
        <f t="shared" si="6"/>
        <v>319.74000000000007</v>
      </c>
      <c r="V56" s="86">
        <f t="shared" si="6"/>
        <v>363.94000000000005</v>
      </c>
      <c r="W56" s="86">
        <f t="shared" si="6"/>
        <v>363.94000000000005</v>
      </c>
      <c r="X56" s="86">
        <f t="shared" si="6"/>
        <v>363.94000000000005</v>
      </c>
      <c r="Y56" s="86">
        <f t="shared" si="6"/>
        <v>333.94000000000005</v>
      </c>
      <c r="Z56" s="86">
        <f t="shared" si="6"/>
        <v>333.94000000000005</v>
      </c>
      <c r="AA56" s="86">
        <f t="shared" si="6"/>
        <v>333.94000000000005</v>
      </c>
      <c r="AB56" s="86">
        <f t="shared" si="6"/>
        <v>424.64</v>
      </c>
      <c r="AC56" s="86">
        <f t="shared" si="6"/>
        <v>425.34</v>
      </c>
      <c r="AD56" s="86">
        <f t="shared" si="6"/>
        <v>426.14000000000004</v>
      </c>
      <c r="AE56" s="86">
        <f t="shared" si="6"/>
        <v>419.14000000000004</v>
      </c>
      <c r="AF56" s="86">
        <f t="shared" si="6"/>
        <v>425.73999999999995</v>
      </c>
      <c r="AG56" s="101">
        <f t="shared" si="6"/>
        <v>489.91</v>
      </c>
      <c r="AH56" s="20">
        <f t="shared" si="2"/>
        <v>426.14000000000004</v>
      </c>
      <c r="AI56" s="19">
        <f t="shared" si="3"/>
        <v>92.84</v>
      </c>
      <c r="AK56" s="41"/>
    </row>
    <row r="57" spans="1:41" x14ac:dyDescent="0.25">
      <c r="A57" s="97" t="s">
        <v>177</v>
      </c>
      <c r="B57" s="105">
        <v>0</v>
      </c>
      <c r="C57" s="105">
        <v>0</v>
      </c>
      <c r="D57" s="105">
        <v>0</v>
      </c>
      <c r="E57" s="105">
        <v>0</v>
      </c>
      <c r="F57" s="105">
        <v>0</v>
      </c>
      <c r="G57" s="105">
        <v>0</v>
      </c>
      <c r="H57" s="105">
        <v>0</v>
      </c>
      <c r="I57" s="105">
        <v>0</v>
      </c>
      <c r="J57" s="105">
        <v>0</v>
      </c>
      <c r="K57" s="105">
        <v>0</v>
      </c>
      <c r="L57" s="105">
        <v>0</v>
      </c>
      <c r="M57" s="105">
        <v>0</v>
      </c>
      <c r="N57" s="105">
        <v>0</v>
      </c>
      <c r="O57" s="105">
        <v>0</v>
      </c>
      <c r="P57" s="105">
        <v>0</v>
      </c>
      <c r="Q57" s="105">
        <v>0</v>
      </c>
      <c r="R57" s="105">
        <v>0</v>
      </c>
      <c r="S57" s="105">
        <v>0</v>
      </c>
      <c r="T57" s="105">
        <v>0</v>
      </c>
      <c r="U57" s="105">
        <v>0</v>
      </c>
      <c r="V57" s="105">
        <v>0</v>
      </c>
      <c r="W57" s="105">
        <v>0</v>
      </c>
      <c r="X57" s="105">
        <v>0</v>
      </c>
      <c r="Y57" s="105">
        <v>0</v>
      </c>
      <c r="Z57" s="105">
        <v>20</v>
      </c>
      <c r="AA57" s="105">
        <v>0</v>
      </c>
      <c r="AB57" s="105">
        <v>0</v>
      </c>
      <c r="AC57" s="105">
        <v>0</v>
      </c>
      <c r="AD57" s="105">
        <v>0</v>
      </c>
      <c r="AE57" s="105">
        <v>0</v>
      </c>
      <c r="AF57" s="105">
        <v>0</v>
      </c>
      <c r="AG57" s="96">
        <v>60</v>
      </c>
      <c r="AH57" s="20">
        <f t="shared" si="2"/>
        <v>20</v>
      </c>
      <c r="AI57" s="19">
        <f t="shared" si="3"/>
        <v>0</v>
      </c>
      <c r="AK57" s="41"/>
    </row>
    <row r="58" spans="1:41" x14ac:dyDescent="0.25">
      <c r="A58" s="95" t="s">
        <v>176</v>
      </c>
      <c r="B58" s="80">
        <v>0</v>
      </c>
      <c r="C58" s="80">
        <v>0</v>
      </c>
      <c r="D58" s="80">
        <v>0</v>
      </c>
      <c r="E58" s="80">
        <v>0</v>
      </c>
      <c r="F58" s="80">
        <v>0</v>
      </c>
      <c r="G58" s="80">
        <v>0</v>
      </c>
      <c r="H58" s="80">
        <v>0</v>
      </c>
      <c r="I58" s="80">
        <v>0</v>
      </c>
      <c r="J58" s="80">
        <v>0</v>
      </c>
      <c r="K58" s="80">
        <v>0</v>
      </c>
      <c r="L58" s="80">
        <v>0</v>
      </c>
      <c r="M58" s="80">
        <v>0</v>
      </c>
      <c r="N58" s="80">
        <v>0</v>
      </c>
      <c r="O58" s="80">
        <v>0</v>
      </c>
      <c r="P58" s="80">
        <v>0</v>
      </c>
      <c r="Q58" s="80">
        <v>0</v>
      </c>
      <c r="R58" s="80">
        <v>0</v>
      </c>
      <c r="S58" s="80">
        <v>0</v>
      </c>
      <c r="T58" s="80">
        <v>0</v>
      </c>
      <c r="U58" s="80">
        <v>0</v>
      </c>
      <c r="V58" s="80">
        <v>0</v>
      </c>
      <c r="W58" s="80">
        <v>0</v>
      </c>
      <c r="X58" s="80">
        <v>0</v>
      </c>
      <c r="Y58" s="80">
        <v>0</v>
      </c>
      <c r="Z58" s="80">
        <v>12</v>
      </c>
      <c r="AA58" s="80">
        <v>0</v>
      </c>
      <c r="AB58" s="80">
        <v>0</v>
      </c>
      <c r="AC58" s="80">
        <v>0</v>
      </c>
      <c r="AD58" s="80">
        <v>0</v>
      </c>
      <c r="AE58" s="80">
        <v>0</v>
      </c>
      <c r="AF58" s="80">
        <v>0</v>
      </c>
      <c r="AG58" s="94">
        <v>32</v>
      </c>
      <c r="AH58" s="20">
        <f t="shared" si="2"/>
        <v>12</v>
      </c>
      <c r="AI58" s="19">
        <f t="shared" si="3"/>
        <v>0</v>
      </c>
      <c r="AK58" s="41"/>
    </row>
    <row r="59" spans="1:41" ht="15.75" thickBot="1" x14ac:dyDescent="0.3">
      <c r="A59" s="108" t="s">
        <v>175</v>
      </c>
      <c r="B59" s="107">
        <v>0</v>
      </c>
      <c r="C59" s="107">
        <v>0</v>
      </c>
      <c r="D59" s="107">
        <v>0</v>
      </c>
      <c r="E59" s="107">
        <v>0</v>
      </c>
      <c r="F59" s="107">
        <v>0</v>
      </c>
      <c r="G59" s="107">
        <v>0</v>
      </c>
      <c r="H59" s="107">
        <v>0</v>
      </c>
      <c r="I59" s="107">
        <v>0</v>
      </c>
      <c r="J59" s="107">
        <v>0</v>
      </c>
      <c r="K59" s="107">
        <v>0</v>
      </c>
      <c r="L59" s="107">
        <v>0</v>
      </c>
      <c r="M59" s="107">
        <v>0</v>
      </c>
      <c r="N59" s="107">
        <v>0</v>
      </c>
      <c r="O59" s="107">
        <v>0</v>
      </c>
      <c r="P59" s="107">
        <v>0</v>
      </c>
      <c r="Q59" s="107">
        <v>0</v>
      </c>
      <c r="R59" s="107">
        <v>0</v>
      </c>
      <c r="S59" s="107">
        <v>0</v>
      </c>
      <c r="T59" s="107">
        <v>0</v>
      </c>
      <c r="U59" s="107">
        <v>0</v>
      </c>
      <c r="V59" s="107">
        <v>0</v>
      </c>
      <c r="W59" s="107">
        <v>0</v>
      </c>
      <c r="X59" s="107">
        <v>0</v>
      </c>
      <c r="Y59" s="107">
        <v>0</v>
      </c>
      <c r="Z59" s="107">
        <v>5.3</v>
      </c>
      <c r="AA59" s="107">
        <v>0</v>
      </c>
      <c r="AB59" s="107">
        <v>0</v>
      </c>
      <c r="AC59" s="107">
        <v>0</v>
      </c>
      <c r="AD59" s="107">
        <v>0</v>
      </c>
      <c r="AE59" s="107">
        <v>0</v>
      </c>
      <c r="AF59" s="107">
        <v>0</v>
      </c>
      <c r="AG59" s="106">
        <v>14</v>
      </c>
      <c r="AH59" s="20">
        <f t="shared" si="2"/>
        <v>5.3</v>
      </c>
      <c r="AI59" s="19">
        <f t="shared" si="3"/>
        <v>0</v>
      </c>
      <c r="AK59" s="41"/>
    </row>
    <row r="60" spans="1:41" ht="15.75" thickBot="1" x14ac:dyDescent="0.3">
      <c r="A60" s="87" t="s">
        <v>174</v>
      </c>
      <c r="B60" s="86">
        <f>SUM(B57:B59)</f>
        <v>0</v>
      </c>
      <c r="C60" s="86">
        <f t="shared" ref="C60:AG60" si="7">SUM(C57:C59)</f>
        <v>0</v>
      </c>
      <c r="D60" s="86">
        <f t="shared" si="7"/>
        <v>0</v>
      </c>
      <c r="E60" s="86">
        <f t="shared" si="7"/>
        <v>0</v>
      </c>
      <c r="F60" s="86">
        <f t="shared" si="7"/>
        <v>0</v>
      </c>
      <c r="G60" s="86">
        <f t="shared" si="7"/>
        <v>0</v>
      </c>
      <c r="H60" s="86">
        <f t="shared" si="7"/>
        <v>0</v>
      </c>
      <c r="I60" s="86">
        <f t="shared" si="7"/>
        <v>0</v>
      </c>
      <c r="J60" s="86">
        <f t="shared" si="7"/>
        <v>0</v>
      </c>
      <c r="K60" s="86">
        <f t="shared" si="7"/>
        <v>0</v>
      </c>
      <c r="L60" s="86">
        <f t="shared" si="7"/>
        <v>0</v>
      </c>
      <c r="M60" s="86">
        <f t="shared" si="7"/>
        <v>0</v>
      </c>
      <c r="N60" s="86">
        <f t="shared" si="7"/>
        <v>0</v>
      </c>
      <c r="O60" s="86">
        <f t="shared" si="7"/>
        <v>0</v>
      </c>
      <c r="P60" s="86">
        <f t="shared" si="7"/>
        <v>0</v>
      </c>
      <c r="Q60" s="86">
        <f t="shared" si="7"/>
        <v>0</v>
      </c>
      <c r="R60" s="86">
        <f t="shared" si="7"/>
        <v>0</v>
      </c>
      <c r="S60" s="86">
        <f t="shared" si="7"/>
        <v>0</v>
      </c>
      <c r="T60" s="86">
        <f t="shared" si="7"/>
        <v>0</v>
      </c>
      <c r="U60" s="86">
        <f t="shared" si="7"/>
        <v>0</v>
      </c>
      <c r="V60" s="86">
        <f t="shared" si="7"/>
        <v>0</v>
      </c>
      <c r="W60" s="86">
        <f t="shared" si="7"/>
        <v>0</v>
      </c>
      <c r="X60" s="86">
        <f t="shared" si="7"/>
        <v>0</v>
      </c>
      <c r="Y60" s="86">
        <f t="shared" si="7"/>
        <v>0</v>
      </c>
      <c r="Z60" s="86">
        <f t="shared" si="7"/>
        <v>37.299999999999997</v>
      </c>
      <c r="AA60" s="86">
        <f t="shared" si="7"/>
        <v>0</v>
      </c>
      <c r="AB60" s="86">
        <f t="shared" si="7"/>
        <v>0</v>
      </c>
      <c r="AC60" s="86">
        <f t="shared" si="7"/>
        <v>0</v>
      </c>
      <c r="AD60" s="86">
        <f t="shared" si="7"/>
        <v>0</v>
      </c>
      <c r="AE60" s="86">
        <f t="shared" si="7"/>
        <v>0</v>
      </c>
      <c r="AF60" s="86">
        <f t="shared" si="7"/>
        <v>0</v>
      </c>
      <c r="AG60" s="101">
        <f t="shared" si="7"/>
        <v>106</v>
      </c>
      <c r="AH60" s="20">
        <f t="shared" si="2"/>
        <v>37.299999999999997</v>
      </c>
      <c r="AI60" s="19">
        <f t="shared" si="3"/>
        <v>0</v>
      </c>
      <c r="AK60" s="41"/>
    </row>
    <row r="61" spans="1:41" x14ac:dyDescent="0.25">
      <c r="A61" s="97" t="s">
        <v>152</v>
      </c>
      <c r="B61" s="105">
        <v>0</v>
      </c>
      <c r="C61" s="105">
        <v>0</v>
      </c>
      <c r="D61" s="105">
        <v>0</v>
      </c>
      <c r="E61" s="105">
        <v>0</v>
      </c>
      <c r="F61" s="105">
        <v>0</v>
      </c>
      <c r="G61" s="105">
        <v>0</v>
      </c>
      <c r="H61" s="105">
        <v>0</v>
      </c>
      <c r="I61" s="105">
        <v>0</v>
      </c>
      <c r="J61" s="105">
        <v>0</v>
      </c>
      <c r="K61" s="105">
        <v>0</v>
      </c>
      <c r="L61" s="105">
        <v>0</v>
      </c>
      <c r="M61" s="105">
        <v>0</v>
      </c>
      <c r="N61" s="105">
        <v>0</v>
      </c>
      <c r="O61" s="105">
        <v>0</v>
      </c>
      <c r="P61" s="105">
        <v>0</v>
      </c>
      <c r="Q61" s="105">
        <v>5.5</v>
      </c>
      <c r="R61" s="105">
        <v>10</v>
      </c>
      <c r="S61" s="105">
        <v>15</v>
      </c>
      <c r="T61" s="105">
        <v>52</v>
      </c>
      <c r="U61" s="105">
        <v>0</v>
      </c>
      <c r="V61" s="105">
        <v>0</v>
      </c>
      <c r="W61" s="105">
        <v>0</v>
      </c>
      <c r="X61" s="105">
        <v>0</v>
      </c>
      <c r="Y61" s="105">
        <v>36</v>
      </c>
      <c r="Z61" s="105">
        <v>0</v>
      </c>
      <c r="AA61" s="105">
        <v>0</v>
      </c>
      <c r="AB61" s="105">
        <v>0</v>
      </c>
      <c r="AC61" s="105">
        <v>0</v>
      </c>
      <c r="AD61" s="105">
        <v>0</v>
      </c>
      <c r="AE61" s="105">
        <v>0</v>
      </c>
      <c r="AF61" s="105">
        <v>0</v>
      </c>
      <c r="AG61" s="96"/>
      <c r="AH61" s="20">
        <f t="shared" si="2"/>
        <v>52</v>
      </c>
      <c r="AI61" s="19">
        <f t="shared" si="3"/>
        <v>0</v>
      </c>
      <c r="AK61" s="41"/>
    </row>
    <row r="62" spans="1:41" x14ac:dyDescent="0.25">
      <c r="A62" s="95" t="s">
        <v>155</v>
      </c>
      <c r="B62" s="80">
        <v>0</v>
      </c>
      <c r="C62" s="80">
        <v>0</v>
      </c>
      <c r="D62" s="80">
        <v>0</v>
      </c>
      <c r="E62" s="80">
        <v>0</v>
      </c>
      <c r="F62" s="80">
        <v>0</v>
      </c>
      <c r="G62" s="80">
        <v>0</v>
      </c>
      <c r="H62" s="80">
        <v>0</v>
      </c>
      <c r="I62" s="80">
        <v>0</v>
      </c>
      <c r="J62" s="80">
        <v>0</v>
      </c>
      <c r="K62" s="80">
        <v>0</v>
      </c>
      <c r="L62" s="80">
        <v>0</v>
      </c>
      <c r="M62" s="80">
        <v>0</v>
      </c>
      <c r="N62" s="80">
        <v>0</v>
      </c>
      <c r="O62" s="80">
        <v>0</v>
      </c>
      <c r="P62" s="80">
        <v>0</v>
      </c>
      <c r="Q62" s="80">
        <v>0</v>
      </c>
      <c r="R62" s="80">
        <v>0</v>
      </c>
      <c r="S62" s="80">
        <v>0</v>
      </c>
      <c r="T62" s="80">
        <v>0</v>
      </c>
      <c r="U62" s="80">
        <v>0</v>
      </c>
      <c r="V62" s="80">
        <v>0</v>
      </c>
      <c r="W62" s="80">
        <v>0</v>
      </c>
      <c r="X62" s="80">
        <v>0</v>
      </c>
      <c r="Y62" s="80">
        <v>0</v>
      </c>
      <c r="Z62" s="80">
        <v>0</v>
      </c>
      <c r="AA62" s="80">
        <v>0</v>
      </c>
      <c r="AB62" s="80">
        <v>0</v>
      </c>
      <c r="AC62" s="80">
        <v>0</v>
      </c>
      <c r="AD62" s="80">
        <v>0</v>
      </c>
      <c r="AE62" s="80">
        <v>0</v>
      </c>
      <c r="AF62" s="80">
        <v>0</v>
      </c>
      <c r="AG62" s="94"/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5" t="s">
        <v>173</v>
      </c>
      <c r="B63" s="80">
        <v>-399.5</v>
      </c>
      <c r="C63" s="80">
        <v>-405</v>
      </c>
      <c r="D63" s="80">
        <v>-399.7</v>
      </c>
      <c r="E63" s="80">
        <v>-418</v>
      </c>
      <c r="F63" s="80">
        <v>-393</v>
      </c>
      <c r="G63" s="80">
        <v>-377</v>
      </c>
      <c r="H63" s="80">
        <v>-403.2</v>
      </c>
      <c r="I63" s="80">
        <v>-389</v>
      </c>
      <c r="J63" s="80">
        <v>-372</v>
      </c>
      <c r="K63" s="80">
        <v>-378</v>
      </c>
      <c r="L63" s="80">
        <v>-395.3</v>
      </c>
      <c r="M63" s="80">
        <v>-394.8</v>
      </c>
      <c r="N63" s="80">
        <v>-370</v>
      </c>
      <c r="O63" s="80">
        <v>-368</v>
      </c>
      <c r="P63" s="80">
        <v>-320</v>
      </c>
      <c r="Q63" s="80">
        <v>-321.89999999999998</v>
      </c>
      <c r="R63" s="80">
        <v>-348</v>
      </c>
      <c r="S63" s="80">
        <v>-317</v>
      </c>
      <c r="T63" s="80">
        <v>-320</v>
      </c>
      <c r="U63" s="80">
        <v>-374</v>
      </c>
      <c r="V63" s="80">
        <v>-405</v>
      </c>
      <c r="W63" s="80">
        <v>-378</v>
      </c>
      <c r="X63" s="80">
        <v>-378</v>
      </c>
      <c r="Y63" s="80">
        <v>-255</v>
      </c>
      <c r="Z63" s="80">
        <v>-255</v>
      </c>
      <c r="AA63" s="80">
        <v>-255</v>
      </c>
      <c r="AB63" s="80">
        <v>-292</v>
      </c>
      <c r="AC63" s="80">
        <v>-327</v>
      </c>
      <c r="AD63" s="80">
        <v>-344.3</v>
      </c>
      <c r="AE63" s="80">
        <v>-427</v>
      </c>
      <c r="AF63" s="80">
        <v>-420.5</v>
      </c>
      <c r="AG63" s="102"/>
      <c r="AH63" s="20">
        <f t="shared" si="2"/>
        <v>-255</v>
      </c>
      <c r="AI63" s="19">
        <f t="shared" si="3"/>
        <v>-427</v>
      </c>
      <c r="AK63" s="41"/>
    </row>
    <row r="64" spans="1:41" x14ac:dyDescent="0.25">
      <c r="A64" s="95" t="s">
        <v>156</v>
      </c>
      <c r="B64" s="93">
        <v>0</v>
      </c>
      <c r="C64" s="93">
        <v>0</v>
      </c>
      <c r="D64" s="93">
        <v>0</v>
      </c>
      <c r="E64" s="93">
        <v>0</v>
      </c>
      <c r="F64" s="93">
        <v>0</v>
      </c>
      <c r="G64" s="93">
        <v>0</v>
      </c>
      <c r="H64" s="93">
        <v>0</v>
      </c>
      <c r="I64" s="93">
        <v>0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0</v>
      </c>
      <c r="Z64" s="93">
        <v>0</v>
      </c>
      <c r="AA64" s="93">
        <v>0</v>
      </c>
      <c r="AB64" s="93">
        <v>0</v>
      </c>
      <c r="AC64" s="93">
        <v>0</v>
      </c>
      <c r="AD64" s="93">
        <v>0</v>
      </c>
      <c r="AE64" s="93">
        <v>0</v>
      </c>
      <c r="AF64" s="93">
        <v>0</v>
      </c>
      <c r="AG64" s="102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172</v>
      </c>
      <c r="B65" s="105">
        <v>0</v>
      </c>
      <c r="C65" s="105">
        <v>0</v>
      </c>
      <c r="D65" s="105">
        <v>0</v>
      </c>
      <c r="E65" s="105">
        <v>0</v>
      </c>
      <c r="F65" s="105">
        <v>0</v>
      </c>
      <c r="G65" s="105">
        <v>0</v>
      </c>
      <c r="H65" s="105">
        <v>0</v>
      </c>
      <c r="I65" s="105">
        <v>0</v>
      </c>
      <c r="J65" s="105">
        <v>0</v>
      </c>
      <c r="K65" s="105">
        <v>0</v>
      </c>
      <c r="L65" s="105">
        <v>0</v>
      </c>
      <c r="M65" s="105">
        <v>0</v>
      </c>
      <c r="N65" s="105">
        <v>0</v>
      </c>
      <c r="O65" s="105">
        <v>0</v>
      </c>
      <c r="P65" s="105">
        <v>0</v>
      </c>
      <c r="Q65" s="105">
        <v>0</v>
      </c>
      <c r="R65" s="105">
        <v>0</v>
      </c>
      <c r="S65" s="105">
        <v>0</v>
      </c>
      <c r="T65" s="105">
        <v>0</v>
      </c>
      <c r="U65" s="105">
        <v>0</v>
      </c>
      <c r="V65" s="105">
        <v>0</v>
      </c>
      <c r="W65" s="105">
        <v>0</v>
      </c>
      <c r="X65" s="105">
        <v>0</v>
      </c>
      <c r="Y65" s="105">
        <v>0</v>
      </c>
      <c r="Z65" s="105">
        <v>0</v>
      </c>
      <c r="AA65" s="105">
        <v>0</v>
      </c>
      <c r="AB65" s="105">
        <v>0</v>
      </c>
      <c r="AC65" s="105">
        <v>0</v>
      </c>
      <c r="AD65" s="105">
        <v>0</v>
      </c>
      <c r="AE65" s="105">
        <v>0</v>
      </c>
      <c r="AF65" s="105">
        <v>0</v>
      </c>
      <c r="AG65" s="102"/>
      <c r="AH65" s="20">
        <f t="shared" si="2"/>
        <v>0</v>
      </c>
      <c r="AI65" s="19">
        <f t="shared" si="3"/>
        <v>0</v>
      </c>
      <c r="AK65" s="41"/>
    </row>
    <row r="66" spans="1:37" x14ac:dyDescent="0.25">
      <c r="A66" s="95" t="s">
        <v>171</v>
      </c>
      <c r="B66" s="103">
        <v>0</v>
      </c>
      <c r="C66" s="103">
        <v>0</v>
      </c>
      <c r="D66" s="103">
        <v>0</v>
      </c>
      <c r="E66" s="103">
        <v>0</v>
      </c>
      <c r="F66" s="103">
        <v>0</v>
      </c>
      <c r="G66" s="103">
        <v>0</v>
      </c>
      <c r="H66" s="103">
        <v>0</v>
      </c>
      <c r="I66" s="103">
        <v>0</v>
      </c>
      <c r="J66" s="103">
        <v>0</v>
      </c>
      <c r="K66" s="103">
        <v>0</v>
      </c>
      <c r="L66" s="103">
        <v>0</v>
      </c>
      <c r="M66" s="103">
        <v>0</v>
      </c>
      <c r="N66" s="103">
        <v>0</v>
      </c>
      <c r="O66" s="103">
        <v>0</v>
      </c>
      <c r="P66" s="103">
        <v>0</v>
      </c>
      <c r="Q66" s="103">
        <v>0</v>
      </c>
      <c r="R66" s="103">
        <v>0</v>
      </c>
      <c r="S66" s="103">
        <v>0</v>
      </c>
      <c r="T66" s="103">
        <v>0</v>
      </c>
      <c r="U66" s="103">
        <v>0</v>
      </c>
      <c r="V66" s="103">
        <v>0</v>
      </c>
      <c r="W66" s="103">
        <v>0</v>
      </c>
      <c r="X66" s="103">
        <v>0</v>
      </c>
      <c r="Y66" s="103">
        <v>0</v>
      </c>
      <c r="Z66" s="103">
        <v>0</v>
      </c>
      <c r="AA66" s="103">
        <v>0</v>
      </c>
      <c r="AB66" s="103">
        <v>0</v>
      </c>
      <c r="AC66" s="103">
        <v>0</v>
      </c>
      <c r="AD66" s="103">
        <v>0</v>
      </c>
      <c r="AE66" s="103">
        <v>0</v>
      </c>
      <c r="AF66" s="10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170</v>
      </c>
      <c r="B67" s="103">
        <v>0</v>
      </c>
      <c r="C67" s="103">
        <v>0</v>
      </c>
      <c r="D67" s="103">
        <v>0</v>
      </c>
      <c r="E67" s="103">
        <v>0</v>
      </c>
      <c r="F67" s="103">
        <v>0</v>
      </c>
      <c r="G67" s="103">
        <v>0</v>
      </c>
      <c r="H67" s="103">
        <v>0</v>
      </c>
      <c r="I67" s="103">
        <v>0</v>
      </c>
      <c r="J67" s="103">
        <v>0</v>
      </c>
      <c r="K67" s="103">
        <v>0</v>
      </c>
      <c r="L67" s="103">
        <v>0</v>
      </c>
      <c r="M67" s="103">
        <v>0</v>
      </c>
      <c r="N67" s="103">
        <v>0</v>
      </c>
      <c r="O67" s="103">
        <v>0</v>
      </c>
      <c r="P67" s="103">
        <v>0</v>
      </c>
      <c r="Q67" s="103">
        <v>0</v>
      </c>
      <c r="R67" s="103">
        <v>0</v>
      </c>
      <c r="S67" s="103">
        <v>0</v>
      </c>
      <c r="T67" s="103">
        <v>0</v>
      </c>
      <c r="U67" s="103">
        <v>0</v>
      </c>
      <c r="V67" s="103">
        <v>0</v>
      </c>
      <c r="W67" s="103">
        <v>0</v>
      </c>
      <c r="X67" s="103">
        <v>0</v>
      </c>
      <c r="Y67" s="103">
        <v>0</v>
      </c>
      <c r="Z67" s="103">
        <v>0</v>
      </c>
      <c r="AA67" s="103">
        <v>0</v>
      </c>
      <c r="AB67" s="103">
        <v>0</v>
      </c>
      <c r="AC67" s="103">
        <v>0</v>
      </c>
      <c r="AD67" s="103">
        <v>0</v>
      </c>
      <c r="AE67" s="103">
        <v>0</v>
      </c>
      <c r="AF67" s="103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169</v>
      </c>
      <c r="B68" s="93">
        <v>0</v>
      </c>
      <c r="C68" s="93">
        <v>0</v>
      </c>
      <c r="D68" s="93">
        <v>0</v>
      </c>
      <c r="E68" s="93">
        <v>0</v>
      </c>
      <c r="F68" s="93">
        <v>0</v>
      </c>
      <c r="G68" s="93">
        <v>0</v>
      </c>
      <c r="H68" s="93">
        <v>0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0</v>
      </c>
      <c r="X68" s="93">
        <v>0</v>
      </c>
      <c r="Y68" s="93">
        <v>0</v>
      </c>
      <c r="Z68" s="93">
        <v>0</v>
      </c>
      <c r="AA68" s="93">
        <v>0</v>
      </c>
      <c r="AB68" s="93">
        <v>0</v>
      </c>
      <c r="AC68" s="93">
        <v>0</v>
      </c>
      <c r="AD68" s="93">
        <v>0</v>
      </c>
      <c r="AE68" s="93">
        <v>0</v>
      </c>
      <c r="AF68" s="9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168</v>
      </c>
      <c r="B69" s="93">
        <v>0</v>
      </c>
      <c r="C69" s="93">
        <v>0</v>
      </c>
      <c r="D69" s="93">
        <v>0</v>
      </c>
      <c r="E69" s="93">
        <v>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  <c r="AA69" s="93">
        <v>0</v>
      </c>
      <c r="AB69" s="93">
        <v>0</v>
      </c>
      <c r="AC69" s="93">
        <v>0</v>
      </c>
      <c r="AD69" s="93">
        <v>0</v>
      </c>
      <c r="AE69" s="93">
        <v>0</v>
      </c>
      <c r="AF69" s="9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1" t="s">
        <v>167</v>
      </c>
      <c r="B70" s="90">
        <v>0</v>
      </c>
      <c r="C70" s="90">
        <v>0</v>
      </c>
      <c r="D70" s="90">
        <v>0</v>
      </c>
      <c r="E70" s="90">
        <v>0</v>
      </c>
      <c r="F70" s="90">
        <v>0</v>
      </c>
      <c r="G70" s="90">
        <v>0</v>
      </c>
      <c r="H70" s="90">
        <v>0</v>
      </c>
      <c r="I70" s="90">
        <v>0</v>
      </c>
      <c r="J70" s="90">
        <v>0</v>
      </c>
      <c r="K70" s="90">
        <v>0</v>
      </c>
      <c r="L70" s="90">
        <v>0</v>
      </c>
      <c r="M70" s="90">
        <v>0</v>
      </c>
      <c r="N70" s="90">
        <v>0</v>
      </c>
      <c r="O70" s="90">
        <v>0</v>
      </c>
      <c r="P70" s="90">
        <v>0</v>
      </c>
      <c r="Q70" s="90">
        <v>0</v>
      </c>
      <c r="R70" s="90">
        <v>0</v>
      </c>
      <c r="S70" s="90">
        <v>0</v>
      </c>
      <c r="T70" s="90">
        <v>0</v>
      </c>
      <c r="U70" s="90">
        <v>0</v>
      </c>
      <c r="V70" s="90">
        <v>0</v>
      </c>
      <c r="W70" s="90">
        <v>0</v>
      </c>
      <c r="X70" s="90">
        <v>0</v>
      </c>
      <c r="Y70" s="90">
        <v>0</v>
      </c>
      <c r="Z70" s="90">
        <v>0</v>
      </c>
      <c r="AA70" s="90">
        <v>0</v>
      </c>
      <c r="AB70" s="90">
        <v>0</v>
      </c>
      <c r="AC70" s="90">
        <v>0</v>
      </c>
      <c r="AD70" s="90">
        <v>0</v>
      </c>
      <c r="AE70" s="90">
        <v>0</v>
      </c>
      <c r="AF70" s="90">
        <v>0</v>
      </c>
      <c r="AG70" s="89"/>
      <c r="AH70" s="20">
        <f t="shared" si="2"/>
        <v>0</v>
      </c>
      <c r="AI70" s="19">
        <f t="shared" si="3"/>
        <v>0</v>
      </c>
      <c r="AK70" s="41"/>
    </row>
    <row r="71" spans="1:37" ht="15.75" thickBot="1" x14ac:dyDescent="0.3">
      <c r="A71" s="91" t="s">
        <v>166</v>
      </c>
      <c r="B71" s="90">
        <v>0</v>
      </c>
      <c r="C71" s="90">
        <v>0</v>
      </c>
      <c r="D71" s="90">
        <v>0</v>
      </c>
      <c r="E71" s="90">
        <v>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  <c r="AA71" s="90">
        <v>0</v>
      </c>
      <c r="AB71" s="90">
        <v>0</v>
      </c>
      <c r="AC71" s="90">
        <v>0</v>
      </c>
      <c r="AD71" s="90">
        <v>0</v>
      </c>
      <c r="AE71" s="90">
        <v>0</v>
      </c>
      <c r="AF71" s="90">
        <v>0</v>
      </c>
      <c r="AG71" s="89"/>
      <c r="AH71" s="20">
        <f t="shared" si="2"/>
        <v>0</v>
      </c>
      <c r="AI71" s="19">
        <f t="shared" si="3"/>
        <v>0</v>
      </c>
      <c r="AK71" s="41"/>
    </row>
    <row r="72" spans="1:37" ht="15.75" thickBot="1" x14ac:dyDescent="0.3">
      <c r="A72" s="87" t="s">
        <v>165</v>
      </c>
      <c r="B72" s="86">
        <f>SUMIF(B61:B71,"&gt;0")</f>
        <v>0</v>
      </c>
      <c r="C72" s="86">
        <f t="shared" ref="C72:AF72" si="8">SUMIF(C61:C71,"&gt;0")</f>
        <v>0</v>
      </c>
      <c r="D72" s="86">
        <f t="shared" si="8"/>
        <v>0</v>
      </c>
      <c r="E72" s="86">
        <f t="shared" si="8"/>
        <v>0</v>
      </c>
      <c r="F72" s="86">
        <f t="shared" si="8"/>
        <v>0</v>
      </c>
      <c r="G72" s="86">
        <f t="shared" si="8"/>
        <v>0</v>
      </c>
      <c r="H72" s="86">
        <f t="shared" si="8"/>
        <v>0</v>
      </c>
      <c r="I72" s="86">
        <f t="shared" si="8"/>
        <v>0</v>
      </c>
      <c r="J72" s="86">
        <f t="shared" si="8"/>
        <v>0</v>
      </c>
      <c r="K72" s="86">
        <f t="shared" si="8"/>
        <v>0</v>
      </c>
      <c r="L72" s="86">
        <f t="shared" si="8"/>
        <v>0</v>
      </c>
      <c r="M72" s="86">
        <f t="shared" si="8"/>
        <v>0</v>
      </c>
      <c r="N72" s="86">
        <f t="shared" si="8"/>
        <v>0</v>
      </c>
      <c r="O72" s="86">
        <f t="shared" si="8"/>
        <v>0</v>
      </c>
      <c r="P72" s="86">
        <f t="shared" si="8"/>
        <v>0</v>
      </c>
      <c r="Q72" s="86">
        <f t="shared" si="8"/>
        <v>5.5</v>
      </c>
      <c r="R72" s="86">
        <f t="shared" si="8"/>
        <v>10</v>
      </c>
      <c r="S72" s="86">
        <f t="shared" si="8"/>
        <v>15</v>
      </c>
      <c r="T72" s="86">
        <f t="shared" si="8"/>
        <v>52</v>
      </c>
      <c r="U72" s="86">
        <f t="shared" si="8"/>
        <v>0</v>
      </c>
      <c r="V72" s="86">
        <f t="shared" si="8"/>
        <v>0</v>
      </c>
      <c r="W72" s="86">
        <f t="shared" si="8"/>
        <v>0</v>
      </c>
      <c r="X72" s="86">
        <f t="shared" si="8"/>
        <v>0</v>
      </c>
      <c r="Y72" s="86">
        <f t="shared" si="8"/>
        <v>36</v>
      </c>
      <c r="Z72" s="86">
        <f t="shared" si="8"/>
        <v>0</v>
      </c>
      <c r="AA72" s="86">
        <f t="shared" si="8"/>
        <v>0</v>
      </c>
      <c r="AB72" s="86">
        <f t="shared" si="8"/>
        <v>0</v>
      </c>
      <c r="AC72" s="86">
        <f t="shared" si="8"/>
        <v>0</v>
      </c>
      <c r="AD72" s="86">
        <f t="shared" si="8"/>
        <v>0</v>
      </c>
      <c r="AE72" s="86">
        <f t="shared" si="8"/>
        <v>0</v>
      </c>
      <c r="AF72" s="86">
        <f t="shared" si="8"/>
        <v>0</v>
      </c>
      <c r="AG72" s="85">
        <f>SUM(AG61:AG71)</f>
        <v>0</v>
      </c>
      <c r="AH72" s="20">
        <f t="shared" si="2"/>
        <v>52</v>
      </c>
      <c r="AI72" s="19">
        <f t="shared" si="3"/>
        <v>0</v>
      </c>
      <c r="AK72" s="41"/>
    </row>
    <row r="73" spans="1:37" x14ac:dyDescent="0.25">
      <c r="A73" s="97" t="s">
        <v>164</v>
      </c>
      <c r="B73" s="93">
        <v>0</v>
      </c>
      <c r="C73" s="93">
        <v>0</v>
      </c>
      <c r="D73" s="93">
        <v>0</v>
      </c>
      <c r="E73" s="93">
        <v>0</v>
      </c>
      <c r="F73" s="93">
        <v>0</v>
      </c>
      <c r="G73" s="93">
        <v>0</v>
      </c>
      <c r="H73" s="93">
        <v>0</v>
      </c>
      <c r="I73" s="93">
        <v>0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0</v>
      </c>
      <c r="X73" s="93">
        <v>0</v>
      </c>
      <c r="Y73" s="93">
        <v>0</v>
      </c>
      <c r="Z73" s="93">
        <v>0</v>
      </c>
      <c r="AA73" s="93">
        <v>0</v>
      </c>
      <c r="AB73" s="93">
        <v>0</v>
      </c>
      <c r="AC73" s="93">
        <v>0</v>
      </c>
      <c r="AD73" s="93">
        <v>0</v>
      </c>
      <c r="AE73" s="93">
        <v>0</v>
      </c>
      <c r="AF73" s="93">
        <v>0</v>
      </c>
      <c r="AG73" s="104">
        <v>39</v>
      </c>
      <c r="AH73" s="20">
        <f t="shared" si="2"/>
        <v>0</v>
      </c>
      <c r="AI73" s="19">
        <f t="shared" si="3"/>
        <v>0</v>
      </c>
      <c r="AK73" s="41"/>
    </row>
    <row r="74" spans="1:37" x14ac:dyDescent="0.25">
      <c r="A74" s="95" t="s">
        <v>163</v>
      </c>
      <c r="B74" s="103">
        <v>0</v>
      </c>
      <c r="C74" s="103">
        <v>0</v>
      </c>
      <c r="D74" s="103">
        <v>0</v>
      </c>
      <c r="E74" s="103">
        <v>0</v>
      </c>
      <c r="F74" s="103">
        <v>0</v>
      </c>
      <c r="G74" s="103">
        <v>0</v>
      </c>
      <c r="H74" s="103">
        <v>0</v>
      </c>
      <c r="I74" s="103">
        <v>0</v>
      </c>
      <c r="J74" s="103">
        <v>0</v>
      </c>
      <c r="K74" s="103">
        <v>0</v>
      </c>
      <c r="L74" s="103">
        <v>0</v>
      </c>
      <c r="M74" s="103">
        <v>0</v>
      </c>
      <c r="N74" s="103">
        <v>0</v>
      </c>
      <c r="O74" s="103">
        <v>0</v>
      </c>
      <c r="P74" s="103">
        <v>0</v>
      </c>
      <c r="Q74" s="103">
        <v>0</v>
      </c>
      <c r="R74" s="103">
        <v>0</v>
      </c>
      <c r="S74" s="103">
        <v>0</v>
      </c>
      <c r="T74" s="103">
        <v>0</v>
      </c>
      <c r="U74" s="103">
        <v>0</v>
      </c>
      <c r="V74" s="103">
        <v>0</v>
      </c>
      <c r="W74" s="103">
        <v>0</v>
      </c>
      <c r="X74" s="103">
        <v>0</v>
      </c>
      <c r="Y74" s="103">
        <v>0</v>
      </c>
      <c r="Z74" s="103">
        <v>0</v>
      </c>
      <c r="AA74" s="103">
        <v>0</v>
      </c>
      <c r="AB74" s="103">
        <v>0</v>
      </c>
      <c r="AC74" s="103">
        <v>0</v>
      </c>
      <c r="AD74" s="103">
        <v>0</v>
      </c>
      <c r="AE74" s="103">
        <v>0</v>
      </c>
      <c r="AF74" s="103">
        <v>0</v>
      </c>
      <c r="AG74" s="102">
        <v>14.4</v>
      </c>
      <c r="AH74" s="20">
        <f t="shared" si="2"/>
        <v>0</v>
      </c>
      <c r="AI74" s="19">
        <f t="shared" si="3"/>
        <v>0</v>
      </c>
      <c r="AK74" s="41"/>
    </row>
    <row r="75" spans="1:37" ht="15.75" thickBot="1" x14ac:dyDescent="0.3">
      <c r="A75" s="91" t="s">
        <v>162</v>
      </c>
      <c r="B75" s="90">
        <v>0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0">
        <v>0</v>
      </c>
      <c r="AG75" s="89">
        <v>2</v>
      </c>
      <c r="AH75" s="20">
        <f t="shared" ref="AH75:AH97" si="9">MAX(B75:AF75)</f>
        <v>0</v>
      </c>
      <c r="AI75" s="19">
        <f>MIN(B75:AF75)</f>
        <v>0</v>
      </c>
    </row>
    <row r="76" spans="1:37" ht="15.75" thickBot="1" x14ac:dyDescent="0.3">
      <c r="A76" s="87" t="s">
        <v>161</v>
      </c>
      <c r="B76" s="86">
        <v>0</v>
      </c>
      <c r="C76" s="86">
        <v>0</v>
      </c>
      <c r="D76" s="86">
        <v>0</v>
      </c>
      <c r="E76" s="86">
        <v>0</v>
      </c>
      <c r="F76" s="86">
        <v>0</v>
      </c>
      <c r="G76" s="86">
        <v>0</v>
      </c>
      <c r="H76" s="86">
        <v>0</v>
      </c>
      <c r="I76" s="86">
        <v>0</v>
      </c>
      <c r="J76" s="86">
        <v>0</v>
      </c>
      <c r="K76" s="86">
        <v>0</v>
      </c>
      <c r="L76" s="86">
        <v>0</v>
      </c>
      <c r="M76" s="86">
        <v>0</v>
      </c>
      <c r="N76" s="86">
        <v>0</v>
      </c>
      <c r="O76" s="86">
        <v>0</v>
      </c>
      <c r="P76" s="86">
        <v>0</v>
      </c>
      <c r="Q76" s="86">
        <v>0</v>
      </c>
      <c r="R76" s="86">
        <v>0</v>
      </c>
      <c r="S76" s="86">
        <v>0</v>
      </c>
      <c r="T76" s="86">
        <v>0</v>
      </c>
      <c r="U76" s="86">
        <v>0</v>
      </c>
      <c r="V76" s="86">
        <v>0</v>
      </c>
      <c r="W76" s="86">
        <v>0</v>
      </c>
      <c r="X76" s="86">
        <v>0</v>
      </c>
      <c r="Y76" s="86">
        <v>0</v>
      </c>
      <c r="Z76" s="86">
        <v>0</v>
      </c>
      <c r="AA76" s="86">
        <v>0</v>
      </c>
      <c r="AB76" s="86">
        <v>0</v>
      </c>
      <c r="AC76" s="86">
        <v>0</v>
      </c>
      <c r="AD76" s="86">
        <v>0</v>
      </c>
      <c r="AE76" s="86">
        <v>0</v>
      </c>
      <c r="AF76" s="86">
        <v>0</v>
      </c>
      <c r="AG76" s="85">
        <f>SUM(AG73:AG75)</f>
        <v>55.4</v>
      </c>
      <c r="AH76" s="20">
        <f t="shared" si="9"/>
        <v>0</v>
      </c>
      <c r="AI76" s="19">
        <f>MIN(B76:AF76)</f>
        <v>0</v>
      </c>
    </row>
    <row r="77" spans="1:37" ht="15.75" thickBot="1" x14ac:dyDescent="0.3">
      <c r="A77" s="87" t="s">
        <v>160</v>
      </c>
      <c r="B77" s="98">
        <f>B38+B42+B60+B56+B72+B76</f>
        <v>1333.04</v>
      </c>
      <c r="C77" s="98">
        <f t="shared" ref="C77:AG77" si="10">C38+C42+C60+C56+C72+C76</f>
        <v>1318.74</v>
      </c>
      <c r="D77" s="98">
        <f t="shared" si="10"/>
        <v>1292.54</v>
      </c>
      <c r="E77" s="98">
        <f t="shared" si="10"/>
        <v>1306.24</v>
      </c>
      <c r="F77" s="98">
        <f t="shared" si="10"/>
        <v>1275.1399999999999</v>
      </c>
      <c r="G77" s="98">
        <f t="shared" si="10"/>
        <v>1275.6399999999999</v>
      </c>
      <c r="H77" s="98">
        <f t="shared" si="10"/>
        <v>1275.6399999999999</v>
      </c>
      <c r="I77" s="98">
        <f t="shared" si="10"/>
        <v>1296.54</v>
      </c>
      <c r="J77" s="98">
        <f t="shared" si="10"/>
        <v>1311.74</v>
      </c>
      <c r="K77" s="98">
        <f t="shared" si="10"/>
        <v>1429.44</v>
      </c>
      <c r="L77" s="98">
        <f t="shared" si="10"/>
        <v>1483.24</v>
      </c>
      <c r="M77" s="98">
        <f t="shared" si="10"/>
        <v>1553.6399999999999</v>
      </c>
      <c r="N77" s="98">
        <f t="shared" si="10"/>
        <v>1559.44</v>
      </c>
      <c r="O77" s="98">
        <f t="shared" si="10"/>
        <v>1562.94</v>
      </c>
      <c r="P77" s="98">
        <f t="shared" si="10"/>
        <v>1558.44</v>
      </c>
      <c r="Q77" s="98">
        <f t="shared" si="10"/>
        <v>1576.1399999999999</v>
      </c>
      <c r="R77" s="98">
        <f t="shared" si="10"/>
        <v>1580.44</v>
      </c>
      <c r="S77" s="98">
        <f t="shared" si="10"/>
        <v>1585.44</v>
      </c>
      <c r="T77" s="98">
        <f t="shared" si="10"/>
        <v>1634.44</v>
      </c>
      <c r="U77" s="98">
        <f t="shared" si="10"/>
        <v>1595.74</v>
      </c>
      <c r="V77" s="98">
        <f t="shared" si="10"/>
        <v>1667.8400000000001</v>
      </c>
      <c r="W77" s="98">
        <f t="shared" si="10"/>
        <v>1667.8400000000001</v>
      </c>
      <c r="X77" s="98">
        <f t="shared" si="10"/>
        <v>1649.8400000000001</v>
      </c>
      <c r="Y77" s="98">
        <f t="shared" si="10"/>
        <v>1670.8400000000001</v>
      </c>
      <c r="Z77" s="98">
        <f t="shared" si="10"/>
        <v>1745.64</v>
      </c>
      <c r="AA77" s="98">
        <f t="shared" si="10"/>
        <v>1708.3400000000001</v>
      </c>
      <c r="AB77" s="98">
        <f t="shared" si="10"/>
        <v>1800.04</v>
      </c>
      <c r="AC77" s="98">
        <f t="shared" si="10"/>
        <v>1800.74</v>
      </c>
      <c r="AD77" s="98">
        <f t="shared" si="10"/>
        <v>1801.5400000000002</v>
      </c>
      <c r="AE77" s="98">
        <f t="shared" si="10"/>
        <v>1777.5400000000002</v>
      </c>
      <c r="AF77" s="98">
        <f t="shared" si="10"/>
        <v>1784.14</v>
      </c>
      <c r="AG77" s="101">
        <f t="shared" si="10"/>
        <v>1855.1900000000003</v>
      </c>
      <c r="AH77" s="20">
        <f t="shared" si="9"/>
        <v>1801.5400000000002</v>
      </c>
      <c r="AI77" s="19">
        <f>MIN(B77:AF77)</f>
        <v>1275.1399999999999</v>
      </c>
    </row>
    <row r="78" spans="1:37" ht="15.75" thickBot="1" x14ac:dyDescent="0.3">
      <c r="A78" s="100" t="s">
        <v>159</v>
      </c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85"/>
      <c r="AH78" s="20">
        <f t="shared" si="9"/>
        <v>0</v>
      </c>
      <c r="AI78" s="19">
        <f>MIN(B78:AF78)</f>
        <v>0</v>
      </c>
    </row>
    <row r="79" spans="1:37" ht="15.75" thickBot="1" x14ac:dyDescent="0.3">
      <c r="A79" s="87" t="s">
        <v>158</v>
      </c>
      <c r="B79" s="98">
        <f>B77+B78</f>
        <v>1333.04</v>
      </c>
      <c r="C79" s="98">
        <f t="shared" ref="C79:AF79" si="11">C77+C78</f>
        <v>1318.74</v>
      </c>
      <c r="D79" s="98">
        <f t="shared" si="11"/>
        <v>1292.54</v>
      </c>
      <c r="E79" s="98">
        <f t="shared" si="11"/>
        <v>1306.24</v>
      </c>
      <c r="F79" s="98">
        <f t="shared" si="11"/>
        <v>1275.1399999999999</v>
      </c>
      <c r="G79" s="98">
        <f t="shared" si="11"/>
        <v>1275.6399999999999</v>
      </c>
      <c r="H79" s="98">
        <f t="shared" si="11"/>
        <v>1275.6399999999999</v>
      </c>
      <c r="I79" s="98">
        <f t="shared" si="11"/>
        <v>1296.54</v>
      </c>
      <c r="J79" s="98">
        <f t="shared" si="11"/>
        <v>1311.74</v>
      </c>
      <c r="K79" s="98">
        <f t="shared" si="11"/>
        <v>1429.44</v>
      </c>
      <c r="L79" s="98">
        <f t="shared" si="11"/>
        <v>1483.24</v>
      </c>
      <c r="M79" s="98">
        <f t="shared" si="11"/>
        <v>1553.6399999999999</v>
      </c>
      <c r="N79" s="98">
        <f t="shared" si="11"/>
        <v>1559.44</v>
      </c>
      <c r="O79" s="98">
        <f t="shared" si="11"/>
        <v>1562.94</v>
      </c>
      <c r="P79" s="98">
        <f t="shared" si="11"/>
        <v>1558.44</v>
      </c>
      <c r="Q79" s="98">
        <f t="shared" si="11"/>
        <v>1576.1399999999999</v>
      </c>
      <c r="R79" s="98">
        <f t="shared" si="11"/>
        <v>1580.44</v>
      </c>
      <c r="S79" s="98">
        <f t="shared" si="11"/>
        <v>1585.44</v>
      </c>
      <c r="T79" s="98">
        <f t="shared" si="11"/>
        <v>1634.44</v>
      </c>
      <c r="U79" s="98">
        <f t="shared" si="11"/>
        <v>1595.74</v>
      </c>
      <c r="V79" s="98">
        <f t="shared" si="11"/>
        <v>1667.8400000000001</v>
      </c>
      <c r="W79" s="98">
        <f t="shared" si="11"/>
        <v>1667.8400000000001</v>
      </c>
      <c r="X79" s="98">
        <f t="shared" si="11"/>
        <v>1649.8400000000001</v>
      </c>
      <c r="Y79" s="98">
        <f t="shared" si="11"/>
        <v>1670.8400000000001</v>
      </c>
      <c r="Z79" s="98">
        <f t="shared" si="11"/>
        <v>1745.64</v>
      </c>
      <c r="AA79" s="98">
        <f t="shared" si="11"/>
        <v>1708.3400000000001</v>
      </c>
      <c r="AB79" s="98">
        <f t="shared" si="11"/>
        <v>1800.04</v>
      </c>
      <c r="AC79" s="98">
        <f t="shared" si="11"/>
        <v>1800.74</v>
      </c>
      <c r="AD79" s="98">
        <f t="shared" si="11"/>
        <v>1801.5400000000002</v>
      </c>
      <c r="AE79" s="98">
        <f t="shared" si="11"/>
        <v>1777.5400000000002</v>
      </c>
      <c r="AF79" s="98">
        <f t="shared" si="11"/>
        <v>1784.14</v>
      </c>
      <c r="AG79" s="85">
        <f>AG76+AG72+AG60+AG56+AG38+AG78</f>
        <v>1317.0900000000001</v>
      </c>
      <c r="AH79" s="20">
        <f t="shared" si="9"/>
        <v>1801.5400000000002</v>
      </c>
      <c r="AI79" s="19">
        <f>MIN(B79:AF79)</f>
        <v>1275.1399999999999</v>
      </c>
    </row>
    <row r="80" spans="1:37" ht="15.75" thickBot="1" x14ac:dyDescent="0.3">
      <c r="A80" s="87" t="s">
        <v>157</v>
      </c>
      <c r="B80" s="98">
        <f>B79-B87</f>
        <v>933.54</v>
      </c>
      <c r="C80" s="98">
        <f t="shared" ref="C80:AF80" si="12">C79-C87</f>
        <v>913.74</v>
      </c>
      <c r="D80" s="98">
        <f t="shared" si="12"/>
        <v>892.83999999999992</v>
      </c>
      <c r="E80" s="98">
        <f t="shared" si="12"/>
        <v>888.24</v>
      </c>
      <c r="F80" s="98">
        <f t="shared" si="12"/>
        <v>882.13999999999987</v>
      </c>
      <c r="G80" s="98">
        <f t="shared" si="12"/>
        <v>898.63999999999987</v>
      </c>
      <c r="H80" s="98">
        <f t="shared" si="12"/>
        <v>872.43999999999983</v>
      </c>
      <c r="I80" s="98">
        <f t="shared" si="12"/>
        <v>907.54</v>
      </c>
      <c r="J80" s="98">
        <f t="shared" si="12"/>
        <v>939.74</v>
      </c>
      <c r="K80" s="98">
        <f t="shared" si="12"/>
        <v>1051.44</v>
      </c>
      <c r="L80" s="98">
        <f t="shared" si="12"/>
        <v>1087.94</v>
      </c>
      <c r="M80" s="98">
        <f t="shared" si="12"/>
        <v>1158.8399999999999</v>
      </c>
      <c r="N80" s="98">
        <f t="shared" si="12"/>
        <v>1189.44</v>
      </c>
      <c r="O80" s="98">
        <f t="shared" si="12"/>
        <v>1194.94</v>
      </c>
      <c r="P80" s="98">
        <f t="shared" si="12"/>
        <v>1238.44</v>
      </c>
      <c r="Q80" s="98">
        <f t="shared" si="12"/>
        <v>1254.2399999999998</v>
      </c>
      <c r="R80" s="98">
        <f t="shared" si="12"/>
        <v>1232.44</v>
      </c>
      <c r="S80" s="98">
        <f t="shared" si="12"/>
        <v>1268.44</v>
      </c>
      <c r="T80" s="98">
        <f t="shared" si="12"/>
        <v>1314.44</v>
      </c>
      <c r="U80" s="98">
        <f t="shared" si="12"/>
        <v>1221.74</v>
      </c>
      <c r="V80" s="98">
        <f t="shared" si="12"/>
        <v>1262.8400000000001</v>
      </c>
      <c r="W80" s="98">
        <f t="shared" si="12"/>
        <v>1289.8400000000001</v>
      </c>
      <c r="X80" s="98">
        <f t="shared" si="12"/>
        <v>1271.8400000000001</v>
      </c>
      <c r="Y80" s="98">
        <f t="shared" si="12"/>
        <v>1415.8400000000001</v>
      </c>
      <c r="Z80" s="98">
        <f t="shared" si="12"/>
        <v>1490.64</v>
      </c>
      <c r="AA80" s="98">
        <f t="shared" si="12"/>
        <v>1453.3400000000001</v>
      </c>
      <c r="AB80" s="98">
        <f t="shared" si="12"/>
        <v>1508.04</v>
      </c>
      <c r="AC80" s="98">
        <f t="shared" si="12"/>
        <v>1473.74</v>
      </c>
      <c r="AD80" s="98">
        <f t="shared" si="12"/>
        <v>1457.2400000000002</v>
      </c>
      <c r="AE80" s="98">
        <f t="shared" si="12"/>
        <v>1350.5400000000002</v>
      </c>
      <c r="AF80" s="98">
        <f t="shared" si="12"/>
        <v>1363.64</v>
      </c>
      <c r="AG80" s="85"/>
      <c r="AH80" s="20">
        <f t="shared" si="9"/>
        <v>1508.04</v>
      </c>
      <c r="AI80" s="19"/>
    </row>
    <row r="81" spans="1:37" x14ac:dyDescent="0.25">
      <c r="A81" s="97" t="s">
        <v>156</v>
      </c>
      <c r="B81" s="93">
        <f>IF(B64&lt;0,B64*-1,0)</f>
        <v>0</v>
      </c>
      <c r="C81" s="93">
        <f t="shared" ref="C81:AF81" si="13">IF(C64&lt;0,C64*-1,0)</f>
        <v>0</v>
      </c>
      <c r="D81" s="93">
        <f t="shared" si="13"/>
        <v>0</v>
      </c>
      <c r="E81" s="93">
        <f t="shared" si="13"/>
        <v>0</v>
      </c>
      <c r="F81" s="93">
        <f t="shared" si="13"/>
        <v>0</v>
      </c>
      <c r="G81" s="93">
        <f t="shared" si="13"/>
        <v>0</v>
      </c>
      <c r="H81" s="93">
        <f t="shared" si="13"/>
        <v>0</v>
      </c>
      <c r="I81" s="93">
        <f t="shared" si="13"/>
        <v>0</v>
      </c>
      <c r="J81" s="93">
        <f t="shared" si="13"/>
        <v>0</v>
      </c>
      <c r="K81" s="93">
        <f t="shared" si="13"/>
        <v>0</v>
      </c>
      <c r="L81" s="93">
        <f t="shared" si="13"/>
        <v>0</v>
      </c>
      <c r="M81" s="93">
        <f t="shared" si="13"/>
        <v>0</v>
      </c>
      <c r="N81" s="93">
        <f t="shared" si="13"/>
        <v>0</v>
      </c>
      <c r="O81" s="93">
        <f t="shared" si="13"/>
        <v>0</v>
      </c>
      <c r="P81" s="93">
        <f t="shared" si="13"/>
        <v>0</v>
      </c>
      <c r="Q81" s="93">
        <f t="shared" si="13"/>
        <v>0</v>
      </c>
      <c r="R81" s="93">
        <f t="shared" si="13"/>
        <v>0</v>
      </c>
      <c r="S81" s="93">
        <f t="shared" si="13"/>
        <v>0</v>
      </c>
      <c r="T81" s="93">
        <f t="shared" si="13"/>
        <v>0</v>
      </c>
      <c r="U81" s="93">
        <f t="shared" si="13"/>
        <v>0</v>
      </c>
      <c r="V81" s="93">
        <f t="shared" si="13"/>
        <v>0</v>
      </c>
      <c r="W81" s="93">
        <f t="shared" si="13"/>
        <v>0</v>
      </c>
      <c r="X81" s="93">
        <f t="shared" si="13"/>
        <v>0</v>
      </c>
      <c r="Y81" s="93">
        <f t="shared" si="13"/>
        <v>0</v>
      </c>
      <c r="Z81" s="93">
        <f t="shared" si="13"/>
        <v>0</v>
      </c>
      <c r="AA81" s="93">
        <f t="shared" si="13"/>
        <v>0</v>
      </c>
      <c r="AB81" s="93">
        <f t="shared" si="13"/>
        <v>0</v>
      </c>
      <c r="AC81" s="93">
        <f t="shared" si="13"/>
        <v>0</v>
      </c>
      <c r="AD81" s="93">
        <f t="shared" si="13"/>
        <v>0</v>
      </c>
      <c r="AE81" s="93">
        <f t="shared" si="13"/>
        <v>0</v>
      </c>
      <c r="AF81" s="93">
        <f t="shared" si="13"/>
        <v>0</v>
      </c>
      <c r="AG81" s="96"/>
      <c r="AH81" s="20">
        <f t="shared" si="9"/>
        <v>0</v>
      </c>
      <c r="AI81" s="19">
        <f t="shared" ref="AI81:AI97" si="14">MIN(B81:AF81)</f>
        <v>0</v>
      </c>
    </row>
    <row r="82" spans="1:37" x14ac:dyDescent="0.25">
      <c r="A82" s="95" t="s">
        <v>155</v>
      </c>
      <c r="B82" s="93">
        <f>IF(B62&lt;0,B62*-1,0)</f>
        <v>0</v>
      </c>
      <c r="C82" s="93">
        <f t="shared" ref="C82:AF82" si="15">IF(C62&lt;0,C62*-1,0)</f>
        <v>0</v>
      </c>
      <c r="D82" s="93">
        <f t="shared" si="15"/>
        <v>0</v>
      </c>
      <c r="E82" s="93">
        <f t="shared" si="15"/>
        <v>0</v>
      </c>
      <c r="F82" s="93">
        <f t="shared" si="15"/>
        <v>0</v>
      </c>
      <c r="G82" s="93">
        <f t="shared" si="15"/>
        <v>0</v>
      </c>
      <c r="H82" s="93">
        <f t="shared" si="15"/>
        <v>0</v>
      </c>
      <c r="I82" s="93">
        <f t="shared" si="15"/>
        <v>0</v>
      </c>
      <c r="J82" s="93">
        <f t="shared" si="15"/>
        <v>0</v>
      </c>
      <c r="K82" s="93">
        <f t="shared" si="15"/>
        <v>0</v>
      </c>
      <c r="L82" s="93">
        <f t="shared" si="15"/>
        <v>0</v>
      </c>
      <c r="M82" s="93">
        <f t="shared" si="15"/>
        <v>0</v>
      </c>
      <c r="N82" s="93">
        <f t="shared" si="15"/>
        <v>0</v>
      </c>
      <c r="O82" s="93">
        <f t="shared" si="15"/>
        <v>0</v>
      </c>
      <c r="P82" s="93">
        <f t="shared" si="15"/>
        <v>0</v>
      </c>
      <c r="Q82" s="93">
        <f t="shared" si="15"/>
        <v>0</v>
      </c>
      <c r="R82" s="93">
        <f t="shared" si="15"/>
        <v>0</v>
      </c>
      <c r="S82" s="93">
        <f t="shared" si="15"/>
        <v>0</v>
      </c>
      <c r="T82" s="93">
        <f t="shared" si="15"/>
        <v>0</v>
      </c>
      <c r="U82" s="93">
        <f t="shared" si="15"/>
        <v>0</v>
      </c>
      <c r="V82" s="93">
        <f t="shared" si="15"/>
        <v>0</v>
      </c>
      <c r="W82" s="93">
        <f t="shared" si="15"/>
        <v>0</v>
      </c>
      <c r="X82" s="93">
        <f t="shared" si="15"/>
        <v>0</v>
      </c>
      <c r="Y82" s="93">
        <f t="shared" si="15"/>
        <v>0</v>
      </c>
      <c r="Z82" s="93">
        <f t="shared" si="15"/>
        <v>0</v>
      </c>
      <c r="AA82" s="93">
        <f t="shared" si="15"/>
        <v>0</v>
      </c>
      <c r="AB82" s="93">
        <f t="shared" si="15"/>
        <v>0</v>
      </c>
      <c r="AC82" s="93">
        <f t="shared" si="15"/>
        <v>0</v>
      </c>
      <c r="AD82" s="93">
        <f t="shared" si="15"/>
        <v>0</v>
      </c>
      <c r="AE82" s="93">
        <f t="shared" si="15"/>
        <v>0</v>
      </c>
      <c r="AF82" s="93">
        <f t="shared" si="15"/>
        <v>0</v>
      </c>
      <c r="AG82" s="94"/>
      <c r="AH82" s="20">
        <f t="shared" si="9"/>
        <v>0</v>
      </c>
      <c r="AI82" s="19">
        <f t="shared" si="14"/>
        <v>0</v>
      </c>
    </row>
    <row r="83" spans="1:37" x14ac:dyDescent="0.25">
      <c r="A83" s="91" t="s">
        <v>154</v>
      </c>
      <c r="B83" s="93">
        <f>IF(B65&lt;0,B65*-1,0)</f>
        <v>0</v>
      </c>
      <c r="C83" s="93">
        <f t="shared" ref="C83:AF83" si="16">IF(C65&lt;0,C65*-1,0)</f>
        <v>0</v>
      </c>
      <c r="D83" s="93">
        <f t="shared" si="16"/>
        <v>0</v>
      </c>
      <c r="E83" s="93">
        <f t="shared" si="16"/>
        <v>0</v>
      </c>
      <c r="F83" s="93">
        <f t="shared" si="16"/>
        <v>0</v>
      </c>
      <c r="G83" s="93">
        <f t="shared" si="16"/>
        <v>0</v>
      </c>
      <c r="H83" s="93">
        <f t="shared" si="16"/>
        <v>0</v>
      </c>
      <c r="I83" s="93">
        <f t="shared" si="16"/>
        <v>0</v>
      </c>
      <c r="J83" s="93">
        <f t="shared" si="16"/>
        <v>0</v>
      </c>
      <c r="K83" s="93">
        <f t="shared" si="16"/>
        <v>0</v>
      </c>
      <c r="L83" s="93">
        <f t="shared" si="16"/>
        <v>0</v>
      </c>
      <c r="M83" s="93">
        <f t="shared" si="16"/>
        <v>0</v>
      </c>
      <c r="N83" s="93">
        <f t="shared" si="16"/>
        <v>0</v>
      </c>
      <c r="O83" s="93">
        <f t="shared" si="16"/>
        <v>0</v>
      </c>
      <c r="P83" s="93">
        <f t="shared" si="16"/>
        <v>0</v>
      </c>
      <c r="Q83" s="93">
        <f t="shared" si="16"/>
        <v>0</v>
      </c>
      <c r="R83" s="93">
        <f t="shared" si="16"/>
        <v>0</v>
      </c>
      <c r="S83" s="93">
        <f t="shared" si="16"/>
        <v>0</v>
      </c>
      <c r="T83" s="93">
        <f t="shared" si="16"/>
        <v>0</v>
      </c>
      <c r="U83" s="93">
        <f t="shared" si="16"/>
        <v>0</v>
      </c>
      <c r="V83" s="93">
        <f t="shared" si="16"/>
        <v>0</v>
      </c>
      <c r="W83" s="93">
        <f t="shared" si="16"/>
        <v>0</v>
      </c>
      <c r="X83" s="93">
        <f t="shared" si="16"/>
        <v>0</v>
      </c>
      <c r="Y83" s="93">
        <f t="shared" si="16"/>
        <v>0</v>
      </c>
      <c r="Z83" s="93">
        <f t="shared" si="16"/>
        <v>0</v>
      </c>
      <c r="AA83" s="93">
        <f t="shared" si="16"/>
        <v>0</v>
      </c>
      <c r="AB83" s="93">
        <f t="shared" si="16"/>
        <v>0</v>
      </c>
      <c r="AC83" s="93">
        <f t="shared" si="16"/>
        <v>0</v>
      </c>
      <c r="AD83" s="93">
        <f t="shared" si="16"/>
        <v>0</v>
      </c>
      <c r="AE83" s="93">
        <f t="shared" si="16"/>
        <v>0</v>
      </c>
      <c r="AF83" s="93">
        <f t="shared" si="16"/>
        <v>0</v>
      </c>
      <c r="AG83" s="92"/>
      <c r="AH83" s="20">
        <f t="shared" si="9"/>
        <v>0</v>
      </c>
      <c r="AI83" s="19">
        <f t="shared" si="14"/>
        <v>0</v>
      </c>
    </row>
    <row r="84" spans="1:37" x14ac:dyDescent="0.25">
      <c r="A84" s="91" t="s">
        <v>153</v>
      </c>
      <c r="B84" s="93">
        <f>IF(B63&lt;0,B63*-1,0)</f>
        <v>399.5</v>
      </c>
      <c r="C84" s="93">
        <f t="shared" ref="C84:AF84" si="17">IF(C63&lt;0,C63*-1,0)</f>
        <v>405</v>
      </c>
      <c r="D84" s="93">
        <f t="shared" si="17"/>
        <v>399.7</v>
      </c>
      <c r="E84" s="93">
        <f t="shared" si="17"/>
        <v>418</v>
      </c>
      <c r="F84" s="93">
        <f t="shared" si="17"/>
        <v>393</v>
      </c>
      <c r="G84" s="93">
        <f t="shared" si="17"/>
        <v>377</v>
      </c>
      <c r="H84" s="93">
        <f t="shared" si="17"/>
        <v>403.2</v>
      </c>
      <c r="I84" s="93">
        <f t="shared" si="17"/>
        <v>389</v>
      </c>
      <c r="J84" s="93">
        <f t="shared" si="17"/>
        <v>372</v>
      </c>
      <c r="K84" s="93">
        <f t="shared" si="17"/>
        <v>378</v>
      </c>
      <c r="L84" s="93">
        <f t="shared" si="17"/>
        <v>395.3</v>
      </c>
      <c r="M84" s="93">
        <f t="shared" si="17"/>
        <v>394.8</v>
      </c>
      <c r="N84" s="93">
        <f t="shared" si="17"/>
        <v>370</v>
      </c>
      <c r="O84" s="93">
        <f t="shared" si="17"/>
        <v>368</v>
      </c>
      <c r="P84" s="93">
        <f t="shared" si="17"/>
        <v>320</v>
      </c>
      <c r="Q84" s="93">
        <f t="shared" si="17"/>
        <v>321.89999999999998</v>
      </c>
      <c r="R84" s="93">
        <f t="shared" si="17"/>
        <v>348</v>
      </c>
      <c r="S84" s="93">
        <f t="shared" si="17"/>
        <v>317</v>
      </c>
      <c r="T84" s="93">
        <f t="shared" si="17"/>
        <v>320</v>
      </c>
      <c r="U84" s="93">
        <f t="shared" si="17"/>
        <v>374</v>
      </c>
      <c r="V84" s="93">
        <f t="shared" si="17"/>
        <v>405</v>
      </c>
      <c r="W84" s="93">
        <f t="shared" si="17"/>
        <v>378</v>
      </c>
      <c r="X84" s="93">
        <f t="shared" si="17"/>
        <v>378</v>
      </c>
      <c r="Y84" s="93">
        <f t="shared" si="17"/>
        <v>255</v>
      </c>
      <c r="Z84" s="93">
        <f t="shared" si="17"/>
        <v>255</v>
      </c>
      <c r="AA84" s="93">
        <f t="shared" si="17"/>
        <v>255</v>
      </c>
      <c r="AB84" s="93">
        <f t="shared" si="17"/>
        <v>292</v>
      </c>
      <c r="AC84" s="93">
        <f t="shared" si="17"/>
        <v>327</v>
      </c>
      <c r="AD84" s="93">
        <f t="shared" si="17"/>
        <v>344.3</v>
      </c>
      <c r="AE84" s="93">
        <f t="shared" si="17"/>
        <v>427</v>
      </c>
      <c r="AF84" s="93">
        <f t="shared" si="17"/>
        <v>420.5</v>
      </c>
      <c r="AG84" s="92"/>
      <c r="AH84" s="20">
        <f t="shared" si="9"/>
        <v>427</v>
      </c>
      <c r="AI84" s="19">
        <f t="shared" si="14"/>
        <v>255</v>
      </c>
    </row>
    <row r="85" spans="1:37" x14ac:dyDescent="0.25">
      <c r="A85" s="91" t="s">
        <v>152</v>
      </c>
      <c r="B85" s="93">
        <f>IF(B61&lt;0,B61*-1,0)</f>
        <v>0</v>
      </c>
      <c r="C85" s="93">
        <f t="shared" ref="C85:AF85" si="18">IF(C61&lt;0,C61*-1,0)</f>
        <v>0</v>
      </c>
      <c r="D85" s="93">
        <f t="shared" si="18"/>
        <v>0</v>
      </c>
      <c r="E85" s="93">
        <f t="shared" si="18"/>
        <v>0</v>
      </c>
      <c r="F85" s="93">
        <f t="shared" si="18"/>
        <v>0</v>
      </c>
      <c r="G85" s="93">
        <f t="shared" si="18"/>
        <v>0</v>
      </c>
      <c r="H85" s="93">
        <f t="shared" si="18"/>
        <v>0</v>
      </c>
      <c r="I85" s="93">
        <f t="shared" si="18"/>
        <v>0</v>
      </c>
      <c r="J85" s="93">
        <f t="shared" si="18"/>
        <v>0</v>
      </c>
      <c r="K85" s="93">
        <f t="shared" si="18"/>
        <v>0</v>
      </c>
      <c r="L85" s="93">
        <f t="shared" si="18"/>
        <v>0</v>
      </c>
      <c r="M85" s="93">
        <f t="shared" si="18"/>
        <v>0</v>
      </c>
      <c r="N85" s="93">
        <f t="shared" si="18"/>
        <v>0</v>
      </c>
      <c r="O85" s="93">
        <f t="shared" si="18"/>
        <v>0</v>
      </c>
      <c r="P85" s="93">
        <f t="shared" si="18"/>
        <v>0</v>
      </c>
      <c r="Q85" s="93">
        <f t="shared" si="18"/>
        <v>0</v>
      </c>
      <c r="R85" s="93">
        <f t="shared" si="18"/>
        <v>0</v>
      </c>
      <c r="S85" s="93">
        <f t="shared" si="18"/>
        <v>0</v>
      </c>
      <c r="T85" s="93">
        <f t="shared" si="18"/>
        <v>0</v>
      </c>
      <c r="U85" s="93">
        <f t="shared" si="18"/>
        <v>0</v>
      </c>
      <c r="V85" s="93">
        <f t="shared" si="18"/>
        <v>0</v>
      </c>
      <c r="W85" s="93">
        <f t="shared" si="18"/>
        <v>0</v>
      </c>
      <c r="X85" s="93">
        <f t="shared" si="18"/>
        <v>0</v>
      </c>
      <c r="Y85" s="93">
        <f t="shared" si="18"/>
        <v>0</v>
      </c>
      <c r="Z85" s="93">
        <f t="shared" si="18"/>
        <v>0</v>
      </c>
      <c r="AA85" s="93">
        <f t="shared" si="18"/>
        <v>0</v>
      </c>
      <c r="AB85" s="93">
        <f t="shared" si="18"/>
        <v>0</v>
      </c>
      <c r="AC85" s="93">
        <f t="shared" si="18"/>
        <v>0</v>
      </c>
      <c r="AD85" s="93">
        <f t="shared" si="18"/>
        <v>0</v>
      </c>
      <c r="AE85" s="93">
        <f t="shared" si="18"/>
        <v>0</v>
      </c>
      <c r="AF85" s="93">
        <f t="shared" si="18"/>
        <v>0</v>
      </c>
      <c r="AG85" s="92"/>
      <c r="AH85" s="20">
        <f t="shared" si="9"/>
        <v>0</v>
      </c>
      <c r="AI85" s="19">
        <f t="shared" si="14"/>
        <v>0</v>
      </c>
    </row>
    <row r="86" spans="1:37" ht="15.75" thickBot="1" x14ac:dyDescent="0.3">
      <c r="A86" s="91" t="s">
        <v>151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>
        <v>0</v>
      </c>
      <c r="AA86" s="90">
        <v>0</v>
      </c>
      <c r="AB86" s="90">
        <v>0</v>
      </c>
      <c r="AC86" s="90"/>
      <c r="AD86" s="90"/>
      <c r="AE86" s="90"/>
      <c r="AF86" s="90"/>
      <c r="AG86" s="89"/>
      <c r="AH86" s="20">
        <f t="shared" si="9"/>
        <v>0</v>
      </c>
      <c r="AI86" s="19">
        <f t="shared" si="14"/>
        <v>0</v>
      </c>
    </row>
    <row r="87" spans="1:37" ht="15.75" thickBot="1" x14ac:dyDescent="0.3">
      <c r="A87" s="88" t="s">
        <v>150</v>
      </c>
      <c r="B87" s="86">
        <f>SUM(B81:B86)</f>
        <v>399.5</v>
      </c>
      <c r="C87" s="86">
        <f t="shared" ref="C87:AF87" si="19">SUM(C81:C86)</f>
        <v>405</v>
      </c>
      <c r="D87" s="86">
        <f t="shared" si="19"/>
        <v>399.7</v>
      </c>
      <c r="E87" s="86">
        <f t="shared" si="19"/>
        <v>418</v>
      </c>
      <c r="F87" s="86">
        <f t="shared" si="19"/>
        <v>393</v>
      </c>
      <c r="G87" s="86">
        <f t="shared" si="19"/>
        <v>377</v>
      </c>
      <c r="H87" s="86">
        <f t="shared" si="19"/>
        <v>403.2</v>
      </c>
      <c r="I87" s="86">
        <f t="shared" si="19"/>
        <v>389</v>
      </c>
      <c r="J87" s="86">
        <f t="shared" si="19"/>
        <v>372</v>
      </c>
      <c r="K87" s="86">
        <f t="shared" si="19"/>
        <v>378</v>
      </c>
      <c r="L87" s="86">
        <f t="shared" si="19"/>
        <v>395.3</v>
      </c>
      <c r="M87" s="86">
        <f t="shared" si="19"/>
        <v>394.8</v>
      </c>
      <c r="N87" s="86">
        <f t="shared" si="19"/>
        <v>370</v>
      </c>
      <c r="O87" s="86">
        <f t="shared" si="19"/>
        <v>368</v>
      </c>
      <c r="P87" s="86">
        <f t="shared" si="19"/>
        <v>320</v>
      </c>
      <c r="Q87" s="86">
        <f t="shared" si="19"/>
        <v>321.89999999999998</v>
      </c>
      <c r="R87" s="86">
        <f t="shared" si="19"/>
        <v>348</v>
      </c>
      <c r="S87" s="86">
        <f t="shared" si="19"/>
        <v>317</v>
      </c>
      <c r="T87" s="86">
        <f t="shared" si="19"/>
        <v>320</v>
      </c>
      <c r="U87" s="86">
        <f t="shared" si="19"/>
        <v>374</v>
      </c>
      <c r="V87" s="86">
        <f t="shared" si="19"/>
        <v>405</v>
      </c>
      <c r="W87" s="86">
        <f t="shared" si="19"/>
        <v>378</v>
      </c>
      <c r="X87" s="86">
        <f t="shared" si="19"/>
        <v>378</v>
      </c>
      <c r="Y87" s="86">
        <f t="shared" si="19"/>
        <v>255</v>
      </c>
      <c r="Z87" s="86">
        <f t="shared" si="19"/>
        <v>255</v>
      </c>
      <c r="AA87" s="86">
        <f t="shared" si="19"/>
        <v>255</v>
      </c>
      <c r="AB87" s="86">
        <f t="shared" si="19"/>
        <v>292</v>
      </c>
      <c r="AC87" s="86">
        <f t="shared" si="19"/>
        <v>327</v>
      </c>
      <c r="AD87" s="86">
        <f t="shared" si="19"/>
        <v>344.3</v>
      </c>
      <c r="AE87" s="86">
        <f t="shared" si="19"/>
        <v>427</v>
      </c>
      <c r="AF87" s="86">
        <f t="shared" si="19"/>
        <v>420.5</v>
      </c>
      <c r="AG87" s="85"/>
      <c r="AH87" s="20">
        <f t="shared" si="9"/>
        <v>427</v>
      </c>
      <c r="AI87" s="19">
        <f t="shared" si="14"/>
        <v>255</v>
      </c>
      <c r="AK87" s="41"/>
    </row>
    <row r="88" spans="1:37" ht="15.75" thickBot="1" x14ac:dyDescent="0.3">
      <c r="A88" s="87" t="s">
        <v>149</v>
      </c>
      <c r="B88" s="86">
        <f>B72-B87</f>
        <v>-399.5</v>
      </c>
      <c r="C88" s="86">
        <f t="shared" ref="C88:AF88" si="20">C72-C87</f>
        <v>-405</v>
      </c>
      <c r="D88" s="86">
        <f t="shared" si="20"/>
        <v>-399.7</v>
      </c>
      <c r="E88" s="86">
        <f t="shared" si="20"/>
        <v>-418</v>
      </c>
      <c r="F88" s="86">
        <f t="shared" si="20"/>
        <v>-393</v>
      </c>
      <c r="G88" s="86">
        <f t="shared" si="20"/>
        <v>-377</v>
      </c>
      <c r="H88" s="86">
        <f t="shared" si="20"/>
        <v>-403.2</v>
      </c>
      <c r="I88" s="86">
        <f t="shared" si="20"/>
        <v>-389</v>
      </c>
      <c r="J88" s="86">
        <f t="shared" si="20"/>
        <v>-372</v>
      </c>
      <c r="K88" s="86">
        <f t="shared" si="20"/>
        <v>-378</v>
      </c>
      <c r="L88" s="86">
        <f t="shared" si="20"/>
        <v>-395.3</v>
      </c>
      <c r="M88" s="86">
        <f t="shared" si="20"/>
        <v>-394.8</v>
      </c>
      <c r="N88" s="86">
        <f t="shared" si="20"/>
        <v>-370</v>
      </c>
      <c r="O88" s="86">
        <f t="shared" si="20"/>
        <v>-368</v>
      </c>
      <c r="P88" s="86">
        <f t="shared" si="20"/>
        <v>-320</v>
      </c>
      <c r="Q88" s="86">
        <f t="shared" si="20"/>
        <v>-316.39999999999998</v>
      </c>
      <c r="R88" s="86">
        <f t="shared" si="20"/>
        <v>-338</v>
      </c>
      <c r="S88" s="86">
        <f t="shared" si="20"/>
        <v>-302</v>
      </c>
      <c r="T88" s="86">
        <f t="shared" si="20"/>
        <v>-268</v>
      </c>
      <c r="U88" s="86">
        <f t="shared" si="20"/>
        <v>-374</v>
      </c>
      <c r="V88" s="86">
        <f t="shared" si="20"/>
        <v>-405</v>
      </c>
      <c r="W88" s="86">
        <f t="shared" si="20"/>
        <v>-378</v>
      </c>
      <c r="X88" s="86">
        <f t="shared" si="20"/>
        <v>-378</v>
      </c>
      <c r="Y88" s="86">
        <f t="shared" si="20"/>
        <v>-219</v>
      </c>
      <c r="Z88" s="86">
        <f t="shared" si="20"/>
        <v>-255</v>
      </c>
      <c r="AA88" s="86">
        <f t="shared" si="20"/>
        <v>-255</v>
      </c>
      <c r="AB88" s="86">
        <f t="shared" si="20"/>
        <v>-292</v>
      </c>
      <c r="AC88" s="86">
        <f t="shared" si="20"/>
        <v>-327</v>
      </c>
      <c r="AD88" s="86">
        <f t="shared" si="20"/>
        <v>-344.3</v>
      </c>
      <c r="AE88" s="86">
        <f t="shared" si="20"/>
        <v>-427</v>
      </c>
      <c r="AF88" s="86">
        <f t="shared" si="20"/>
        <v>-420.5</v>
      </c>
      <c r="AG88" s="85"/>
      <c r="AH88" s="20">
        <f t="shared" si="9"/>
        <v>-219</v>
      </c>
      <c r="AI88" s="19">
        <f t="shared" si="14"/>
        <v>-427</v>
      </c>
    </row>
    <row r="89" spans="1:37" x14ac:dyDescent="0.25">
      <c r="A89" s="47" t="s">
        <v>148</v>
      </c>
      <c r="B89" s="84">
        <v>50.03</v>
      </c>
      <c r="C89" s="84">
        <v>49.98</v>
      </c>
      <c r="D89" s="84">
        <v>50.03</v>
      </c>
      <c r="E89" s="84">
        <v>50.002000000000002</v>
      </c>
      <c r="F89" s="84">
        <v>49.973999999999997</v>
      </c>
      <c r="G89" s="84">
        <v>49.97</v>
      </c>
      <c r="H89" s="84">
        <v>49.963000000000001</v>
      </c>
      <c r="I89" s="84">
        <v>50.042000000000002</v>
      </c>
      <c r="J89" s="84">
        <v>50.058</v>
      </c>
      <c r="K89" s="84">
        <v>50.027000000000001</v>
      </c>
      <c r="L89" s="84">
        <v>50.002000000000002</v>
      </c>
      <c r="M89" s="84">
        <v>50.052999999999997</v>
      </c>
      <c r="N89" s="84">
        <v>50.037999999999997</v>
      </c>
      <c r="O89" s="84">
        <v>49.944000000000003</v>
      </c>
      <c r="P89" s="84">
        <v>49.868000000000002</v>
      </c>
      <c r="Q89" s="84">
        <v>49.963999999999999</v>
      </c>
      <c r="R89" s="84">
        <v>50.023000000000003</v>
      </c>
      <c r="S89" s="84">
        <v>50.023000000000003</v>
      </c>
      <c r="T89" s="84">
        <v>50.015000000000001</v>
      </c>
      <c r="U89" s="84">
        <v>50.034999999999997</v>
      </c>
      <c r="V89" s="84">
        <v>49.912999999999997</v>
      </c>
      <c r="W89" s="84">
        <v>49.912999999999997</v>
      </c>
      <c r="X89" s="84">
        <v>49.912999999999997</v>
      </c>
      <c r="Y89" s="84">
        <v>49.866999999999997</v>
      </c>
      <c r="Z89" s="84">
        <v>49.786999999999999</v>
      </c>
      <c r="AA89" s="84">
        <v>49.786999999999999</v>
      </c>
      <c r="AB89" s="84">
        <v>50.023000000000003</v>
      </c>
      <c r="AC89" s="84">
        <v>49.968000000000004</v>
      </c>
      <c r="AD89" s="84">
        <v>50.015000000000001</v>
      </c>
      <c r="AE89" s="84">
        <v>49.85</v>
      </c>
      <c r="AF89" s="84">
        <v>50.054000000000002</v>
      </c>
      <c r="AG89" s="83"/>
      <c r="AH89" s="20">
        <f t="shared" si="9"/>
        <v>50.058</v>
      </c>
      <c r="AI89" s="19">
        <f t="shared" si="14"/>
        <v>49.786999999999999</v>
      </c>
    </row>
    <row r="90" spans="1:37" x14ac:dyDescent="0.25">
      <c r="A90" s="44" t="s">
        <v>147</v>
      </c>
      <c r="B90" s="80">
        <v>128</v>
      </c>
      <c r="C90" s="80">
        <v>128.69999999999999</v>
      </c>
      <c r="D90" s="80">
        <v>129.1</v>
      </c>
      <c r="E90" s="80">
        <v>129.1</v>
      </c>
      <c r="F90" s="80">
        <v>128.69999999999999</v>
      </c>
      <c r="G90" s="80">
        <v>128.30000000000001</v>
      </c>
      <c r="H90" s="80">
        <v>128.30000000000001</v>
      </c>
      <c r="I90" s="80">
        <v>128</v>
      </c>
      <c r="J90" s="80">
        <v>125.4</v>
      </c>
      <c r="K90" s="80">
        <v>126.3</v>
      </c>
      <c r="L90" s="80">
        <v>125.2</v>
      </c>
      <c r="M90" s="80">
        <v>125.2</v>
      </c>
      <c r="N90" s="80">
        <v>123.2</v>
      </c>
      <c r="O90" s="80">
        <v>122</v>
      </c>
      <c r="P90" s="80">
        <v>122.2</v>
      </c>
      <c r="Q90" s="80">
        <v>124.3</v>
      </c>
      <c r="R90" s="80">
        <v>123.3</v>
      </c>
      <c r="S90" s="80">
        <v>123.3</v>
      </c>
      <c r="T90" s="80">
        <v>124</v>
      </c>
      <c r="U90" s="80">
        <v>122.9</v>
      </c>
      <c r="V90" s="80">
        <v>122.9</v>
      </c>
      <c r="W90" s="80">
        <v>122.9</v>
      </c>
      <c r="X90" s="80">
        <v>122.9</v>
      </c>
      <c r="Y90" s="80">
        <v>124</v>
      </c>
      <c r="Z90" s="80">
        <v>124</v>
      </c>
      <c r="AA90" s="80">
        <v>124</v>
      </c>
      <c r="AB90" s="80">
        <v>125</v>
      </c>
      <c r="AC90" s="80">
        <v>125.6</v>
      </c>
      <c r="AD90" s="80">
        <v>124.8</v>
      </c>
      <c r="AE90" s="80">
        <v>124.5</v>
      </c>
      <c r="AF90" s="80">
        <v>125.4</v>
      </c>
      <c r="AG90" s="79"/>
      <c r="AH90" s="20">
        <f t="shared" si="9"/>
        <v>129.1</v>
      </c>
      <c r="AI90" s="19">
        <f t="shared" si="14"/>
        <v>122</v>
      </c>
    </row>
    <row r="91" spans="1:37" x14ac:dyDescent="0.25">
      <c r="A91" s="44" t="s">
        <v>146</v>
      </c>
      <c r="B91" s="80">
        <v>131.19999999999999</v>
      </c>
      <c r="C91" s="80">
        <v>131.9</v>
      </c>
      <c r="D91" s="80">
        <v>132.19999999999999</v>
      </c>
      <c r="E91" s="80">
        <v>132.19999999999999</v>
      </c>
      <c r="F91" s="80">
        <v>131.4</v>
      </c>
      <c r="G91" s="80">
        <v>131</v>
      </c>
      <c r="H91" s="80">
        <v>131</v>
      </c>
      <c r="I91" s="80">
        <v>130.30000000000001</v>
      </c>
      <c r="J91" s="80">
        <v>127.7</v>
      </c>
      <c r="K91" s="80">
        <v>128.5</v>
      </c>
      <c r="L91" s="80">
        <v>127.2</v>
      </c>
      <c r="M91" s="80">
        <v>127.8</v>
      </c>
      <c r="N91" s="80">
        <v>126.3</v>
      </c>
      <c r="O91" s="80">
        <v>125.4</v>
      </c>
      <c r="P91" s="80">
        <v>125.5</v>
      </c>
      <c r="Q91" s="80">
        <v>127</v>
      </c>
      <c r="R91" s="80">
        <v>126.7</v>
      </c>
      <c r="S91" s="80">
        <v>126.7</v>
      </c>
      <c r="T91" s="80">
        <v>127</v>
      </c>
      <c r="U91" s="80">
        <v>125</v>
      </c>
      <c r="V91" s="80">
        <v>125</v>
      </c>
      <c r="W91" s="80">
        <v>125</v>
      </c>
      <c r="X91" s="80">
        <v>125</v>
      </c>
      <c r="Y91" s="80">
        <v>127</v>
      </c>
      <c r="Z91" s="80">
        <v>127</v>
      </c>
      <c r="AA91" s="80">
        <v>127</v>
      </c>
      <c r="AB91" s="80">
        <v>128.4</v>
      </c>
      <c r="AC91" s="80">
        <v>128.9</v>
      </c>
      <c r="AD91" s="80">
        <v>128.69999999999999</v>
      </c>
      <c r="AE91" s="80">
        <v>128.6</v>
      </c>
      <c r="AF91" s="80">
        <v>129.19999999999999</v>
      </c>
      <c r="AG91" s="79"/>
      <c r="AH91" s="20">
        <f t="shared" si="9"/>
        <v>132.19999999999999</v>
      </c>
      <c r="AI91" s="19">
        <f t="shared" si="14"/>
        <v>125</v>
      </c>
    </row>
    <row r="92" spans="1:37" x14ac:dyDescent="0.25">
      <c r="A92" s="44" t="s">
        <v>145</v>
      </c>
      <c r="B92" s="80">
        <v>130.30000000000001</v>
      </c>
      <c r="C92" s="80">
        <v>131.30000000000001</v>
      </c>
      <c r="D92" s="80">
        <v>131.9</v>
      </c>
      <c r="E92" s="80">
        <v>131.9</v>
      </c>
      <c r="F92" s="80">
        <v>132.1</v>
      </c>
      <c r="G92" s="80">
        <v>132.19999999999999</v>
      </c>
      <c r="H92" s="80">
        <v>132.19999999999999</v>
      </c>
      <c r="I92" s="80">
        <v>132.30000000000001</v>
      </c>
      <c r="J92" s="80">
        <v>131.9</v>
      </c>
      <c r="K92" s="80">
        <v>129.9</v>
      </c>
      <c r="L92" s="80">
        <v>127.7</v>
      </c>
      <c r="M92" s="80">
        <v>131</v>
      </c>
      <c r="N92" s="80">
        <v>128.80000000000001</v>
      </c>
      <c r="O92" s="80">
        <v>127.5</v>
      </c>
      <c r="P92" s="80">
        <v>129</v>
      </c>
      <c r="Q92" s="80">
        <v>131.4</v>
      </c>
      <c r="R92" s="80">
        <v>128.6</v>
      </c>
      <c r="S92" s="80">
        <v>128.6</v>
      </c>
      <c r="T92" s="80">
        <v>127</v>
      </c>
      <c r="U92" s="80">
        <v>129</v>
      </c>
      <c r="V92" s="80">
        <v>129</v>
      </c>
      <c r="W92" s="80">
        <v>129</v>
      </c>
      <c r="X92" s="80">
        <v>129</v>
      </c>
      <c r="Y92" s="80">
        <v>125</v>
      </c>
      <c r="Z92" s="80">
        <v>125</v>
      </c>
      <c r="AA92" s="80">
        <v>125</v>
      </c>
      <c r="AB92" s="80">
        <v>129.5</v>
      </c>
      <c r="AC92" s="80">
        <v>130.4</v>
      </c>
      <c r="AD92" s="80">
        <v>128.6</v>
      </c>
      <c r="AE92" s="80">
        <v>129.19999999999999</v>
      </c>
      <c r="AF92" s="80">
        <v>130.1</v>
      </c>
      <c r="AG92" s="79"/>
      <c r="AH92" s="20">
        <f t="shared" si="9"/>
        <v>132.30000000000001</v>
      </c>
      <c r="AI92" s="19">
        <f t="shared" si="14"/>
        <v>125</v>
      </c>
    </row>
    <row r="93" spans="1:37" x14ac:dyDescent="0.25">
      <c r="A93" s="82" t="s">
        <v>144</v>
      </c>
      <c r="B93" s="80">
        <v>132.9</v>
      </c>
      <c r="C93" s="80">
        <v>134</v>
      </c>
      <c r="D93" s="80">
        <v>134.6</v>
      </c>
      <c r="E93" s="80">
        <v>134.6</v>
      </c>
      <c r="F93" s="80">
        <v>135.30000000000001</v>
      </c>
      <c r="G93" s="80">
        <v>135.30000000000001</v>
      </c>
      <c r="H93" s="80">
        <v>135.30000000000001</v>
      </c>
      <c r="I93" s="80">
        <v>134.9</v>
      </c>
      <c r="J93" s="80">
        <v>134.30000000000001</v>
      </c>
      <c r="K93" s="80">
        <v>132.1</v>
      </c>
      <c r="L93" s="80">
        <v>129.5</v>
      </c>
      <c r="M93" s="80">
        <v>133.9</v>
      </c>
      <c r="N93" s="80">
        <v>131.1</v>
      </c>
      <c r="O93" s="80">
        <v>129.4</v>
      </c>
      <c r="P93" s="80">
        <v>131.80000000000001</v>
      </c>
      <c r="Q93" s="80">
        <v>134.30000000000001</v>
      </c>
      <c r="R93" s="80">
        <v>132.30000000000001</v>
      </c>
      <c r="S93" s="80">
        <v>132.30000000000001</v>
      </c>
      <c r="T93" s="80">
        <v>131</v>
      </c>
      <c r="U93" s="80">
        <v>131.9</v>
      </c>
      <c r="V93" s="80">
        <v>131.9</v>
      </c>
      <c r="W93" s="80">
        <v>131.9</v>
      </c>
      <c r="X93" s="80">
        <v>131.9</v>
      </c>
      <c r="Y93" s="80">
        <v>129</v>
      </c>
      <c r="Z93" s="80">
        <v>129</v>
      </c>
      <c r="AA93" s="80">
        <v>129</v>
      </c>
      <c r="AB93" s="80">
        <v>132.80000000000001</v>
      </c>
      <c r="AC93" s="80">
        <v>133.30000000000001</v>
      </c>
      <c r="AD93" s="80">
        <v>132.30000000000001</v>
      </c>
      <c r="AE93" s="80">
        <v>133.5</v>
      </c>
      <c r="AF93" s="80">
        <v>134.30000000000001</v>
      </c>
      <c r="AG93" s="79"/>
      <c r="AH93" s="20">
        <f t="shared" si="9"/>
        <v>135.30000000000001</v>
      </c>
      <c r="AI93" s="19">
        <f t="shared" si="14"/>
        <v>129</v>
      </c>
    </row>
    <row r="94" spans="1:37" x14ac:dyDescent="0.25">
      <c r="A94" s="82" t="s">
        <v>143</v>
      </c>
      <c r="B94" s="66">
        <v>131.1</v>
      </c>
      <c r="C94" s="66">
        <v>131.69999999999999</v>
      </c>
      <c r="D94" s="66">
        <v>132.30000000000001</v>
      </c>
      <c r="E94" s="66">
        <v>132.30000000000001</v>
      </c>
      <c r="F94" s="66">
        <v>129.80000000000001</v>
      </c>
      <c r="G94" s="66">
        <v>129.4</v>
      </c>
      <c r="H94" s="66">
        <v>129.4</v>
      </c>
      <c r="I94" s="66">
        <v>130.5</v>
      </c>
      <c r="J94" s="66">
        <v>127.7</v>
      </c>
      <c r="K94" s="66">
        <v>127.5</v>
      </c>
      <c r="L94" s="66">
        <v>127.9</v>
      </c>
      <c r="M94" s="66">
        <v>128.1</v>
      </c>
      <c r="N94" s="66">
        <v>128.69999999999999</v>
      </c>
      <c r="O94" s="66">
        <v>125.4</v>
      </c>
      <c r="P94" s="66">
        <v>128.19999999999999</v>
      </c>
      <c r="Q94" s="66">
        <v>129.1</v>
      </c>
      <c r="R94" s="66">
        <v>128.5</v>
      </c>
      <c r="S94" s="66">
        <v>128.5</v>
      </c>
      <c r="T94" s="66">
        <v>128</v>
      </c>
      <c r="U94" s="66">
        <v>133.6</v>
      </c>
      <c r="V94" s="66">
        <v>133.6</v>
      </c>
      <c r="W94" s="66">
        <v>133.6</v>
      </c>
      <c r="X94" s="66">
        <v>133.6</v>
      </c>
      <c r="Y94" s="66">
        <v>136</v>
      </c>
      <c r="Z94" s="66">
        <v>136</v>
      </c>
      <c r="AA94" s="66">
        <v>136</v>
      </c>
      <c r="AB94" s="66">
        <v>133.6</v>
      </c>
      <c r="AC94" s="66">
        <v>132</v>
      </c>
      <c r="AD94" s="66">
        <v>132.5</v>
      </c>
      <c r="AE94" s="66">
        <v>134.19999999999999</v>
      </c>
      <c r="AF94" s="66">
        <v>132</v>
      </c>
      <c r="AG94" s="81"/>
      <c r="AH94" s="20">
        <f t="shared" si="9"/>
        <v>136</v>
      </c>
      <c r="AI94" s="19">
        <f t="shared" si="14"/>
        <v>125.4</v>
      </c>
    </row>
    <row r="95" spans="1:37" x14ac:dyDescent="0.25">
      <c r="A95" s="44" t="s">
        <v>142</v>
      </c>
      <c r="B95" s="80">
        <v>134.5</v>
      </c>
      <c r="C95" s="80">
        <v>134.6</v>
      </c>
      <c r="D95" s="80">
        <v>135.30000000000001</v>
      </c>
      <c r="E95" s="80">
        <v>135.30000000000001</v>
      </c>
      <c r="F95" s="80">
        <v>134.69999999999999</v>
      </c>
      <c r="G95" s="80">
        <v>134</v>
      </c>
      <c r="H95" s="80">
        <v>134</v>
      </c>
      <c r="I95" s="80">
        <v>135.69999999999999</v>
      </c>
      <c r="J95" s="80">
        <v>131.9</v>
      </c>
      <c r="K95" s="80">
        <v>130.9</v>
      </c>
      <c r="L95" s="80">
        <v>129.9</v>
      </c>
      <c r="M95" s="80">
        <v>131.80000000000001</v>
      </c>
      <c r="N95" s="80">
        <v>132.80000000000001</v>
      </c>
      <c r="O95" s="80">
        <v>132.69999999999999</v>
      </c>
      <c r="P95" s="80">
        <v>132.6</v>
      </c>
      <c r="Q95" s="80">
        <v>134.1</v>
      </c>
      <c r="R95" s="80">
        <v>135.19999999999999</v>
      </c>
      <c r="S95" s="80">
        <v>135.19999999999999</v>
      </c>
      <c r="T95" s="80">
        <v>131</v>
      </c>
      <c r="U95" s="80">
        <v>131</v>
      </c>
      <c r="V95" s="80">
        <v>131</v>
      </c>
      <c r="W95" s="80">
        <v>131</v>
      </c>
      <c r="X95" s="80">
        <v>131</v>
      </c>
      <c r="Y95" s="80">
        <v>135</v>
      </c>
      <c r="Z95" s="80">
        <v>135</v>
      </c>
      <c r="AA95" s="80">
        <v>135</v>
      </c>
      <c r="AB95" s="80">
        <v>132.4</v>
      </c>
      <c r="AC95" s="80">
        <v>130.9</v>
      </c>
      <c r="AD95" s="80">
        <v>132.6</v>
      </c>
      <c r="AE95" s="80">
        <v>132.1</v>
      </c>
      <c r="AF95" s="80">
        <v>130</v>
      </c>
      <c r="AG95" s="79"/>
      <c r="AH95" s="20">
        <f t="shared" si="9"/>
        <v>135.69999999999999</v>
      </c>
      <c r="AI95" s="19">
        <f t="shared" si="14"/>
        <v>129.9</v>
      </c>
    </row>
    <row r="96" spans="1:37" ht="15.75" thickBot="1" x14ac:dyDescent="0.3">
      <c r="A96" s="44" t="s">
        <v>141</v>
      </c>
      <c r="B96" s="77">
        <v>66.3</v>
      </c>
      <c r="C96" s="77">
        <v>66.7</v>
      </c>
      <c r="D96" s="77">
        <v>66.7</v>
      </c>
      <c r="E96" s="77">
        <v>66.7</v>
      </c>
      <c r="F96" s="77">
        <v>66.400000000000006</v>
      </c>
      <c r="G96" s="77">
        <v>66.2</v>
      </c>
      <c r="H96" s="77">
        <v>66.2</v>
      </c>
      <c r="I96" s="77">
        <v>65.599999999999994</v>
      </c>
      <c r="J96" s="77">
        <v>64.400000000000006</v>
      </c>
      <c r="K96" s="77">
        <v>64.8</v>
      </c>
      <c r="L96" s="77">
        <v>64.099999999999994</v>
      </c>
      <c r="M96" s="77">
        <v>64.599999999999994</v>
      </c>
      <c r="N96" s="77">
        <v>63.7</v>
      </c>
      <c r="O96" s="77">
        <v>63.3</v>
      </c>
      <c r="P96" s="77">
        <v>63.1</v>
      </c>
      <c r="Q96" s="77">
        <v>64</v>
      </c>
      <c r="R96" s="77">
        <v>63.5</v>
      </c>
      <c r="S96" s="77">
        <v>63.5</v>
      </c>
      <c r="T96" s="77">
        <v>64</v>
      </c>
      <c r="U96" s="77">
        <v>63</v>
      </c>
      <c r="V96" s="77">
        <v>63</v>
      </c>
      <c r="W96" s="77">
        <v>63</v>
      </c>
      <c r="X96" s="77">
        <v>63</v>
      </c>
      <c r="Y96" s="77">
        <v>64</v>
      </c>
      <c r="Z96" s="77">
        <v>64</v>
      </c>
      <c r="AA96" s="77">
        <v>64</v>
      </c>
      <c r="AB96" s="77">
        <v>65.099999999999994</v>
      </c>
      <c r="AC96" s="77">
        <v>65.2</v>
      </c>
      <c r="AD96" s="77">
        <v>65.2</v>
      </c>
      <c r="AE96" s="77">
        <v>65.099999999999994</v>
      </c>
      <c r="AF96" s="77">
        <v>65.400000000000006</v>
      </c>
      <c r="AG96" s="76"/>
      <c r="AH96" s="20">
        <f t="shared" si="9"/>
        <v>66.7</v>
      </c>
      <c r="AI96" s="19">
        <f t="shared" si="14"/>
        <v>63</v>
      </c>
    </row>
    <row r="97" spans="1:37" ht="15.75" thickBot="1" x14ac:dyDescent="0.3">
      <c r="A97" s="78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6"/>
      <c r="AH97" s="20">
        <f t="shared" si="9"/>
        <v>0</v>
      </c>
      <c r="AI97" s="19">
        <f t="shared" si="14"/>
        <v>0</v>
      </c>
    </row>
    <row r="98" spans="1:37" ht="15.75" thickBot="1" x14ac:dyDescent="0.3">
      <c r="A98" s="75" t="s">
        <v>140</v>
      </c>
      <c r="B98" s="74">
        <f>SUM(B15,B18,B21:B22,B46,B48:B49,B51,B53,B99:B103,B125,B131,B137,B146,B148,B160,B167,B170:B171,B178,B180,B182,B186:B188,B190:B192,B197,B203:B204,B206:B208,B216,B221)</f>
        <v>51.899999999999977</v>
      </c>
      <c r="C98" s="74">
        <f t="shared" ref="C98:AF98" si="21">SUM(C15,C18,C21:C22,C46,C48:C49,C51,C53,C99:C103,C125,C131,C137,C146,C148,C160,C167,C170:C171,C178,C180,C182,C186:C188,C190:C192,C197,C203:C204,C206:C208,C216,C221)</f>
        <v>31.640000000000015</v>
      </c>
      <c r="D98" s="74">
        <f t="shared" si="21"/>
        <v>27.24</v>
      </c>
      <c r="E98" s="74">
        <f t="shared" si="21"/>
        <v>27.540000000000006</v>
      </c>
      <c r="F98" s="74">
        <f t="shared" si="21"/>
        <v>29.040000000000006</v>
      </c>
      <c r="G98" s="74">
        <f t="shared" si="21"/>
        <v>49.439999999999984</v>
      </c>
      <c r="H98" s="74">
        <f t="shared" si="21"/>
        <v>47.139999999999993</v>
      </c>
      <c r="I98" s="74">
        <f t="shared" si="21"/>
        <v>97.139999999999986</v>
      </c>
      <c r="J98" s="74">
        <f t="shared" si="21"/>
        <v>175.83999999999997</v>
      </c>
      <c r="K98" s="74">
        <f t="shared" si="21"/>
        <v>173.24000000000004</v>
      </c>
      <c r="L98" s="74">
        <f t="shared" si="21"/>
        <v>181.14</v>
      </c>
      <c r="M98" s="74">
        <f t="shared" si="21"/>
        <v>198.44</v>
      </c>
      <c r="N98" s="74">
        <f t="shared" si="21"/>
        <v>188.94</v>
      </c>
      <c r="O98" s="74">
        <f t="shared" si="21"/>
        <v>199.14</v>
      </c>
      <c r="P98" s="74">
        <f t="shared" si="21"/>
        <v>190.94</v>
      </c>
      <c r="Q98" s="74">
        <f t="shared" si="21"/>
        <v>176.2</v>
      </c>
      <c r="R98" s="74">
        <f t="shared" si="21"/>
        <v>181.89999999999998</v>
      </c>
      <c r="S98" s="74">
        <f t="shared" si="21"/>
        <v>181.89999999999998</v>
      </c>
      <c r="T98" s="74">
        <f t="shared" si="21"/>
        <v>208.29999999999995</v>
      </c>
      <c r="U98" s="74">
        <f t="shared" si="21"/>
        <v>195</v>
      </c>
      <c r="V98" s="74">
        <f t="shared" si="21"/>
        <v>201.6</v>
      </c>
      <c r="W98" s="74">
        <f t="shared" si="21"/>
        <v>201.6</v>
      </c>
      <c r="X98" s="74">
        <f t="shared" si="21"/>
        <v>130.6</v>
      </c>
      <c r="Y98" s="74">
        <f t="shared" si="21"/>
        <v>224.6</v>
      </c>
      <c r="Z98" s="74">
        <f t="shared" si="21"/>
        <v>237.6</v>
      </c>
      <c r="AA98" s="74">
        <f t="shared" si="21"/>
        <v>237.6</v>
      </c>
      <c r="AB98" s="74">
        <f t="shared" si="21"/>
        <v>229.9</v>
      </c>
      <c r="AC98" s="74">
        <f t="shared" si="21"/>
        <v>225.60000000000002</v>
      </c>
      <c r="AD98" s="74">
        <f t="shared" si="21"/>
        <v>195.5</v>
      </c>
      <c r="AE98" s="74">
        <f t="shared" si="21"/>
        <v>98.8</v>
      </c>
      <c r="AF98" s="74">
        <f t="shared" si="21"/>
        <v>90.400000000000034</v>
      </c>
      <c r="AG98" s="73"/>
      <c r="AH98" s="20">
        <f>MAX(C98:AF98)</f>
        <v>237.6</v>
      </c>
      <c r="AI98" s="19">
        <f>MIN(C98:AF98)</f>
        <v>27.24</v>
      </c>
    </row>
    <row r="99" spans="1:37" x14ac:dyDescent="0.25">
      <c r="A99" s="47" t="s">
        <v>139</v>
      </c>
      <c r="B99" s="72">
        <v>-6.4</v>
      </c>
      <c r="C99" s="72">
        <v>-6.3</v>
      </c>
      <c r="D99" s="72">
        <v>-11.7</v>
      </c>
      <c r="E99" s="72">
        <v>-7.5</v>
      </c>
      <c r="F99" s="72">
        <v>-14.5</v>
      </c>
      <c r="G99" s="72">
        <v>-12.7</v>
      </c>
      <c r="H99" s="72">
        <v>-11.7</v>
      </c>
      <c r="I99" s="72">
        <v>-9.3000000000000007</v>
      </c>
      <c r="J99" s="72">
        <v>-3</v>
      </c>
      <c r="K99" s="72">
        <v>8.3000000000000007</v>
      </c>
      <c r="L99" s="72">
        <v>15.2</v>
      </c>
      <c r="M99" s="72">
        <v>19</v>
      </c>
      <c r="N99" s="72">
        <v>19.100000000000001</v>
      </c>
      <c r="O99" s="72">
        <v>15.2</v>
      </c>
      <c r="P99" s="72">
        <v>15.5</v>
      </c>
      <c r="Q99" s="72">
        <v>14.1</v>
      </c>
      <c r="R99" s="72">
        <v>23.3</v>
      </c>
      <c r="S99" s="72">
        <v>23.3</v>
      </c>
      <c r="T99" s="72">
        <v>23</v>
      </c>
      <c r="U99" s="72">
        <v>42</v>
      </c>
      <c r="V99" s="72">
        <v>43.4</v>
      </c>
      <c r="W99" s="72">
        <v>43.4</v>
      </c>
      <c r="X99" s="72">
        <v>40</v>
      </c>
      <c r="Y99" s="72">
        <v>31</v>
      </c>
      <c r="Z99" s="72">
        <v>31</v>
      </c>
      <c r="AA99" s="72">
        <v>31</v>
      </c>
      <c r="AB99" s="72">
        <v>29.3</v>
      </c>
      <c r="AC99" s="72">
        <v>29.6</v>
      </c>
      <c r="AD99" s="72">
        <v>30.6</v>
      </c>
      <c r="AE99" s="72">
        <v>27</v>
      </c>
      <c r="AF99" s="72">
        <v>16.3</v>
      </c>
      <c r="AG99" s="70">
        <v>75</v>
      </c>
      <c r="AH99" s="20">
        <f t="shared" ref="AH99:AH107" si="22">IF(ABS(MAX(C99:AF99))&gt;ABS(MIN(C99:AF99)),MAX(C99:AF99),MIN(C99:AF99))</f>
        <v>43.4</v>
      </c>
      <c r="AI99" s="65">
        <f t="shared" ref="AI99:AI107" si="23">INDEX($C$9:$AF$9,1,MATCH(AH99,C99:AF99,0))</f>
        <v>0.70833333333333304</v>
      </c>
    </row>
    <row r="100" spans="1:37" x14ac:dyDescent="0.25">
      <c r="A100" s="44" t="s">
        <v>138</v>
      </c>
      <c r="B100" s="71">
        <v>2.8</v>
      </c>
      <c r="C100" s="71">
        <v>2.7</v>
      </c>
      <c r="D100" s="71">
        <v>-6.4</v>
      </c>
      <c r="E100" s="71">
        <v>0</v>
      </c>
      <c r="F100" s="71">
        <v>-9.8000000000000007</v>
      </c>
      <c r="G100" s="71">
        <v>-11.4</v>
      </c>
      <c r="H100" s="71">
        <v>-12</v>
      </c>
      <c r="I100" s="71">
        <v>-10</v>
      </c>
      <c r="J100" s="71">
        <v>0</v>
      </c>
      <c r="K100" s="71">
        <v>14.8</v>
      </c>
      <c r="L100" s="71">
        <v>24.8</v>
      </c>
      <c r="M100" s="71">
        <v>30</v>
      </c>
      <c r="N100" s="71">
        <v>32.6</v>
      </c>
      <c r="O100" s="71">
        <v>25.4</v>
      </c>
      <c r="P100" s="71">
        <v>26</v>
      </c>
      <c r="Q100" s="71">
        <v>26</v>
      </c>
      <c r="R100" s="71">
        <v>38.799999999999997</v>
      </c>
      <c r="S100" s="71">
        <v>38.799999999999997</v>
      </c>
      <c r="T100" s="71">
        <v>40</v>
      </c>
      <c r="U100" s="71">
        <v>63.7</v>
      </c>
      <c r="V100" s="71">
        <v>62.4</v>
      </c>
      <c r="W100" s="71">
        <v>62.4</v>
      </c>
      <c r="X100" s="71">
        <v>58</v>
      </c>
      <c r="Y100" s="71">
        <v>47</v>
      </c>
      <c r="Z100" s="71">
        <v>48</v>
      </c>
      <c r="AA100" s="71">
        <v>48</v>
      </c>
      <c r="AB100" s="71">
        <v>46</v>
      </c>
      <c r="AC100" s="71">
        <v>48.2</v>
      </c>
      <c r="AD100" s="71">
        <v>50.9</v>
      </c>
      <c r="AE100" s="71">
        <v>46.1</v>
      </c>
      <c r="AF100" s="71">
        <v>33.299999999999997</v>
      </c>
      <c r="AG100" s="70">
        <v>240</v>
      </c>
      <c r="AH100" s="20">
        <f t="shared" si="22"/>
        <v>63.7</v>
      </c>
      <c r="AI100" s="65">
        <f t="shared" si="23"/>
        <v>0.66666666666666696</v>
      </c>
    </row>
    <row r="101" spans="1:37" x14ac:dyDescent="0.25">
      <c r="A101" s="44" t="s">
        <v>137</v>
      </c>
      <c r="B101" s="71">
        <f>-31-33.4</f>
        <v>-64.400000000000006</v>
      </c>
      <c r="C101" s="71">
        <f>-39.3-42</f>
        <v>-81.3</v>
      </c>
      <c r="D101" s="71">
        <f>-33.8-37.2</f>
        <v>-71</v>
      </c>
      <c r="E101" s="71">
        <v>-80</v>
      </c>
      <c r="F101" s="71">
        <v>-63.7</v>
      </c>
      <c r="G101" s="71">
        <v>-46</v>
      </c>
      <c r="H101" s="71">
        <v>-50</v>
      </c>
      <c r="I101" s="71">
        <v>-27</v>
      </c>
      <c r="J101" s="71">
        <v>-14</v>
      </c>
      <c r="K101" s="71">
        <v>-25</v>
      </c>
      <c r="L101" s="71">
        <v>-37.799999999999997</v>
      </c>
      <c r="M101" s="71">
        <f>-14-16.8</f>
        <v>-30.8</v>
      </c>
      <c r="N101" s="71">
        <f>-28.6-30.5</f>
        <v>-59.1</v>
      </c>
      <c r="O101" s="71">
        <f>-21.4-22.7</f>
        <v>-44.099999999999994</v>
      </c>
      <c r="P101" s="71">
        <f>-21-23</f>
        <v>-44</v>
      </c>
      <c r="Q101" s="71">
        <f>-26-29</f>
        <v>-55</v>
      </c>
      <c r="R101" s="71">
        <f>-33-36</f>
        <v>-69</v>
      </c>
      <c r="S101" s="71">
        <f>-33-36</f>
        <v>-69</v>
      </c>
      <c r="T101" s="71">
        <v>-62</v>
      </c>
      <c r="U101" s="71">
        <v>-54</v>
      </c>
      <c r="V101" s="71">
        <v>-48</v>
      </c>
      <c r="W101" s="71">
        <v>-48</v>
      </c>
      <c r="X101" s="71">
        <v>-95</v>
      </c>
      <c r="Y101" s="71">
        <v>-65</v>
      </c>
      <c r="Z101" s="71">
        <v>-75</v>
      </c>
      <c r="AA101" s="71">
        <v>-75</v>
      </c>
      <c r="AB101" s="71">
        <f>-52.6-55.8</f>
        <v>-108.4</v>
      </c>
      <c r="AC101" s="71">
        <f>-55.7-59</f>
        <v>-114.7</v>
      </c>
      <c r="AD101" s="71">
        <v>-109</v>
      </c>
      <c r="AE101" s="71">
        <v>-148</v>
      </c>
      <c r="AF101" s="71">
        <v>-135</v>
      </c>
      <c r="AG101" s="70">
        <v>240</v>
      </c>
      <c r="AH101" s="20">
        <f t="shared" si="22"/>
        <v>-148</v>
      </c>
      <c r="AI101" s="65">
        <f t="shared" si="23"/>
        <v>0.91666666666666696</v>
      </c>
    </row>
    <row r="102" spans="1:37" x14ac:dyDescent="0.25">
      <c r="A102" s="44" t="s">
        <v>136</v>
      </c>
      <c r="B102" s="71">
        <v>8.1999999999999993</v>
      </c>
      <c r="C102" s="71">
        <v>4.7</v>
      </c>
      <c r="D102" s="71">
        <v>5</v>
      </c>
      <c r="E102" s="71">
        <v>3.7</v>
      </c>
      <c r="F102" s="71">
        <v>5.7</v>
      </c>
      <c r="G102" s="71">
        <v>7.8</v>
      </c>
      <c r="H102" s="71">
        <v>9.1</v>
      </c>
      <c r="I102" s="71">
        <v>12.3</v>
      </c>
      <c r="J102" s="71">
        <v>61.7</v>
      </c>
      <c r="K102" s="71">
        <v>18.3</v>
      </c>
      <c r="L102" s="71">
        <v>17.8</v>
      </c>
      <c r="M102" s="71">
        <v>18.5</v>
      </c>
      <c r="N102" s="71">
        <v>14.4</v>
      </c>
      <c r="O102" s="71">
        <v>13.7</v>
      </c>
      <c r="P102" s="71">
        <v>12.5</v>
      </c>
      <c r="Q102" s="71">
        <v>10.8</v>
      </c>
      <c r="R102" s="71">
        <v>8.5</v>
      </c>
      <c r="S102" s="71">
        <v>8.5</v>
      </c>
      <c r="T102" s="71">
        <v>11</v>
      </c>
      <c r="U102" s="71">
        <v>7.7</v>
      </c>
      <c r="V102" s="71">
        <v>8.1999999999999993</v>
      </c>
      <c r="W102" s="71">
        <v>8.1999999999999993</v>
      </c>
      <c r="X102" s="71">
        <v>10</v>
      </c>
      <c r="Y102" s="71">
        <v>12</v>
      </c>
      <c r="Z102" s="71">
        <v>30</v>
      </c>
      <c r="AA102" s="71">
        <v>30</v>
      </c>
      <c r="AB102" s="71">
        <v>5</v>
      </c>
      <c r="AC102" s="71">
        <v>4.5</v>
      </c>
      <c r="AD102" s="71">
        <v>1.4</v>
      </c>
      <c r="AE102" s="71">
        <v>-5.3</v>
      </c>
      <c r="AF102" s="71">
        <v>-4</v>
      </c>
      <c r="AG102" s="70">
        <v>60</v>
      </c>
      <c r="AH102" s="20">
        <f t="shared" si="22"/>
        <v>61.7</v>
      </c>
      <c r="AI102" s="65">
        <f t="shared" si="23"/>
        <v>0.27083333333333331</v>
      </c>
    </row>
    <row r="103" spans="1:37" x14ac:dyDescent="0.25">
      <c r="A103" s="40" t="s">
        <v>135</v>
      </c>
      <c r="B103" s="68">
        <v>0</v>
      </c>
      <c r="C103" s="68">
        <v>0</v>
      </c>
      <c r="D103" s="68">
        <v>0</v>
      </c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68">
        <v>0</v>
      </c>
      <c r="U103" s="68">
        <v>0</v>
      </c>
      <c r="V103" s="68">
        <v>0</v>
      </c>
      <c r="W103" s="68">
        <v>0</v>
      </c>
      <c r="X103" s="68">
        <v>0</v>
      </c>
      <c r="Y103" s="68">
        <v>63</v>
      </c>
      <c r="Z103" s="68">
        <v>64</v>
      </c>
      <c r="AA103" s="68">
        <v>64</v>
      </c>
      <c r="AB103" s="68">
        <v>64</v>
      </c>
      <c r="AC103" s="68">
        <v>64</v>
      </c>
      <c r="AD103" s="68">
        <v>27.6</v>
      </c>
      <c r="AE103" s="68">
        <v>0</v>
      </c>
      <c r="AF103" s="68">
        <v>0</v>
      </c>
      <c r="AG103" s="69">
        <v>120</v>
      </c>
      <c r="AH103" s="20">
        <f t="shared" si="22"/>
        <v>64</v>
      </c>
      <c r="AI103" s="65">
        <f t="shared" si="23"/>
        <v>0.79166666666666663</v>
      </c>
    </row>
    <row r="104" spans="1:37" x14ac:dyDescent="0.25">
      <c r="A104" s="40" t="s">
        <v>134</v>
      </c>
      <c r="B104" s="68">
        <v>28.1</v>
      </c>
      <c r="C104" s="68">
        <v>12.9</v>
      </c>
      <c r="D104" s="68">
        <v>20.8</v>
      </c>
      <c r="E104" s="68">
        <v>9.5</v>
      </c>
      <c r="F104" s="68">
        <v>27.4</v>
      </c>
      <c r="G104" s="68">
        <v>39.799999999999997</v>
      </c>
      <c r="H104" s="68">
        <v>31.4</v>
      </c>
      <c r="I104" s="68">
        <v>41.9</v>
      </c>
      <c r="J104" s="68">
        <v>45</v>
      </c>
      <c r="K104" s="68">
        <v>39</v>
      </c>
      <c r="L104" s="68">
        <v>36.6</v>
      </c>
      <c r="M104" s="68">
        <v>50.2</v>
      </c>
      <c r="N104" s="68">
        <v>56.4</v>
      </c>
      <c r="O104" s="68">
        <v>77</v>
      </c>
      <c r="P104" s="68">
        <v>82.4</v>
      </c>
      <c r="Q104" s="68">
        <v>73.900000000000006</v>
      </c>
      <c r="R104" s="68">
        <v>59.8</v>
      </c>
      <c r="S104" s="68">
        <v>59.8</v>
      </c>
      <c r="T104" s="68">
        <v>66</v>
      </c>
      <c r="U104" s="68">
        <v>55</v>
      </c>
      <c r="V104" s="68">
        <v>52.5</v>
      </c>
      <c r="W104" s="68">
        <v>52.5</v>
      </c>
      <c r="X104" s="68">
        <v>52.5</v>
      </c>
      <c r="Y104" s="68">
        <v>54</v>
      </c>
      <c r="Z104" s="68">
        <v>50</v>
      </c>
      <c r="AA104" s="68">
        <v>50</v>
      </c>
      <c r="AB104" s="68">
        <v>39.1</v>
      </c>
      <c r="AC104" s="68">
        <v>21.3</v>
      </c>
      <c r="AD104" s="68">
        <v>33.799999999999997</v>
      </c>
      <c r="AE104" s="68">
        <v>3</v>
      </c>
      <c r="AF104" s="68">
        <v>18.8</v>
      </c>
      <c r="AG104" s="69"/>
      <c r="AH104" s="20">
        <f t="shared" si="22"/>
        <v>82.4</v>
      </c>
      <c r="AI104" s="65">
        <f t="shared" si="23"/>
        <v>0.45833333333333298</v>
      </c>
    </row>
    <row r="105" spans="1:37" x14ac:dyDescent="0.25">
      <c r="A105" s="40" t="s">
        <v>133</v>
      </c>
      <c r="B105" s="68">
        <v>48.4</v>
      </c>
      <c r="C105" s="68">
        <v>47</v>
      </c>
      <c r="D105" s="68">
        <v>46.6</v>
      </c>
      <c r="E105" s="68">
        <v>25.5</v>
      </c>
      <c r="F105" s="68">
        <v>58</v>
      </c>
      <c r="G105" s="68">
        <v>63.8</v>
      </c>
      <c r="H105" s="68">
        <v>61.4</v>
      </c>
      <c r="I105" s="68">
        <v>60.8</v>
      </c>
      <c r="J105" s="68">
        <v>62</v>
      </c>
      <c r="K105" s="68">
        <v>70.099999999999994</v>
      </c>
      <c r="L105" s="68">
        <v>73.8</v>
      </c>
      <c r="M105" s="68">
        <v>62.5</v>
      </c>
      <c r="N105" s="68">
        <v>68.099999999999994</v>
      </c>
      <c r="O105" s="68">
        <v>79.7</v>
      </c>
      <c r="P105" s="68">
        <v>91</v>
      </c>
      <c r="Q105" s="68">
        <v>84.3</v>
      </c>
      <c r="R105" s="68">
        <v>60.3</v>
      </c>
      <c r="S105" s="68">
        <v>60.3</v>
      </c>
      <c r="T105" s="68">
        <v>65</v>
      </c>
      <c r="U105" s="68">
        <v>20</v>
      </c>
      <c r="V105" s="68">
        <v>-30</v>
      </c>
      <c r="W105" s="68">
        <v>-30</v>
      </c>
      <c r="X105" s="68">
        <v>-30</v>
      </c>
      <c r="Y105" s="68">
        <v>18</v>
      </c>
      <c r="Z105" s="68">
        <v>34</v>
      </c>
      <c r="AA105" s="68">
        <v>34</v>
      </c>
      <c r="AB105" s="68">
        <v>38.5</v>
      </c>
      <c r="AC105" s="68">
        <v>35</v>
      </c>
      <c r="AD105" s="68">
        <v>28.6</v>
      </c>
      <c r="AE105" s="68">
        <v>-2.7</v>
      </c>
      <c r="AF105" s="68">
        <v>26.6</v>
      </c>
      <c r="AG105" s="48"/>
      <c r="AH105" s="20">
        <f t="shared" si="22"/>
        <v>91</v>
      </c>
      <c r="AI105" s="65">
        <f t="shared" si="23"/>
        <v>0.45833333333333298</v>
      </c>
    </row>
    <row r="106" spans="1:37" x14ac:dyDescent="0.25">
      <c r="A106" s="67" t="s">
        <v>132</v>
      </c>
      <c r="B106" s="66">
        <v>114.7</v>
      </c>
      <c r="C106" s="66">
        <v>116.5</v>
      </c>
      <c r="D106" s="66">
        <v>117.8</v>
      </c>
      <c r="E106" s="66">
        <v>118.1</v>
      </c>
      <c r="F106" s="66">
        <v>117.9</v>
      </c>
      <c r="G106" s="66">
        <v>117.7</v>
      </c>
      <c r="H106" s="66">
        <v>117</v>
      </c>
      <c r="I106" s="66">
        <v>110.9</v>
      </c>
      <c r="J106" s="66">
        <v>107</v>
      </c>
      <c r="K106" s="66">
        <v>80.2</v>
      </c>
      <c r="L106" s="66">
        <v>75.599999999999994</v>
      </c>
      <c r="M106" s="66">
        <v>74.900000000000006</v>
      </c>
      <c r="N106" s="66">
        <v>64.8</v>
      </c>
      <c r="O106" s="66">
        <v>73.099999999999994</v>
      </c>
      <c r="P106" s="66">
        <v>99.2</v>
      </c>
      <c r="Q106" s="66">
        <v>82.9</v>
      </c>
      <c r="R106" s="66">
        <v>83.7</v>
      </c>
      <c r="S106" s="66">
        <v>83.7</v>
      </c>
      <c r="T106" s="66">
        <v>67</v>
      </c>
      <c r="U106" s="66">
        <v>97.5</v>
      </c>
      <c r="V106" s="66">
        <v>82.3</v>
      </c>
      <c r="W106" s="66">
        <v>82.3</v>
      </c>
      <c r="X106" s="66">
        <v>82.3</v>
      </c>
      <c r="Y106" s="66">
        <v>67</v>
      </c>
      <c r="Z106" s="66">
        <v>80</v>
      </c>
      <c r="AA106" s="66">
        <v>80</v>
      </c>
      <c r="AB106" s="66">
        <v>84.5</v>
      </c>
      <c r="AC106" s="66">
        <v>84.7</v>
      </c>
      <c r="AD106" s="66">
        <v>87.6</v>
      </c>
      <c r="AE106" s="66">
        <v>94.4</v>
      </c>
      <c r="AF106" s="66">
        <v>94.8</v>
      </c>
      <c r="AG106" s="48"/>
      <c r="AH106" s="20">
        <f t="shared" si="22"/>
        <v>118.1</v>
      </c>
      <c r="AI106" s="65">
        <f t="shared" si="23"/>
        <v>0.125</v>
      </c>
    </row>
    <row r="107" spans="1:37" ht="15.75" thickBot="1" x14ac:dyDescent="0.3">
      <c r="A107" s="67" t="s">
        <v>131</v>
      </c>
      <c r="B107" s="66">
        <v>86.2</v>
      </c>
      <c r="C107" s="66">
        <v>83.6</v>
      </c>
      <c r="D107" s="66">
        <v>67.2</v>
      </c>
      <c r="E107" s="66">
        <v>88.9</v>
      </c>
      <c r="F107" s="66">
        <v>54.2</v>
      </c>
      <c r="G107" s="66">
        <v>28.5</v>
      </c>
      <c r="H107" s="66">
        <v>32</v>
      </c>
      <c r="I107" s="66">
        <v>3.9</v>
      </c>
      <c r="J107" s="66">
        <v>-21</v>
      </c>
      <c r="K107" s="66">
        <v>20.5</v>
      </c>
      <c r="L107" s="66">
        <v>26</v>
      </c>
      <c r="M107" s="66">
        <v>24.7</v>
      </c>
      <c r="N107" s="66">
        <v>54.3</v>
      </c>
      <c r="O107" s="66">
        <v>29.7</v>
      </c>
      <c r="P107" s="66">
        <v>18.2</v>
      </c>
      <c r="Q107" s="66">
        <v>40.200000000000003</v>
      </c>
      <c r="R107" s="66">
        <v>69.7</v>
      </c>
      <c r="S107" s="66">
        <v>69.7</v>
      </c>
      <c r="T107" s="66">
        <v>61</v>
      </c>
      <c r="U107" s="66">
        <v>72</v>
      </c>
      <c r="V107" s="66">
        <v>65.5</v>
      </c>
      <c r="W107" s="66">
        <v>65.5</v>
      </c>
      <c r="X107" s="66">
        <v>65.5</v>
      </c>
      <c r="Y107" s="66">
        <v>46</v>
      </c>
      <c r="Z107" s="66">
        <v>58</v>
      </c>
      <c r="AA107" s="66">
        <v>58</v>
      </c>
      <c r="AB107" s="66">
        <v>63.3</v>
      </c>
      <c r="AC107" s="66">
        <v>70.5</v>
      </c>
      <c r="AD107" s="66">
        <v>76.400000000000006</v>
      </c>
      <c r="AE107" s="66">
        <v>101</v>
      </c>
      <c r="AF107" s="66">
        <v>90.8</v>
      </c>
      <c r="AG107" s="48"/>
      <c r="AH107" s="20">
        <f t="shared" si="22"/>
        <v>101</v>
      </c>
      <c r="AI107" s="65">
        <f t="shared" si="23"/>
        <v>0.91666666666666696</v>
      </c>
    </row>
    <row r="108" spans="1:37" ht="15.75" thickBot="1" x14ac:dyDescent="0.3">
      <c r="A108" s="64" t="s">
        <v>130</v>
      </c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2"/>
      <c r="AH108" s="20"/>
      <c r="AI108" s="19"/>
      <c r="AK108" s="41"/>
    </row>
    <row r="109" spans="1:37" x14ac:dyDescent="0.25">
      <c r="A109" s="61" t="s">
        <v>129</v>
      </c>
      <c r="B109" s="60"/>
      <c r="C109" s="56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59">
        <v>9.94</v>
      </c>
      <c r="AH109" s="20"/>
      <c r="AI109" s="19"/>
      <c r="AK109" s="41"/>
    </row>
    <row r="110" spans="1:37" x14ac:dyDescent="0.25">
      <c r="A110" s="44" t="s">
        <v>128</v>
      </c>
      <c r="B110" s="60"/>
      <c r="C110" s="56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59"/>
      <c r="AH110" s="20"/>
      <c r="AI110" s="19"/>
      <c r="AK110" s="41"/>
    </row>
    <row r="111" spans="1:37" x14ac:dyDescent="0.25">
      <c r="A111" s="44" t="s">
        <v>127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/>
      <c r="AH111" s="20"/>
      <c r="AI111" s="19"/>
      <c r="AK111" s="41"/>
    </row>
    <row r="112" spans="1:37" x14ac:dyDescent="0.25">
      <c r="A112" s="44" t="s">
        <v>126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125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124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123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122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121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120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119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118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117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116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115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114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113</v>
      </c>
      <c r="B125" s="43"/>
      <c r="C125" s="57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58">
        <v>9.9</v>
      </c>
      <c r="AH125" s="20"/>
      <c r="AI125" s="19"/>
      <c r="AK125" s="41"/>
    </row>
    <row r="126" spans="1:37" x14ac:dyDescent="0.25">
      <c r="A126" s="40" t="s">
        <v>112</v>
      </c>
      <c r="B126" s="43"/>
      <c r="C126" s="57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54">
        <v>9.6579999999999995</v>
      </c>
      <c r="AH126" s="20"/>
      <c r="AI126" s="19"/>
      <c r="AK126" s="41"/>
    </row>
    <row r="127" spans="1:37" x14ac:dyDescent="0.25">
      <c r="A127" s="40" t="s">
        <v>111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4">
        <v>9.6</v>
      </c>
      <c r="AH127" s="20"/>
      <c r="AI127" s="19"/>
      <c r="AK127" s="41"/>
    </row>
    <row r="128" spans="1:37" x14ac:dyDescent="0.25">
      <c r="A128" s="40" t="s">
        <v>110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9.51</v>
      </c>
      <c r="AH128" s="20"/>
      <c r="AI128" s="19"/>
      <c r="AK128" s="41"/>
    </row>
    <row r="129" spans="1:37" x14ac:dyDescent="0.25">
      <c r="A129" s="40" t="s">
        <v>109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9.4</v>
      </c>
      <c r="AH129" s="20"/>
      <c r="AI129" s="19"/>
      <c r="AK129" s="41"/>
    </row>
    <row r="130" spans="1:37" x14ac:dyDescent="0.25">
      <c r="A130" s="40" t="s">
        <v>108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8.8000000000000007</v>
      </c>
      <c r="AH130" s="20"/>
      <c r="AI130" s="19"/>
      <c r="AK130" s="41"/>
    </row>
    <row r="131" spans="1:37" x14ac:dyDescent="0.25">
      <c r="A131" s="40" t="s">
        <v>107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8.5</v>
      </c>
      <c r="AH131" s="20"/>
      <c r="AI131" s="19"/>
      <c r="AK131" s="41"/>
    </row>
    <row r="132" spans="1:37" x14ac:dyDescent="0.25">
      <c r="A132" s="40" t="s">
        <v>106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8.5</v>
      </c>
      <c r="AH132" s="20"/>
      <c r="AI132" s="19"/>
      <c r="AK132" s="41"/>
    </row>
    <row r="133" spans="1:37" x14ac:dyDescent="0.25">
      <c r="A133" s="40" t="s">
        <v>105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8.4</v>
      </c>
      <c r="AH133" s="20"/>
      <c r="AI133" s="19"/>
      <c r="AK133" s="41"/>
    </row>
    <row r="134" spans="1:37" ht="13.5" customHeight="1" x14ac:dyDescent="0.25">
      <c r="A134" s="40" t="s">
        <v>104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</v>
      </c>
      <c r="AH134" s="20"/>
      <c r="AI134" s="19"/>
      <c r="AK134" s="41"/>
    </row>
    <row r="135" spans="1:37" x14ac:dyDescent="0.25">
      <c r="A135" s="40" t="s">
        <v>103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</v>
      </c>
      <c r="AH135" s="20"/>
      <c r="AI135" s="19"/>
      <c r="AK135" s="41"/>
    </row>
    <row r="136" spans="1:37" x14ac:dyDescent="0.25">
      <c r="A136" s="40" t="s">
        <v>102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101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7.8</v>
      </c>
      <c r="AH137" s="20"/>
      <c r="AI137" s="19"/>
      <c r="AK137" s="41"/>
    </row>
    <row r="138" spans="1:37" x14ac:dyDescent="0.25">
      <c r="A138" s="40" t="s">
        <v>100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7.6</v>
      </c>
      <c r="AH138" s="20"/>
      <c r="AI138" s="19"/>
      <c r="AK138" s="41"/>
    </row>
    <row r="139" spans="1:37" x14ac:dyDescent="0.25">
      <c r="A139" s="40" t="s">
        <v>99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7.5</v>
      </c>
      <c r="AH139" s="20"/>
      <c r="AI139" s="19"/>
      <c r="AK139" s="41"/>
    </row>
    <row r="140" spans="1:37" x14ac:dyDescent="0.25">
      <c r="A140" s="40" t="s">
        <v>98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7.5</v>
      </c>
      <c r="AH140" s="20"/>
      <c r="AI140" s="19"/>
      <c r="AK140" s="41"/>
    </row>
    <row r="141" spans="1:37" x14ac:dyDescent="0.25">
      <c r="A141" s="40" t="s">
        <v>97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</v>
      </c>
      <c r="AH141" s="20"/>
      <c r="AI141" s="19"/>
      <c r="AK141" s="41"/>
    </row>
    <row r="142" spans="1:37" x14ac:dyDescent="0.25">
      <c r="A142" s="40" t="s">
        <v>96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</v>
      </c>
      <c r="AH142" s="20"/>
      <c r="AI142" s="19"/>
      <c r="AK142" s="41"/>
    </row>
    <row r="143" spans="1:37" x14ac:dyDescent="0.25">
      <c r="A143" s="40" t="s">
        <v>95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94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93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6.6</v>
      </c>
      <c r="AH145" s="20"/>
      <c r="AI145" s="19"/>
      <c r="AK145" s="41"/>
    </row>
    <row r="146" spans="1:37" x14ac:dyDescent="0.25">
      <c r="A146" s="40" t="s">
        <v>92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6.6</v>
      </c>
      <c r="AH146" s="20"/>
      <c r="AI146" s="19"/>
      <c r="AK146" s="41"/>
    </row>
    <row r="147" spans="1:37" x14ac:dyDescent="0.25">
      <c r="A147" s="40" t="s">
        <v>91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6.4</v>
      </c>
      <c r="AH147" s="20"/>
      <c r="AI147" s="19"/>
      <c r="AK147" s="41"/>
    </row>
    <row r="148" spans="1:37" x14ac:dyDescent="0.25">
      <c r="A148" s="40" t="s">
        <v>90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</v>
      </c>
      <c r="AH148" s="20"/>
      <c r="AI148" s="19"/>
      <c r="AK148" s="41"/>
    </row>
    <row r="149" spans="1:37" x14ac:dyDescent="0.25">
      <c r="A149" s="40" t="s">
        <v>89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5.0999999999999996</v>
      </c>
      <c r="AH149" s="20"/>
      <c r="AI149" s="19"/>
      <c r="AK149" s="41"/>
    </row>
    <row r="150" spans="1:37" x14ac:dyDescent="0.25">
      <c r="A150" s="40" t="s">
        <v>88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5</v>
      </c>
      <c r="AH150" s="20"/>
      <c r="AI150" s="19"/>
      <c r="AK150" s="41"/>
    </row>
    <row r="151" spans="1:37" x14ac:dyDescent="0.25">
      <c r="A151" s="44" t="s">
        <v>87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8">
        <v>5</v>
      </c>
      <c r="AH151" s="20"/>
      <c r="AI151" s="19"/>
      <c r="AK151" s="41"/>
    </row>
    <row r="152" spans="1:37" x14ac:dyDescent="0.25">
      <c r="A152" s="40" t="s">
        <v>86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0" t="s">
        <v>85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4">
        <v>5</v>
      </c>
      <c r="AH153" s="20"/>
      <c r="AI153" s="19"/>
      <c r="AK153" s="41"/>
    </row>
    <row r="154" spans="1:37" x14ac:dyDescent="0.25">
      <c r="A154" s="40" t="s">
        <v>84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83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82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81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4.9930000000000003</v>
      </c>
      <c r="AH157" s="20"/>
      <c r="AI157" s="19"/>
      <c r="AK157" s="41"/>
    </row>
    <row r="158" spans="1:37" x14ac:dyDescent="0.25">
      <c r="A158" s="40" t="s">
        <v>80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4.9800000000000004</v>
      </c>
      <c r="AH158" s="20"/>
      <c r="AI158" s="19"/>
      <c r="AK158" s="41"/>
    </row>
    <row r="159" spans="1:37" x14ac:dyDescent="0.25">
      <c r="A159" s="40" t="s">
        <v>79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4.95</v>
      </c>
      <c r="AH159" s="20"/>
      <c r="AI159" s="19"/>
      <c r="AK159" s="41"/>
    </row>
    <row r="160" spans="1:37" x14ac:dyDescent="0.25">
      <c r="A160" s="40" t="s">
        <v>78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4.95</v>
      </c>
      <c r="AH160" s="20"/>
      <c r="AI160" s="19"/>
      <c r="AK160" s="41"/>
    </row>
    <row r="161" spans="1:37" x14ac:dyDescent="0.25">
      <c r="A161" s="40" t="s">
        <v>77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4.8</v>
      </c>
      <c r="AH161" s="20"/>
      <c r="AI161" s="19"/>
      <c r="AK161" s="41"/>
    </row>
    <row r="162" spans="1:37" x14ac:dyDescent="0.25">
      <c r="A162" s="40" t="s">
        <v>76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4.8</v>
      </c>
      <c r="AH162" s="20"/>
      <c r="AI162" s="19"/>
      <c r="AK162" s="41"/>
    </row>
    <row r="163" spans="1:37" x14ac:dyDescent="0.25">
      <c r="A163" s="40" t="s">
        <v>75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74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4.5</v>
      </c>
      <c r="AH164" s="20"/>
      <c r="AI164" s="19"/>
      <c r="AK164" s="41"/>
    </row>
    <row r="165" spans="1:37" x14ac:dyDescent="0.25">
      <c r="A165" s="40" t="s">
        <v>73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4.5</v>
      </c>
      <c r="AH165" s="20"/>
      <c r="AI165" s="19"/>
      <c r="AK165" s="41"/>
    </row>
    <row r="166" spans="1:37" x14ac:dyDescent="0.25">
      <c r="A166" s="40" t="s">
        <v>72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4.4550000000000001</v>
      </c>
      <c r="AH166" s="20"/>
      <c r="AI166" s="19"/>
      <c r="AK166" s="41"/>
    </row>
    <row r="167" spans="1:37" x14ac:dyDescent="0.25">
      <c r="A167" s="40" t="s">
        <v>71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4.41</v>
      </c>
      <c r="AH167" s="20"/>
      <c r="AI167" s="19"/>
      <c r="AK167" s="41"/>
    </row>
    <row r="168" spans="1:37" x14ac:dyDescent="0.25">
      <c r="A168" s="40" t="s">
        <v>70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4.4000000000000004</v>
      </c>
      <c r="AH168" s="20"/>
      <c r="AI168" s="19"/>
      <c r="AK168" s="41"/>
    </row>
    <row r="169" spans="1:37" x14ac:dyDescent="0.25">
      <c r="A169" s="40" t="s">
        <v>69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4.3600000000000003</v>
      </c>
      <c r="AH169" s="20"/>
      <c r="AI169" s="19"/>
      <c r="AK169" s="41"/>
    </row>
    <row r="170" spans="1:37" x14ac:dyDescent="0.25">
      <c r="A170" s="40" t="s">
        <v>68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4.2</v>
      </c>
      <c r="AH170" s="20"/>
      <c r="AI170" s="19"/>
      <c r="AK170" s="41"/>
    </row>
    <row r="171" spans="1:37" x14ac:dyDescent="0.25">
      <c r="A171" s="40" t="s">
        <v>67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</v>
      </c>
      <c r="AH171" s="20"/>
      <c r="AI171" s="19"/>
      <c r="AK171" s="41"/>
    </row>
    <row r="172" spans="1:37" x14ac:dyDescent="0.25">
      <c r="A172" s="40" t="s">
        <v>66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</v>
      </c>
      <c r="AH172" s="20"/>
      <c r="AI172" s="19"/>
      <c r="AK172" s="41"/>
    </row>
    <row r="173" spans="1:37" x14ac:dyDescent="0.25">
      <c r="A173" s="40" t="s">
        <v>65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64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63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62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61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60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59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3.75</v>
      </c>
      <c r="AH179" s="20"/>
      <c r="AI179" s="19"/>
      <c r="AK179" s="41"/>
    </row>
    <row r="180" spans="1:37" x14ac:dyDescent="0.25">
      <c r="A180" s="40" t="s">
        <v>58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3.52</v>
      </c>
      <c r="AH180" s="20"/>
      <c r="AI180" s="19"/>
      <c r="AK180" s="41"/>
    </row>
    <row r="181" spans="1:37" x14ac:dyDescent="0.25">
      <c r="A181" s="40" t="s">
        <v>57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3.33</v>
      </c>
      <c r="AH181" s="20"/>
      <c r="AI181" s="19"/>
      <c r="AK181" s="41"/>
    </row>
    <row r="182" spans="1:37" x14ac:dyDescent="0.25">
      <c r="A182" s="40" t="s">
        <v>56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3.2</v>
      </c>
      <c r="AH182" s="20"/>
      <c r="AI182" s="19"/>
      <c r="AK182" s="41"/>
    </row>
    <row r="183" spans="1:37" x14ac:dyDescent="0.25">
      <c r="A183" s="40" t="s">
        <v>55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</v>
      </c>
      <c r="AH183" s="20"/>
      <c r="AI183" s="19"/>
      <c r="AK183" s="41"/>
    </row>
    <row r="184" spans="1:37" x14ac:dyDescent="0.25">
      <c r="A184" s="40" t="s">
        <v>54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</v>
      </c>
      <c r="AH184" s="20"/>
      <c r="AI184" s="19"/>
      <c r="AK184" s="41"/>
    </row>
    <row r="185" spans="1:37" x14ac:dyDescent="0.25">
      <c r="A185" s="40" t="s">
        <v>53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52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51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50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49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48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47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2.83</v>
      </c>
      <c r="AH191" s="20"/>
      <c r="AI191" s="19"/>
      <c r="AK191" s="41"/>
    </row>
    <row r="192" spans="1:37" x14ac:dyDescent="0.25">
      <c r="A192" s="40" t="s">
        <v>46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2.5</v>
      </c>
      <c r="AH192" s="20"/>
      <c r="AI192" s="19"/>
      <c r="AK192" s="41"/>
    </row>
    <row r="193" spans="1:37" x14ac:dyDescent="0.25">
      <c r="A193" s="40" t="s">
        <v>45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2.5</v>
      </c>
      <c r="AH193" s="20"/>
      <c r="AI193" s="19"/>
      <c r="AK193" s="41"/>
    </row>
    <row r="194" spans="1:37" x14ac:dyDescent="0.25">
      <c r="A194" s="40" t="s">
        <v>44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2.4</v>
      </c>
      <c r="AH194" s="20"/>
      <c r="AI194" s="19"/>
      <c r="AK194" s="41"/>
    </row>
    <row r="195" spans="1:37" x14ac:dyDescent="0.25">
      <c r="A195" s="40" t="s">
        <v>43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2.4</v>
      </c>
      <c r="AH195" s="20"/>
      <c r="AI195" s="19"/>
      <c r="AK195" s="41"/>
    </row>
    <row r="196" spans="1:37" x14ac:dyDescent="0.25">
      <c r="A196" s="40" t="s">
        <v>42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2.2000000000000002</v>
      </c>
      <c r="AH196" s="20"/>
      <c r="AI196" s="19"/>
      <c r="AK196" s="41"/>
    </row>
    <row r="197" spans="1:37" x14ac:dyDescent="0.25">
      <c r="A197" s="40" t="s">
        <v>41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</v>
      </c>
      <c r="AH197" s="20"/>
      <c r="AI197" s="19"/>
      <c r="AK197" s="41"/>
    </row>
    <row r="198" spans="1:37" x14ac:dyDescent="0.25">
      <c r="A198" s="40" t="s">
        <v>40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</v>
      </c>
      <c r="AH198" s="20"/>
      <c r="AI198" s="19"/>
      <c r="AK198" s="41"/>
    </row>
    <row r="199" spans="1:37" x14ac:dyDescent="0.25">
      <c r="A199" s="40" t="s">
        <v>39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38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1.8</v>
      </c>
      <c r="AH200" s="20"/>
      <c r="AI200" s="19"/>
      <c r="AK200" s="41"/>
    </row>
    <row r="201" spans="1:37" x14ac:dyDescent="0.25">
      <c r="A201" s="40" t="s">
        <v>37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1.8</v>
      </c>
      <c r="AH201" s="20"/>
      <c r="AI201" s="19"/>
      <c r="AK201" s="41"/>
    </row>
    <row r="202" spans="1:37" x14ac:dyDescent="0.25">
      <c r="A202" s="40" t="s">
        <v>36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1.65</v>
      </c>
      <c r="AH202" s="20"/>
      <c r="AI202" s="19"/>
      <c r="AK202" s="41"/>
    </row>
    <row r="203" spans="1:37" x14ac:dyDescent="0.25">
      <c r="A203" s="40" t="s">
        <v>35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1.5</v>
      </c>
      <c r="AH203" s="20"/>
      <c r="AI203" s="19"/>
      <c r="AK203" s="41"/>
    </row>
    <row r="204" spans="1:37" x14ac:dyDescent="0.25">
      <c r="A204" s="40" t="s">
        <v>34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0.998</v>
      </c>
      <c r="AH204" s="20"/>
      <c r="AI204" s="19"/>
      <c r="AK204" s="41"/>
    </row>
    <row r="205" spans="1:37" x14ac:dyDescent="0.25">
      <c r="A205" s="40" t="s">
        <v>33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0.997</v>
      </c>
      <c r="AH205" s="20"/>
      <c r="AI205" s="19"/>
      <c r="AK205" s="41"/>
    </row>
    <row r="206" spans="1:37" x14ac:dyDescent="0.25">
      <c r="A206" s="40" t="s">
        <v>32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0.997</v>
      </c>
      <c r="AH206" s="20"/>
      <c r="AI206" s="19"/>
      <c r="AK206" s="41"/>
    </row>
    <row r="207" spans="1:37" x14ac:dyDescent="0.25">
      <c r="A207" s="40" t="s">
        <v>31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0.996</v>
      </c>
      <c r="AH207" s="20"/>
      <c r="AI207" s="19"/>
      <c r="AK207" s="41"/>
    </row>
    <row r="208" spans="1:37" x14ac:dyDescent="0.25">
      <c r="A208" s="40" t="s">
        <v>30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0.996</v>
      </c>
      <c r="AH208" s="20"/>
      <c r="AI208" s="19"/>
      <c r="AK208" s="41"/>
    </row>
    <row r="209" spans="1:37" x14ac:dyDescent="0.25">
      <c r="A209" s="40" t="s">
        <v>29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28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0.995</v>
      </c>
      <c r="AH210" s="20"/>
      <c r="AI210" s="19"/>
      <c r="AK210" s="41"/>
    </row>
    <row r="211" spans="1:37" x14ac:dyDescent="0.25">
      <c r="A211" s="40" t="s">
        <v>27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0.99299999999999999</v>
      </c>
      <c r="AH211" s="20"/>
      <c r="AI211" s="19"/>
      <c r="AK211" s="41"/>
    </row>
    <row r="212" spans="1:37" x14ac:dyDescent="0.25">
      <c r="A212" s="40" t="s">
        <v>26</v>
      </c>
      <c r="B212" s="43"/>
      <c r="C212" s="56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</v>
      </c>
      <c r="AH212" s="20"/>
      <c r="AI212" s="19"/>
      <c r="AK212" s="41"/>
    </row>
    <row r="213" spans="1:37" ht="15.75" thickBot="1" x14ac:dyDescent="0.3">
      <c r="A213" s="40" t="s">
        <v>25</v>
      </c>
      <c r="B213" s="39"/>
      <c r="C213" s="55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54">
        <v>0.97899999999999998</v>
      </c>
      <c r="AH213" s="20"/>
      <c r="AI213" s="19"/>
      <c r="AK213" s="41"/>
    </row>
    <row r="214" spans="1:37" ht="15.75" thickBot="1" x14ac:dyDescent="0.3">
      <c r="A214" s="53" t="s">
        <v>24</v>
      </c>
      <c r="B214" s="52">
        <f t="shared" ref="B214:AG214" si="24">SUM(B109:B213)</f>
        <v>0</v>
      </c>
      <c r="C214" s="36">
        <f t="shared" si="24"/>
        <v>0</v>
      </c>
      <c r="D214" s="36">
        <f t="shared" si="24"/>
        <v>0</v>
      </c>
      <c r="E214" s="36">
        <f t="shared" si="24"/>
        <v>0</v>
      </c>
      <c r="F214" s="36">
        <f t="shared" si="24"/>
        <v>0</v>
      </c>
      <c r="G214" s="36">
        <f t="shared" si="24"/>
        <v>0</v>
      </c>
      <c r="H214" s="36">
        <f t="shared" si="24"/>
        <v>0</v>
      </c>
      <c r="I214" s="36">
        <f t="shared" si="24"/>
        <v>0</v>
      </c>
      <c r="J214" s="36">
        <f t="shared" si="24"/>
        <v>0</v>
      </c>
      <c r="K214" s="36">
        <f t="shared" si="24"/>
        <v>0</v>
      </c>
      <c r="L214" s="36">
        <f t="shared" si="24"/>
        <v>0</v>
      </c>
      <c r="M214" s="36">
        <f t="shared" si="24"/>
        <v>0</v>
      </c>
      <c r="N214" s="36">
        <f t="shared" si="24"/>
        <v>0</v>
      </c>
      <c r="O214" s="36">
        <f t="shared" si="24"/>
        <v>0</v>
      </c>
      <c r="P214" s="36">
        <f t="shared" si="24"/>
        <v>0</v>
      </c>
      <c r="Q214" s="36">
        <f t="shared" si="24"/>
        <v>0</v>
      </c>
      <c r="R214" s="36">
        <f t="shared" si="24"/>
        <v>0</v>
      </c>
      <c r="S214" s="36">
        <f t="shared" si="24"/>
        <v>0</v>
      </c>
      <c r="T214" s="36">
        <f t="shared" si="24"/>
        <v>0</v>
      </c>
      <c r="U214" s="36">
        <f t="shared" si="24"/>
        <v>0</v>
      </c>
      <c r="V214" s="36">
        <f t="shared" si="24"/>
        <v>0</v>
      </c>
      <c r="W214" s="36">
        <f t="shared" si="24"/>
        <v>0</v>
      </c>
      <c r="X214" s="36">
        <f t="shared" si="24"/>
        <v>0</v>
      </c>
      <c r="Y214" s="36">
        <f t="shared" si="24"/>
        <v>0</v>
      </c>
      <c r="Z214" s="36">
        <f t="shared" si="24"/>
        <v>0</v>
      </c>
      <c r="AA214" s="36">
        <f t="shared" si="24"/>
        <v>0</v>
      </c>
      <c r="AB214" s="36">
        <f t="shared" si="24"/>
        <v>0</v>
      </c>
      <c r="AC214" s="36">
        <f t="shared" si="24"/>
        <v>0</v>
      </c>
      <c r="AD214" s="36">
        <f t="shared" si="24"/>
        <v>0</v>
      </c>
      <c r="AE214" s="36">
        <f t="shared" si="24"/>
        <v>0</v>
      </c>
      <c r="AF214" s="51">
        <f t="shared" si="24"/>
        <v>0</v>
      </c>
      <c r="AG214" s="50">
        <f t="shared" si="24"/>
        <v>412.72299999999984</v>
      </c>
      <c r="AH214" s="20"/>
      <c r="AI214" s="19"/>
      <c r="AK214" s="41"/>
    </row>
    <row r="215" spans="1:37" ht="15.75" thickBot="1" x14ac:dyDescent="0.3">
      <c r="A215" s="49" t="s">
        <v>17</v>
      </c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48"/>
      <c r="AH215" s="20"/>
      <c r="AI215" s="19"/>
      <c r="AK215" s="41"/>
    </row>
    <row r="216" spans="1:37" x14ac:dyDescent="0.25">
      <c r="A216" s="47" t="s">
        <v>23</v>
      </c>
      <c r="B216" s="46">
        <f t="shared" ref="B216:B221" si="25">AF216</f>
        <v>0</v>
      </c>
      <c r="C216" s="46">
        <v>0.3</v>
      </c>
      <c r="D216" s="46">
        <f t="shared" ref="D216:P221" si="26">C216</f>
        <v>0.3</v>
      </c>
      <c r="E216" s="46">
        <f t="shared" si="26"/>
        <v>0.3</v>
      </c>
      <c r="F216" s="46">
        <f t="shared" si="26"/>
        <v>0.3</v>
      </c>
      <c r="G216" s="46">
        <f t="shared" si="26"/>
        <v>0.3</v>
      </c>
      <c r="H216" s="46">
        <f t="shared" si="26"/>
        <v>0.3</v>
      </c>
      <c r="I216" s="46">
        <f t="shared" si="26"/>
        <v>0.3</v>
      </c>
      <c r="J216" s="46">
        <f t="shared" si="26"/>
        <v>0.3</v>
      </c>
      <c r="K216" s="46">
        <f t="shared" si="26"/>
        <v>0.3</v>
      </c>
      <c r="L216" s="46">
        <f t="shared" si="26"/>
        <v>0.3</v>
      </c>
      <c r="M216" s="46">
        <f t="shared" si="26"/>
        <v>0.3</v>
      </c>
      <c r="N216" s="46">
        <f t="shared" si="26"/>
        <v>0.3</v>
      </c>
      <c r="O216" s="46">
        <f t="shared" si="26"/>
        <v>0.3</v>
      </c>
      <c r="P216" s="46">
        <f t="shared" si="26"/>
        <v>0.3</v>
      </c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5">
        <v>2.4</v>
      </c>
      <c r="AH216" s="20"/>
      <c r="AI216" s="19"/>
      <c r="AK216" s="41"/>
    </row>
    <row r="217" spans="1:37" x14ac:dyDescent="0.25">
      <c r="A217" s="44" t="s">
        <v>22</v>
      </c>
      <c r="B217" s="43">
        <f t="shared" si="25"/>
        <v>0</v>
      </c>
      <c r="C217" s="43">
        <v>0.4</v>
      </c>
      <c r="D217" s="43">
        <f t="shared" si="26"/>
        <v>0.4</v>
      </c>
      <c r="E217" s="43">
        <f t="shared" si="26"/>
        <v>0.4</v>
      </c>
      <c r="F217" s="43">
        <f t="shared" si="26"/>
        <v>0.4</v>
      </c>
      <c r="G217" s="43">
        <f t="shared" si="26"/>
        <v>0.4</v>
      </c>
      <c r="H217" s="43">
        <f t="shared" si="26"/>
        <v>0.4</v>
      </c>
      <c r="I217" s="43">
        <f t="shared" si="26"/>
        <v>0.4</v>
      </c>
      <c r="J217" s="43">
        <f t="shared" si="26"/>
        <v>0.4</v>
      </c>
      <c r="K217" s="43">
        <f t="shared" si="26"/>
        <v>0.4</v>
      </c>
      <c r="L217" s="43">
        <f t="shared" si="26"/>
        <v>0.4</v>
      </c>
      <c r="M217" s="43">
        <f t="shared" si="26"/>
        <v>0.4</v>
      </c>
      <c r="N217" s="43">
        <f t="shared" si="26"/>
        <v>0.4</v>
      </c>
      <c r="O217" s="43">
        <f t="shared" si="26"/>
        <v>0.4</v>
      </c>
      <c r="P217" s="43">
        <f t="shared" si="26"/>
        <v>0.4</v>
      </c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2">
        <v>2</v>
      </c>
      <c r="AH217" s="20"/>
      <c r="AI217" s="19"/>
      <c r="AK217" s="41"/>
    </row>
    <row r="218" spans="1:37" x14ac:dyDescent="0.25">
      <c r="A218" s="44" t="s">
        <v>21</v>
      </c>
      <c r="B218" s="43">
        <f t="shared" si="25"/>
        <v>0</v>
      </c>
      <c r="C218" s="43">
        <v>1.5</v>
      </c>
      <c r="D218" s="43">
        <f t="shared" si="26"/>
        <v>1.5</v>
      </c>
      <c r="E218" s="43">
        <f t="shared" si="26"/>
        <v>1.5</v>
      </c>
      <c r="F218" s="43">
        <f t="shared" si="26"/>
        <v>1.5</v>
      </c>
      <c r="G218" s="43">
        <f t="shared" si="26"/>
        <v>1.5</v>
      </c>
      <c r="H218" s="43">
        <f t="shared" si="26"/>
        <v>1.5</v>
      </c>
      <c r="I218" s="43">
        <f t="shared" si="26"/>
        <v>1.5</v>
      </c>
      <c r="J218" s="43">
        <f t="shared" si="26"/>
        <v>1.5</v>
      </c>
      <c r="K218" s="43">
        <f t="shared" si="26"/>
        <v>1.5</v>
      </c>
      <c r="L218" s="43">
        <f t="shared" si="26"/>
        <v>1.5</v>
      </c>
      <c r="M218" s="43">
        <f t="shared" si="26"/>
        <v>1.5</v>
      </c>
      <c r="N218" s="43">
        <f t="shared" si="26"/>
        <v>1.5</v>
      </c>
      <c r="O218" s="43">
        <f t="shared" si="26"/>
        <v>1.5</v>
      </c>
      <c r="P218" s="43">
        <f t="shared" si="26"/>
        <v>1.5</v>
      </c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2">
        <v>1.5</v>
      </c>
      <c r="AH218" s="20"/>
      <c r="AI218" s="19"/>
      <c r="AK218" s="41"/>
    </row>
    <row r="219" spans="1:37" x14ac:dyDescent="0.25">
      <c r="A219" s="44" t="s">
        <v>20</v>
      </c>
      <c r="B219" s="43">
        <f t="shared" si="25"/>
        <v>0</v>
      </c>
      <c r="C219" s="43">
        <v>0.3</v>
      </c>
      <c r="D219" s="43">
        <f t="shared" si="26"/>
        <v>0.3</v>
      </c>
      <c r="E219" s="43">
        <f t="shared" si="26"/>
        <v>0.3</v>
      </c>
      <c r="F219" s="43">
        <f t="shared" si="26"/>
        <v>0.3</v>
      </c>
      <c r="G219" s="43">
        <f t="shared" si="26"/>
        <v>0.3</v>
      </c>
      <c r="H219" s="43">
        <f t="shared" si="26"/>
        <v>0.3</v>
      </c>
      <c r="I219" s="43">
        <f t="shared" si="26"/>
        <v>0.3</v>
      </c>
      <c r="J219" s="43">
        <f t="shared" si="26"/>
        <v>0.3</v>
      </c>
      <c r="K219" s="43">
        <f t="shared" si="26"/>
        <v>0.3</v>
      </c>
      <c r="L219" s="43">
        <f t="shared" si="26"/>
        <v>0.3</v>
      </c>
      <c r="M219" s="43">
        <f t="shared" si="26"/>
        <v>0.3</v>
      </c>
      <c r="N219" s="43">
        <f t="shared" si="26"/>
        <v>0.3</v>
      </c>
      <c r="O219" s="43">
        <f t="shared" si="26"/>
        <v>0.3</v>
      </c>
      <c r="P219" s="43">
        <f t="shared" si="26"/>
        <v>0.3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1</v>
      </c>
      <c r="AH219" s="20"/>
      <c r="AI219" s="19"/>
      <c r="AK219" s="41"/>
    </row>
    <row r="220" spans="1:37" x14ac:dyDescent="0.25">
      <c r="A220" s="44" t="s">
        <v>19</v>
      </c>
      <c r="B220" s="43">
        <f t="shared" si="25"/>
        <v>0</v>
      </c>
      <c r="C220" s="43">
        <v>0.4</v>
      </c>
      <c r="D220" s="43">
        <f t="shared" si="26"/>
        <v>0.4</v>
      </c>
      <c r="E220" s="43">
        <f t="shared" si="26"/>
        <v>0.4</v>
      </c>
      <c r="F220" s="43">
        <f t="shared" si="26"/>
        <v>0.4</v>
      </c>
      <c r="G220" s="43">
        <f t="shared" si="26"/>
        <v>0.4</v>
      </c>
      <c r="H220" s="43">
        <f t="shared" si="26"/>
        <v>0.4</v>
      </c>
      <c r="I220" s="43">
        <f t="shared" si="26"/>
        <v>0.4</v>
      </c>
      <c r="J220" s="43">
        <f t="shared" si="26"/>
        <v>0.4</v>
      </c>
      <c r="K220" s="43">
        <f t="shared" si="26"/>
        <v>0.4</v>
      </c>
      <c r="L220" s="43">
        <f t="shared" si="26"/>
        <v>0.4</v>
      </c>
      <c r="M220" s="43">
        <f t="shared" si="26"/>
        <v>0.4</v>
      </c>
      <c r="N220" s="43">
        <f t="shared" si="26"/>
        <v>0.4</v>
      </c>
      <c r="O220" s="43">
        <f t="shared" si="26"/>
        <v>0.4</v>
      </c>
      <c r="P220" s="43">
        <f t="shared" si="26"/>
        <v>0.4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</v>
      </c>
      <c r="AH220" s="20"/>
      <c r="AI220" s="19"/>
      <c r="AK220" s="41"/>
    </row>
    <row r="221" spans="1:37" ht="15.75" thickBot="1" x14ac:dyDescent="0.3">
      <c r="A221" s="40" t="s">
        <v>18</v>
      </c>
      <c r="B221" s="39">
        <f t="shared" si="25"/>
        <v>0</v>
      </c>
      <c r="C221" s="39">
        <v>0.64</v>
      </c>
      <c r="D221" s="39">
        <f t="shared" si="26"/>
        <v>0.64</v>
      </c>
      <c r="E221" s="39">
        <f t="shared" si="26"/>
        <v>0.64</v>
      </c>
      <c r="F221" s="39">
        <f t="shared" si="26"/>
        <v>0.64</v>
      </c>
      <c r="G221" s="39">
        <f t="shared" si="26"/>
        <v>0.64</v>
      </c>
      <c r="H221" s="39">
        <f t="shared" si="26"/>
        <v>0.64</v>
      </c>
      <c r="I221" s="39">
        <f t="shared" si="26"/>
        <v>0.64</v>
      </c>
      <c r="J221" s="39">
        <f t="shared" si="26"/>
        <v>0.64</v>
      </c>
      <c r="K221" s="39">
        <f t="shared" si="26"/>
        <v>0.64</v>
      </c>
      <c r="L221" s="39">
        <f t="shared" si="26"/>
        <v>0.64</v>
      </c>
      <c r="M221" s="39">
        <f t="shared" si="26"/>
        <v>0.64</v>
      </c>
      <c r="N221" s="39">
        <f t="shared" si="26"/>
        <v>0.64</v>
      </c>
      <c r="O221" s="39">
        <f t="shared" si="26"/>
        <v>0.64</v>
      </c>
      <c r="P221" s="39">
        <f t="shared" si="26"/>
        <v>0.64</v>
      </c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8">
        <v>0.66</v>
      </c>
      <c r="AH221" s="20"/>
      <c r="AI221" s="19"/>
    </row>
    <row r="222" spans="1:37" ht="15.75" thickBot="1" x14ac:dyDescent="0.3">
      <c r="A222" s="37" t="s">
        <v>17</v>
      </c>
      <c r="B222" s="36">
        <f t="shared" ref="B222:AG222" si="27">SUM(B216:B221)</f>
        <v>0</v>
      </c>
      <c r="C222" s="36">
        <f t="shared" si="27"/>
        <v>3.54</v>
      </c>
      <c r="D222" s="36">
        <f t="shared" si="27"/>
        <v>3.54</v>
      </c>
      <c r="E222" s="36">
        <f t="shared" si="27"/>
        <v>3.54</v>
      </c>
      <c r="F222" s="36">
        <f t="shared" si="27"/>
        <v>3.54</v>
      </c>
      <c r="G222" s="36">
        <f t="shared" si="27"/>
        <v>3.54</v>
      </c>
      <c r="H222" s="36">
        <f t="shared" si="27"/>
        <v>3.54</v>
      </c>
      <c r="I222" s="36">
        <f t="shared" si="27"/>
        <v>3.54</v>
      </c>
      <c r="J222" s="36">
        <f t="shared" si="27"/>
        <v>3.54</v>
      </c>
      <c r="K222" s="36">
        <f t="shared" si="27"/>
        <v>3.54</v>
      </c>
      <c r="L222" s="36">
        <f t="shared" si="27"/>
        <v>3.54</v>
      </c>
      <c r="M222" s="36">
        <f t="shared" si="27"/>
        <v>3.54</v>
      </c>
      <c r="N222" s="36">
        <f t="shared" si="27"/>
        <v>3.54</v>
      </c>
      <c r="O222" s="36">
        <f t="shared" si="27"/>
        <v>3.54</v>
      </c>
      <c r="P222" s="36">
        <f t="shared" si="27"/>
        <v>3.54</v>
      </c>
      <c r="Q222" s="36">
        <f t="shared" si="27"/>
        <v>0</v>
      </c>
      <c r="R222" s="36">
        <f t="shared" si="27"/>
        <v>0</v>
      </c>
      <c r="S222" s="36">
        <f t="shared" si="27"/>
        <v>0</v>
      </c>
      <c r="T222" s="36">
        <f t="shared" si="27"/>
        <v>0</v>
      </c>
      <c r="U222" s="36">
        <f t="shared" si="27"/>
        <v>0</v>
      </c>
      <c r="V222" s="36">
        <f t="shared" si="27"/>
        <v>0</v>
      </c>
      <c r="W222" s="36">
        <f t="shared" si="27"/>
        <v>0</v>
      </c>
      <c r="X222" s="36">
        <f t="shared" si="27"/>
        <v>0</v>
      </c>
      <c r="Y222" s="36">
        <f t="shared" si="27"/>
        <v>0</v>
      </c>
      <c r="Z222" s="36">
        <f t="shared" si="27"/>
        <v>0</v>
      </c>
      <c r="AA222" s="36">
        <f t="shared" si="27"/>
        <v>0</v>
      </c>
      <c r="AB222" s="36">
        <f t="shared" si="27"/>
        <v>0</v>
      </c>
      <c r="AC222" s="36">
        <f t="shared" si="27"/>
        <v>0</v>
      </c>
      <c r="AD222" s="36">
        <f t="shared" si="27"/>
        <v>0</v>
      </c>
      <c r="AE222" s="36">
        <f t="shared" si="27"/>
        <v>0</v>
      </c>
      <c r="AF222" s="36">
        <f t="shared" si="27"/>
        <v>0</v>
      </c>
      <c r="AG222" s="35">
        <f t="shared" si="27"/>
        <v>8.56</v>
      </c>
      <c r="AH222" s="20"/>
      <c r="AI222" s="19"/>
    </row>
    <row r="223" spans="1:37" ht="15.75" thickBot="1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34"/>
      <c r="AH223" s="2"/>
    </row>
    <row r="224" spans="1:37" x14ac:dyDescent="0.25">
      <c r="A224" s="33" t="s">
        <v>0</v>
      </c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1"/>
      <c r="AG224" s="2"/>
      <c r="AH224" s="20"/>
      <c r="AI224" s="19"/>
    </row>
    <row r="225" spans="1:50" x14ac:dyDescent="0.25">
      <c r="A225" s="30" t="s">
        <v>16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8"/>
      <c r="AG225" s="21"/>
      <c r="AH225" s="20"/>
      <c r="AI225" s="19"/>
    </row>
    <row r="226" spans="1:50" x14ac:dyDescent="0.25">
      <c r="A226" s="27" t="s">
        <v>15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5"/>
      <c r="AG226" s="21"/>
      <c r="AH226" s="20"/>
      <c r="AI226" s="19"/>
    </row>
    <row r="227" spans="1:50" x14ac:dyDescent="0.25">
      <c r="A227" s="27" t="s">
        <v>14</v>
      </c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5"/>
      <c r="AG227" s="21"/>
      <c r="AH227" s="20"/>
      <c r="AI227" s="19"/>
    </row>
    <row r="228" spans="1:50" ht="15.75" thickBot="1" x14ac:dyDescent="0.3">
      <c r="A228" s="24" t="s">
        <v>13</v>
      </c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2"/>
      <c r="AG228" s="21"/>
      <c r="AH228" s="20"/>
      <c r="AI228" s="19"/>
    </row>
    <row r="229" spans="1:50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5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50" x14ac:dyDescent="0.25">
      <c r="A231" s="18" t="s">
        <v>12</v>
      </c>
      <c r="B231" s="17">
        <f>MAX(G79:N79)</f>
        <v>1559.44</v>
      </c>
      <c r="C231" s="16">
        <f>INDEX(G9:N9,1,MATCH(MAX(G79:N79),G79:N79,0))</f>
        <v>0.375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15" t="str">
        <f ca="1">MID(CELL("filename",C7),FIND("]",CELL("filename",C7))+1,600)</f>
        <v>2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95" t="s">
        <v>11</v>
      </c>
      <c r="B233" s="195"/>
      <c r="C233" s="2"/>
      <c r="D233" s="15" t="str">
        <f ca="1">"Pie Chart of Daily Peak Demand(Inclusive of Export) of Nepal ("&amp;A4&amp;" "&amp;B4&amp;")"</f>
        <v>Pie Chart of Daily Peak Demand(Inclusive of Export) of Nepal (Nepali Date: 2079/06/2)</v>
      </c>
      <c r="E233" s="2"/>
      <c r="F233" s="2"/>
      <c r="G233" s="1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15" t="str">
        <f ca="1">"Daily Load Curve(Excluding of Export) of Nepal ("&amp;A4&amp;" "&amp;B4&amp;")"</f>
        <v>Daily Load Curve(Excluding of Export) of Nepal (Nepali Date: 2079/06/2)</v>
      </c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ht="12.75" customHeight="1" thickBot="1" x14ac:dyDescent="0.3">
      <c r="A234" s="7" t="s">
        <v>10</v>
      </c>
      <c r="B234" s="6"/>
      <c r="C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ht="15.75" thickTop="1" x14ac:dyDescent="0.25">
      <c r="A235" s="7" t="s">
        <v>9</v>
      </c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4" t="s">
        <v>8</v>
      </c>
      <c r="T235" s="13">
        <v>0</v>
      </c>
      <c r="U235" s="12">
        <v>4.1666666666666664E-2</v>
      </c>
      <c r="V235" s="10">
        <v>8.3333333333333301E-2</v>
      </c>
      <c r="W235" s="10">
        <v>0.125</v>
      </c>
      <c r="X235" s="10">
        <v>0.16666666666666699</v>
      </c>
      <c r="Y235" s="10">
        <v>0.20833333333333301</v>
      </c>
      <c r="Z235" s="10">
        <v>0.22916666666666666</v>
      </c>
      <c r="AA235" s="10">
        <v>0.25</v>
      </c>
      <c r="AB235" s="10">
        <v>0.27083333333333331</v>
      </c>
      <c r="AC235" s="10">
        <v>0.29166666666666669</v>
      </c>
      <c r="AD235" s="10">
        <v>0.3125</v>
      </c>
      <c r="AE235" s="11">
        <v>0.33333333333333331</v>
      </c>
      <c r="AF235" s="11">
        <v>0.375</v>
      </c>
      <c r="AG235" s="11">
        <v>0.41666666666666702</v>
      </c>
      <c r="AH235" s="11">
        <v>0.45833333333333298</v>
      </c>
      <c r="AI235" s="11">
        <v>0.5</v>
      </c>
      <c r="AJ235" s="11">
        <v>0.54166666666666696</v>
      </c>
      <c r="AK235" s="11">
        <v>0.58333333333333304</v>
      </c>
      <c r="AL235" s="11">
        <v>0.625</v>
      </c>
      <c r="AM235" s="11">
        <v>0.66666666666666696</v>
      </c>
      <c r="AN235" s="11">
        <v>0.70833333333333304</v>
      </c>
      <c r="AO235" s="11">
        <v>0.72916666666666663</v>
      </c>
      <c r="AP235" s="11">
        <v>0.75</v>
      </c>
      <c r="AQ235" s="11">
        <v>0.77083333333333337</v>
      </c>
      <c r="AR235" s="11">
        <v>0.79166666666666663</v>
      </c>
      <c r="AS235" s="11">
        <v>0.8125</v>
      </c>
      <c r="AT235" s="10">
        <v>0.83333333333333337</v>
      </c>
      <c r="AU235" s="10">
        <v>0.85416666666666663</v>
      </c>
      <c r="AV235" s="10">
        <v>0.875</v>
      </c>
      <c r="AW235" s="10">
        <v>0.91666666666666696</v>
      </c>
      <c r="AX235" s="10">
        <v>0.95833333333333304</v>
      </c>
    </row>
    <row r="236" spans="1:50" x14ac:dyDescent="0.25">
      <c r="A236" s="7" t="s">
        <v>7</v>
      </c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 t="s">
        <v>6</v>
      </c>
      <c r="T236" s="9">
        <f t="shared" ref="T236:AX236" si="28">B79</f>
        <v>1333.04</v>
      </c>
      <c r="U236" s="9">
        <f t="shared" si="28"/>
        <v>1318.74</v>
      </c>
      <c r="V236" s="9">
        <f t="shared" si="28"/>
        <v>1292.54</v>
      </c>
      <c r="W236" s="9">
        <f t="shared" si="28"/>
        <v>1306.24</v>
      </c>
      <c r="X236" s="9">
        <f t="shared" si="28"/>
        <v>1275.1399999999999</v>
      </c>
      <c r="Y236" s="9">
        <f t="shared" si="28"/>
        <v>1275.6399999999999</v>
      </c>
      <c r="Z236" s="9">
        <f t="shared" si="28"/>
        <v>1275.6399999999999</v>
      </c>
      <c r="AA236" s="9">
        <f t="shared" si="28"/>
        <v>1296.54</v>
      </c>
      <c r="AB236" s="9">
        <f t="shared" si="28"/>
        <v>1311.74</v>
      </c>
      <c r="AC236" s="9">
        <f t="shared" si="28"/>
        <v>1429.44</v>
      </c>
      <c r="AD236" s="9">
        <f t="shared" si="28"/>
        <v>1483.24</v>
      </c>
      <c r="AE236" s="9">
        <f t="shared" si="28"/>
        <v>1553.6399999999999</v>
      </c>
      <c r="AF236" s="9">
        <f t="shared" si="28"/>
        <v>1559.44</v>
      </c>
      <c r="AG236" s="9">
        <f t="shared" si="28"/>
        <v>1562.94</v>
      </c>
      <c r="AH236" s="9">
        <f t="shared" si="28"/>
        <v>1558.44</v>
      </c>
      <c r="AI236" s="9">
        <f t="shared" si="28"/>
        <v>1576.1399999999999</v>
      </c>
      <c r="AJ236" s="9">
        <f t="shared" si="28"/>
        <v>1580.44</v>
      </c>
      <c r="AK236" s="9">
        <f t="shared" si="28"/>
        <v>1585.44</v>
      </c>
      <c r="AL236" s="9">
        <f t="shared" si="28"/>
        <v>1634.44</v>
      </c>
      <c r="AM236" s="9">
        <f t="shared" si="28"/>
        <v>1595.74</v>
      </c>
      <c r="AN236" s="9">
        <f t="shared" si="28"/>
        <v>1667.8400000000001</v>
      </c>
      <c r="AO236" s="9">
        <f t="shared" si="28"/>
        <v>1667.8400000000001</v>
      </c>
      <c r="AP236" s="9">
        <f t="shared" si="28"/>
        <v>1649.8400000000001</v>
      </c>
      <c r="AQ236" s="9">
        <f t="shared" si="28"/>
        <v>1670.8400000000001</v>
      </c>
      <c r="AR236" s="9">
        <f t="shared" si="28"/>
        <v>1745.64</v>
      </c>
      <c r="AS236" s="9">
        <f t="shared" si="28"/>
        <v>1708.3400000000001</v>
      </c>
      <c r="AT236" s="9">
        <f t="shared" si="28"/>
        <v>1800.04</v>
      </c>
      <c r="AU236" s="9">
        <f t="shared" si="28"/>
        <v>1800.74</v>
      </c>
      <c r="AV236" s="9">
        <f t="shared" si="28"/>
        <v>1801.5400000000002</v>
      </c>
      <c r="AW236" s="9">
        <f t="shared" si="28"/>
        <v>1777.5400000000002</v>
      </c>
      <c r="AX236" s="9">
        <f t="shared" si="28"/>
        <v>1784.14</v>
      </c>
    </row>
    <row r="237" spans="1:50" x14ac:dyDescent="0.25">
      <c r="A237" s="7" t="s">
        <v>5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50" x14ac:dyDescent="0.25">
      <c r="A238" s="7" t="s">
        <v>4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50" x14ac:dyDescent="0.25">
      <c r="A239" s="7" t="s">
        <v>3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2</v>
      </c>
      <c r="B240" s="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1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A257" s="5" t="s">
        <v>0</v>
      </c>
      <c r="B257" s="4">
        <f t="shared" ref="B257:AE257" si="29">C221</f>
        <v>0.64</v>
      </c>
      <c r="C257" s="4">
        <f t="shared" si="29"/>
        <v>0.64</v>
      </c>
      <c r="D257" s="4">
        <f t="shared" si="29"/>
        <v>0.64</v>
      </c>
      <c r="E257" s="4">
        <f t="shared" si="29"/>
        <v>0.64</v>
      </c>
      <c r="F257" s="4">
        <f t="shared" si="29"/>
        <v>0.64</v>
      </c>
      <c r="G257" s="4">
        <f t="shared" si="29"/>
        <v>0.64</v>
      </c>
      <c r="H257" s="4">
        <f t="shared" si="29"/>
        <v>0.64</v>
      </c>
      <c r="I257" s="4">
        <f t="shared" si="29"/>
        <v>0.64</v>
      </c>
      <c r="J257" s="4">
        <f t="shared" si="29"/>
        <v>0.64</v>
      </c>
      <c r="K257" s="4">
        <f t="shared" si="29"/>
        <v>0.64</v>
      </c>
      <c r="L257" s="4">
        <f t="shared" si="29"/>
        <v>0.64</v>
      </c>
      <c r="M257" s="4">
        <f t="shared" si="29"/>
        <v>0.64</v>
      </c>
      <c r="N257" s="4">
        <f t="shared" si="29"/>
        <v>0.64</v>
      </c>
      <c r="O257" s="4">
        <f t="shared" si="29"/>
        <v>0.64</v>
      </c>
      <c r="P257" s="4">
        <f t="shared" si="29"/>
        <v>0</v>
      </c>
      <c r="Q257" s="4">
        <f t="shared" si="29"/>
        <v>0</v>
      </c>
      <c r="R257" s="4">
        <f t="shared" si="29"/>
        <v>0</v>
      </c>
      <c r="S257" s="4">
        <f t="shared" si="29"/>
        <v>0</v>
      </c>
      <c r="T257" s="4">
        <f t="shared" si="29"/>
        <v>0</v>
      </c>
      <c r="U257" s="4">
        <f t="shared" si="29"/>
        <v>0</v>
      </c>
      <c r="V257" s="4">
        <f t="shared" si="29"/>
        <v>0</v>
      </c>
      <c r="W257" s="4">
        <f t="shared" si="29"/>
        <v>0</v>
      </c>
      <c r="X257" s="4">
        <f t="shared" si="29"/>
        <v>0</v>
      </c>
      <c r="Y257" s="4">
        <f t="shared" si="29"/>
        <v>0</v>
      </c>
      <c r="Z257" s="4">
        <f t="shared" si="29"/>
        <v>0</v>
      </c>
      <c r="AA257" s="4">
        <f t="shared" si="29"/>
        <v>0</v>
      </c>
      <c r="AB257" s="4">
        <f t="shared" si="29"/>
        <v>0</v>
      </c>
      <c r="AC257" s="4">
        <f t="shared" si="29"/>
        <v>0</v>
      </c>
      <c r="AD257" s="4">
        <f t="shared" si="29"/>
        <v>0</v>
      </c>
      <c r="AE257" s="4">
        <f t="shared" si="29"/>
        <v>0</v>
      </c>
      <c r="AF257" s="4">
        <f>B221</f>
        <v>0</v>
      </c>
      <c r="AG257" s="2"/>
      <c r="AH257" s="2"/>
    </row>
    <row r="258" spans="1:34" x14ac:dyDescent="0.25">
      <c r="A258" s="3" t="str">
        <f>A225</f>
        <v>KGA</v>
      </c>
      <c r="B258" s="3" t="str">
        <f t="shared" ref="B258:AF258" si="30">IF(B225&lt;100,"",B225-520)</f>
        <v/>
      </c>
      <c r="C258" s="3" t="str">
        <f t="shared" si="30"/>
        <v/>
      </c>
      <c r="D258" s="3" t="str">
        <f t="shared" si="30"/>
        <v/>
      </c>
      <c r="E258" s="3" t="str">
        <f t="shared" si="30"/>
        <v/>
      </c>
      <c r="F258" s="3" t="str">
        <f t="shared" si="30"/>
        <v/>
      </c>
      <c r="G258" s="3" t="str">
        <f t="shared" si="30"/>
        <v/>
      </c>
      <c r="H258" s="3" t="str">
        <f t="shared" si="30"/>
        <v/>
      </c>
      <c r="I258" s="3" t="str">
        <f t="shared" si="30"/>
        <v/>
      </c>
      <c r="J258" s="3" t="str">
        <f t="shared" si="30"/>
        <v/>
      </c>
      <c r="K258" s="3" t="str">
        <f t="shared" si="30"/>
        <v/>
      </c>
      <c r="L258" s="3" t="str">
        <f t="shared" si="30"/>
        <v/>
      </c>
      <c r="M258" s="3" t="str">
        <f t="shared" si="30"/>
        <v/>
      </c>
      <c r="N258" s="3" t="str">
        <f t="shared" si="30"/>
        <v/>
      </c>
      <c r="O258" s="3" t="str">
        <f t="shared" si="30"/>
        <v/>
      </c>
      <c r="P258" s="3" t="str">
        <f t="shared" si="30"/>
        <v/>
      </c>
      <c r="Q258" s="3" t="str">
        <f t="shared" si="30"/>
        <v/>
      </c>
      <c r="R258" s="3" t="str">
        <f t="shared" si="30"/>
        <v/>
      </c>
      <c r="S258" s="3" t="str">
        <f t="shared" si="30"/>
        <v/>
      </c>
      <c r="T258" s="3" t="str">
        <f t="shared" si="30"/>
        <v/>
      </c>
      <c r="U258" s="3" t="str">
        <f t="shared" si="30"/>
        <v/>
      </c>
      <c r="V258" s="3" t="str">
        <f t="shared" si="30"/>
        <v/>
      </c>
      <c r="W258" s="3" t="str">
        <f t="shared" si="30"/>
        <v/>
      </c>
      <c r="X258" s="3" t="str">
        <f t="shared" si="30"/>
        <v/>
      </c>
      <c r="Y258" s="3" t="str">
        <f t="shared" si="30"/>
        <v/>
      </c>
      <c r="Z258" s="3" t="str">
        <f t="shared" si="30"/>
        <v/>
      </c>
      <c r="AA258" s="3" t="str">
        <f t="shared" si="30"/>
        <v/>
      </c>
      <c r="AB258" s="3" t="str">
        <f t="shared" si="30"/>
        <v/>
      </c>
      <c r="AC258" s="3" t="str">
        <f t="shared" si="30"/>
        <v/>
      </c>
      <c r="AD258" s="3" t="str">
        <f t="shared" si="30"/>
        <v/>
      </c>
      <c r="AE258" s="3" t="str">
        <f t="shared" si="30"/>
        <v/>
      </c>
      <c r="AF258" s="3" t="str">
        <f t="shared" si="30"/>
        <v/>
      </c>
      <c r="AG258" s="2"/>
      <c r="AH258" s="2"/>
    </row>
    <row r="259" spans="1:34" x14ac:dyDescent="0.25">
      <c r="A259" s="3" t="str">
        <f>A226</f>
        <v>MMRS</v>
      </c>
      <c r="B259" s="3" t="str">
        <f t="shared" ref="B259:AF259" si="31">IF(B226&lt;100,"",B226-620)</f>
        <v/>
      </c>
      <c r="C259" s="3" t="str">
        <f t="shared" si="31"/>
        <v/>
      </c>
      <c r="D259" s="3" t="str">
        <f t="shared" si="31"/>
        <v/>
      </c>
      <c r="E259" s="3" t="str">
        <f t="shared" si="31"/>
        <v/>
      </c>
      <c r="F259" s="3" t="str">
        <f t="shared" si="31"/>
        <v/>
      </c>
      <c r="G259" s="3" t="str">
        <f t="shared" si="31"/>
        <v/>
      </c>
      <c r="H259" s="3" t="str">
        <f t="shared" si="31"/>
        <v/>
      </c>
      <c r="I259" s="3" t="str">
        <f t="shared" si="31"/>
        <v/>
      </c>
      <c r="J259" s="3" t="str">
        <f t="shared" si="31"/>
        <v/>
      </c>
      <c r="K259" s="3" t="str">
        <f t="shared" si="31"/>
        <v/>
      </c>
      <c r="L259" s="3" t="str">
        <f t="shared" si="31"/>
        <v/>
      </c>
      <c r="M259" s="3" t="str">
        <f t="shared" si="31"/>
        <v/>
      </c>
      <c r="N259" s="3" t="str">
        <f t="shared" si="31"/>
        <v/>
      </c>
      <c r="O259" s="3" t="str">
        <f t="shared" si="31"/>
        <v/>
      </c>
      <c r="P259" s="3" t="str">
        <f t="shared" si="31"/>
        <v/>
      </c>
      <c r="Q259" s="3" t="str">
        <f t="shared" si="31"/>
        <v/>
      </c>
      <c r="R259" s="3" t="str">
        <f t="shared" si="31"/>
        <v/>
      </c>
      <c r="S259" s="3" t="str">
        <f t="shared" si="31"/>
        <v/>
      </c>
      <c r="T259" s="3" t="str">
        <f t="shared" si="31"/>
        <v/>
      </c>
      <c r="U259" s="3" t="str">
        <f t="shared" si="31"/>
        <v/>
      </c>
      <c r="V259" s="3" t="str">
        <f t="shared" si="31"/>
        <v/>
      </c>
      <c r="W259" s="3" t="str">
        <f t="shared" si="31"/>
        <v/>
      </c>
      <c r="X259" s="3" t="str">
        <f t="shared" si="31"/>
        <v/>
      </c>
      <c r="Y259" s="3" t="str">
        <f t="shared" si="31"/>
        <v/>
      </c>
      <c r="Z259" s="3" t="str">
        <f t="shared" si="31"/>
        <v/>
      </c>
      <c r="AA259" s="3" t="str">
        <f t="shared" si="31"/>
        <v/>
      </c>
      <c r="AB259" s="3" t="str">
        <f t="shared" si="31"/>
        <v/>
      </c>
      <c r="AC259" s="3" t="str">
        <f t="shared" si="31"/>
        <v/>
      </c>
      <c r="AD259" s="3" t="str">
        <f t="shared" si="31"/>
        <v/>
      </c>
      <c r="AE259" s="3" t="str">
        <f t="shared" si="31"/>
        <v/>
      </c>
      <c r="AF259" s="3" t="str">
        <f t="shared" si="31"/>
        <v/>
      </c>
      <c r="AG259" s="2"/>
      <c r="AH259" s="2"/>
    </row>
    <row r="260" spans="1:34" x14ac:dyDescent="0.25">
      <c r="A260" s="3" t="str">
        <f>A227</f>
        <v>MRS</v>
      </c>
      <c r="B260" s="3" t="str">
        <f t="shared" ref="B260:AF260" si="32">IF(B227&lt;100,"",B227-330)</f>
        <v/>
      </c>
      <c r="C260" s="3" t="str">
        <f t="shared" si="32"/>
        <v/>
      </c>
      <c r="D260" s="3" t="str">
        <f t="shared" si="32"/>
        <v/>
      </c>
      <c r="E260" s="3" t="str">
        <f t="shared" si="32"/>
        <v/>
      </c>
      <c r="F260" s="3" t="str">
        <f t="shared" si="32"/>
        <v/>
      </c>
      <c r="G260" s="3" t="str">
        <f t="shared" si="32"/>
        <v/>
      </c>
      <c r="H260" s="3" t="str">
        <f t="shared" si="32"/>
        <v/>
      </c>
      <c r="I260" s="3" t="str">
        <f t="shared" si="32"/>
        <v/>
      </c>
      <c r="J260" s="3" t="str">
        <f t="shared" si="32"/>
        <v/>
      </c>
      <c r="K260" s="3" t="str">
        <f t="shared" si="32"/>
        <v/>
      </c>
      <c r="L260" s="3" t="str">
        <f t="shared" si="32"/>
        <v/>
      </c>
      <c r="M260" s="3" t="str">
        <f t="shared" si="32"/>
        <v/>
      </c>
      <c r="N260" s="3" t="str">
        <f t="shared" si="32"/>
        <v/>
      </c>
      <c r="O260" s="3" t="str">
        <f t="shared" si="32"/>
        <v/>
      </c>
      <c r="P260" s="3" t="str">
        <f t="shared" si="32"/>
        <v/>
      </c>
      <c r="Q260" s="3" t="str">
        <f t="shared" si="32"/>
        <v/>
      </c>
      <c r="R260" s="3" t="str">
        <f t="shared" si="32"/>
        <v/>
      </c>
      <c r="S260" s="3" t="str">
        <f t="shared" si="32"/>
        <v/>
      </c>
      <c r="T260" s="3" t="str">
        <f t="shared" si="32"/>
        <v/>
      </c>
      <c r="U260" s="3" t="str">
        <f t="shared" si="32"/>
        <v/>
      </c>
      <c r="V260" s="3" t="str">
        <f t="shared" si="32"/>
        <v/>
      </c>
      <c r="W260" s="3" t="str">
        <f t="shared" si="32"/>
        <v/>
      </c>
      <c r="X260" s="3" t="str">
        <f t="shared" si="32"/>
        <v/>
      </c>
      <c r="Y260" s="3" t="str">
        <f t="shared" si="32"/>
        <v/>
      </c>
      <c r="Z260" s="3" t="str">
        <f t="shared" si="32"/>
        <v/>
      </c>
      <c r="AA260" s="3" t="str">
        <f t="shared" si="32"/>
        <v/>
      </c>
      <c r="AB260" s="3" t="str">
        <f t="shared" si="32"/>
        <v/>
      </c>
      <c r="AC260" s="3" t="str">
        <f t="shared" si="32"/>
        <v/>
      </c>
      <c r="AD260" s="3" t="str">
        <f t="shared" si="32"/>
        <v/>
      </c>
      <c r="AE260" s="3" t="str">
        <f t="shared" si="32"/>
        <v/>
      </c>
      <c r="AF260" s="3" t="str">
        <f t="shared" si="32"/>
        <v/>
      </c>
      <c r="AG260" s="2"/>
      <c r="AH260" s="2"/>
    </row>
    <row r="261" spans="1:34" x14ac:dyDescent="0.25">
      <c r="A261" s="3" t="str">
        <f>A228</f>
        <v>KL 1</v>
      </c>
      <c r="B261" s="3" t="str">
        <f t="shared" ref="B261:AF261" si="33">IF(B228&lt;100,"",B228-1500)</f>
        <v/>
      </c>
      <c r="C261" s="3" t="str">
        <f t="shared" si="33"/>
        <v/>
      </c>
      <c r="D261" s="3" t="str">
        <f t="shared" si="33"/>
        <v/>
      </c>
      <c r="E261" s="3" t="str">
        <f t="shared" si="33"/>
        <v/>
      </c>
      <c r="F261" s="3" t="str">
        <f t="shared" si="33"/>
        <v/>
      </c>
      <c r="G261" s="3" t="str">
        <f t="shared" si="33"/>
        <v/>
      </c>
      <c r="H261" s="3" t="str">
        <f t="shared" si="33"/>
        <v/>
      </c>
      <c r="I261" s="3" t="str">
        <f t="shared" si="33"/>
        <v/>
      </c>
      <c r="J261" s="3" t="str">
        <f t="shared" si="33"/>
        <v/>
      </c>
      <c r="K261" s="3" t="str">
        <f t="shared" si="33"/>
        <v/>
      </c>
      <c r="L261" s="3" t="str">
        <f t="shared" si="33"/>
        <v/>
      </c>
      <c r="M261" s="3" t="str">
        <f t="shared" si="33"/>
        <v/>
      </c>
      <c r="N261" s="3" t="str">
        <f t="shared" si="33"/>
        <v/>
      </c>
      <c r="O261" s="3" t="str">
        <f t="shared" si="33"/>
        <v/>
      </c>
      <c r="P261" s="3" t="str">
        <f t="shared" si="33"/>
        <v/>
      </c>
      <c r="Q261" s="3" t="str">
        <f t="shared" si="33"/>
        <v/>
      </c>
      <c r="R261" s="3" t="str">
        <f t="shared" si="33"/>
        <v/>
      </c>
      <c r="S261" s="3" t="str">
        <f t="shared" si="33"/>
        <v/>
      </c>
      <c r="T261" s="3" t="str">
        <f t="shared" si="33"/>
        <v/>
      </c>
      <c r="U261" s="3" t="str">
        <f t="shared" si="33"/>
        <v/>
      </c>
      <c r="V261" s="3" t="str">
        <f t="shared" si="33"/>
        <v/>
      </c>
      <c r="W261" s="3" t="str">
        <f t="shared" si="33"/>
        <v/>
      </c>
      <c r="X261" s="3" t="str">
        <f t="shared" si="33"/>
        <v/>
      </c>
      <c r="Y261" s="3" t="str">
        <f t="shared" si="33"/>
        <v/>
      </c>
      <c r="Z261" s="3" t="str">
        <f t="shared" si="33"/>
        <v/>
      </c>
      <c r="AA261" s="3" t="str">
        <f t="shared" si="33"/>
        <v/>
      </c>
      <c r="AB261" s="3" t="str">
        <f t="shared" si="33"/>
        <v/>
      </c>
      <c r="AC261" s="3" t="str">
        <f t="shared" si="33"/>
        <v/>
      </c>
      <c r="AD261" s="3" t="str">
        <f t="shared" si="33"/>
        <v/>
      </c>
      <c r="AE261" s="3" t="str">
        <f t="shared" si="33"/>
        <v/>
      </c>
      <c r="AF261" s="3" t="str">
        <f t="shared" si="33"/>
        <v/>
      </c>
      <c r="AG261" s="2"/>
      <c r="AH261" s="2"/>
    </row>
    <row r="262" spans="1:34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</sheetData>
  <mergeCells count="48">
    <mergeCell ref="A233:B233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3">
    <cfRule type="expression" dxfId="824" priority="111">
      <formula>$AH11=0</formula>
    </cfRule>
  </conditionalFormatting>
  <conditionalFormatting sqref="B8 M8 S8 AB8">
    <cfRule type="expression" dxfId="823" priority="320">
      <formula>AND(C$9&gt;=8/24,C$9&lt;14/24)</formula>
    </cfRule>
    <cfRule type="expression" dxfId="822" priority="321">
      <formula>C$9&lt;8/24</formula>
    </cfRule>
    <cfRule type="expression" dxfId="821" priority="319">
      <formula>AND(C$9&gt;=14/24,C$9&lt;20/24)</formula>
    </cfRule>
  </conditionalFormatting>
  <conditionalFormatting sqref="B42:B45">
    <cfRule type="expression" dxfId="820" priority="19">
      <formula>AND(B$9&gt;=14/24,B$9&lt;20/24)</formula>
    </cfRule>
    <cfRule type="expression" dxfId="819" priority="18">
      <formula>B$9&gt;=20/24</formula>
    </cfRule>
    <cfRule type="expression" dxfId="818" priority="21">
      <formula>B$9&lt;8/24</formula>
    </cfRule>
    <cfRule type="expression" dxfId="817" priority="20">
      <formula>AND(B$9&gt;=8/24,B$9&lt;14/24)</formula>
    </cfRule>
  </conditionalFormatting>
  <conditionalFormatting sqref="B42:B56">
    <cfRule type="expression" dxfId="816" priority="17">
      <formula>B42&gt;$AG42</formula>
    </cfRule>
  </conditionalFormatting>
  <conditionalFormatting sqref="B48:B54">
    <cfRule type="expression" dxfId="815" priority="54">
      <formula>B$9&gt;=20/24</formula>
    </cfRule>
    <cfRule type="expression" dxfId="814" priority="55">
      <formula>AND(B$9&gt;=14/24,B$9&lt;20/24)</formula>
    </cfRule>
    <cfRule type="expression" dxfId="813" priority="56">
      <formula>AND(B$9&gt;=8/24,B$9&lt;14/24)</formula>
    </cfRule>
    <cfRule type="expression" dxfId="812" priority="57">
      <formula>B$9&lt;8/24</formula>
    </cfRule>
  </conditionalFormatting>
  <conditionalFormatting sqref="B60">
    <cfRule type="expression" dxfId="811" priority="39">
      <formula>B$9&lt;8/24</formula>
    </cfRule>
  </conditionalFormatting>
  <conditionalFormatting sqref="B60:B71">
    <cfRule type="expression" dxfId="810" priority="37">
      <formula>AND(B$9&gt;=14/24,B$9&lt;20/24)</formula>
    </cfRule>
    <cfRule type="expression" dxfId="809" priority="38">
      <formula>AND(B$9&gt;=8/24,B$9&lt;14/24)</formula>
    </cfRule>
    <cfRule type="expression" dxfId="808" priority="36">
      <formula>B$9&gt;=20/24</formula>
    </cfRule>
  </conditionalFormatting>
  <conditionalFormatting sqref="B72:B79">
    <cfRule type="expression" dxfId="807" priority="34">
      <formula>B$9&lt;8/24</formula>
    </cfRule>
    <cfRule type="expression" dxfId="806" priority="31">
      <formula>B$9&gt;=20/24</formula>
    </cfRule>
    <cfRule type="expression" dxfId="805" priority="32">
      <formula>AND(B$9&gt;=14/24,B$9&lt;20/24)</formula>
    </cfRule>
    <cfRule type="expression" dxfId="804" priority="33">
      <formula>AND(B$9&gt;=8/24,B$9&lt;14/24)</formula>
    </cfRule>
  </conditionalFormatting>
  <conditionalFormatting sqref="B11:T11">
    <cfRule type="expression" dxfId="799" priority="101">
      <formula>B$9&lt;8/24</formula>
    </cfRule>
    <cfRule type="expression" dxfId="798" priority="100">
      <formula>AND(B$9&gt;=8/24,B$9&lt;14/24)</formula>
    </cfRule>
    <cfRule type="expression" dxfId="797" priority="98">
      <formula>B$9&gt;=20/24</formula>
    </cfRule>
    <cfRule type="expression" dxfId="796" priority="99">
      <formula>AND(B$9&gt;=14/24,B$9&lt;20/24)</formula>
    </cfRule>
  </conditionalFormatting>
  <conditionalFormatting sqref="B11:Y16">
    <cfRule type="expression" dxfId="795" priority="93">
      <formula>B11&gt;$AG11</formula>
    </cfRule>
  </conditionalFormatting>
  <conditionalFormatting sqref="B12:Y23">
    <cfRule type="expression" dxfId="794" priority="46">
      <formula>AND(B$9&gt;=14/24,B$9&lt;20/24)</formula>
    </cfRule>
    <cfRule type="expression" dxfId="793" priority="48">
      <formula>B$9&lt;8/24</formula>
    </cfRule>
    <cfRule type="expression" dxfId="792" priority="47">
      <formula>AND(B$9&gt;=8/24,B$9&lt;14/24)</formula>
    </cfRule>
  </conditionalFormatting>
  <conditionalFormatting sqref="B24:Y26 B36:AF37 B57:AF59 B61:AF71 C72:AF76">
    <cfRule type="expression" dxfId="791" priority="79">
      <formula>B$9&lt;8/24</formula>
    </cfRule>
  </conditionalFormatting>
  <conditionalFormatting sqref="B24:Y26 B36:AF37 B57:AF59 C61:AF76">
    <cfRule type="expression" dxfId="790" priority="78">
      <formula>AND(B$9&gt;=8/24,B$9&lt;14/24)</formula>
    </cfRule>
    <cfRule type="expression" dxfId="789" priority="77">
      <formula>AND(B$9&gt;=14/24,B$9&lt;20/24)</formula>
    </cfRule>
  </conditionalFormatting>
  <conditionalFormatting sqref="B9:AF10 U11:AF11 B214:AF214 B216:B222 D216:AF222 U235:AF235">
    <cfRule type="expression" dxfId="788" priority="313">
      <formula>AND(B$9&gt;=14/24,B$9&lt;20/24)</formula>
    </cfRule>
    <cfRule type="expression" dxfId="787" priority="314">
      <formula>AND(B$9&gt;=8/24,B$9&lt;14/24)</formula>
    </cfRule>
    <cfRule type="expression" dxfId="786" priority="315">
      <formula>B$9&lt;8/24</formula>
    </cfRule>
  </conditionalFormatting>
  <conditionalFormatting sqref="B12:AF23">
    <cfRule type="expression" dxfId="785" priority="45">
      <formula>B$9&gt;=20/24</formula>
    </cfRule>
  </conditionalFormatting>
  <conditionalFormatting sqref="B17:AF23">
    <cfRule type="expression" dxfId="784" priority="44">
      <formula>B17&gt;$AG17</formula>
    </cfRule>
  </conditionalFormatting>
  <conditionalFormatting sqref="B24:AF34">
    <cfRule type="expression" dxfId="783" priority="58">
      <formula>B24&gt;$AG24</formula>
    </cfRule>
  </conditionalFormatting>
  <conditionalFormatting sqref="B27:AF27">
    <cfRule type="expression" dxfId="782" priority="49">
      <formula>B$9&gt;=20/24</formula>
    </cfRule>
    <cfRule type="expression" dxfId="781" priority="50">
      <formula>AND(B$9&gt;=14/24,B$9&lt;20/24)</formula>
    </cfRule>
    <cfRule type="expression" dxfId="780" priority="51">
      <formula>AND(B$9&gt;=8/24,B$9&lt;14/24)</formula>
    </cfRule>
    <cfRule type="expression" dxfId="779" priority="52">
      <formula>B$9&lt;8/24</formula>
    </cfRule>
  </conditionalFormatting>
  <conditionalFormatting sqref="B28:AF35">
    <cfRule type="expression" dxfId="778" priority="62">
      <formula>B$9&lt;8/24</formula>
    </cfRule>
    <cfRule type="expression" dxfId="777" priority="60">
      <formula>AND(B$9&gt;=14/24,B$9&lt;20/24)</formula>
    </cfRule>
    <cfRule type="expression" dxfId="776" priority="59">
      <formula>B$9&gt;=20/24</formula>
    </cfRule>
    <cfRule type="expression" dxfId="775" priority="61">
      <formula>AND(B$9&gt;=8/24,B$9&lt;14/24)</formula>
    </cfRule>
  </conditionalFormatting>
  <conditionalFormatting sqref="B35:AF37 B57:AF59">
    <cfRule type="expression" dxfId="774" priority="71">
      <formula>B35&gt;$AG35</formula>
    </cfRule>
  </conditionalFormatting>
  <conditionalFormatting sqref="B36:AF37 B57:AF59 B24:AF26 C61:AF76">
    <cfRule type="expression" dxfId="773" priority="76">
      <formula>B$9&gt;=20/24</formula>
    </cfRule>
  </conditionalFormatting>
  <conditionalFormatting sqref="B39:AF41">
    <cfRule type="expression" dxfId="772" priority="26">
      <formula>B$9&lt;8/24</formula>
    </cfRule>
    <cfRule type="expression" dxfId="771" priority="25">
      <formula>AND(B$9&gt;=8/24,B$9&lt;14/24)</formula>
    </cfRule>
    <cfRule type="expression" dxfId="770" priority="22">
      <formula>B39&gt;$AG39</formula>
    </cfRule>
    <cfRule type="expression" dxfId="769" priority="24">
      <formula>AND(B$9&gt;=14/24,B$9&lt;20/24)</formula>
    </cfRule>
    <cfRule type="expression" dxfId="768" priority="23">
      <formula>B$9&gt;=20/24</formula>
    </cfRule>
  </conditionalFormatting>
  <conditionalFormatting sqref="B81:AF97">
    <cfRule type="expression" dxfId="767" priority="16">
      <formula>B$9&lt;8/24</formula>
    </cfRule>
    <cfRule type="expression" dxfId="766" priority="15">
      <formula>AND(B$9&gt;=8/24,B$9&lt;14/24)</formula>
    </cfRule>
    <cfRule type="expression" dxfId="765" priority="14">
      <formula>AND(B$9&gt;=14/24,B$9&lt;20/24)</formula>
    </cfRule>
    <cfRule type="expression" dxfId="764" priority="13">
      <formula>B$9&gt;=20/24</formula>
    </cfRule>
  </conditionalFormatting>
  <conditionalFormatting sqref="B99:AF106">
    <cfRule type="expression" dxfId="763" priority="3">
      <formula>AND(B$9&gt;=8/24,B$9&lt;14/24)</formula>
    </cfRule>
    <cfRule type="expression" dxfId="762" priority="4">
      <formula>B$9&lt;8/24</formula>
    </cfRule>
    <cfRule type="expression" dxfId="761" priority="1">
      <formula>B$9&gt;=20/24</formula>
    </cfRule>
    <cfRule type="expression" dxfId="760" priority="2">
      <formula>AND(B$9&gt;=14/24,B$9&lt;20/24)</formula>
    </cfRule>
  </conditionalFormatting>
  <conditionalFormatting sqref="B38:AG38 B60:AG60">
    <cfRule type="expression" dxfId="755" priority="35">
      <formula>B38&gt;$AG38</formula>
    </cfRule>
  </conditionalFormatting>
  <conditionalFormatting sqref="C43:M45">
    <cfRule type="expression" dxfId="754" priority="198">
      <formula>AND(C$9&gt;=14/24,C$9&lt;20/24)</formula>
    </cfRule>
    <cfRule type="expression" dxfId="753" priority="199">
      <formula>AND(C$9&gt;=8/24,C$9&lt;14/24)</formula>
    </cfRule>
    <cfRule type="expression" dxfId="752" priority="200">
      <formula>C$9&lt;8/24</formula>
    </cfRule>
    <cfRule type="expression" dxfId="751" priority="197">
      <formula>C$9&gt;=20/24</formula>
    </cfRule>
  </conditionalFormatting>
  <conditionalFormatting sqref="C43:AF54">
    <cfRule type="expression" dxfId="750" priority="169">
      <formula>C43&gt;$AG43</formula>
    </cfRule>
  </conditionalFormatting>
  <conditionalFormatting sqref="C48:AF54">
    <cfRule type="expression" dxfId="749" priority="172">
      <formula>AND(C$9&gt;=8/24,C$9&lt;14/24)</formula>
    </cfRule>
    <cfRule type="expression" dxfId="748" priority="170">
      <formula>C$9&gt;=20/24</formula>
    </cfRule>
    <cfRule type="expression" dxfId="747" priority="171">
      <formula>AND(C$9&gt;=14/24,C$9&lt;20/24)</formula>
    </cfRule>
    <cfRule type="expression" dxfId="746" priority="173">
      <formula>C$9&lt;8/24</formula>
    </cfRule>
  </conditionalFormatting>
  <conditionalFormatting sqref="C42:AG42">
    <cfRule type="expression" dxfId="741" priority="145">
      <formula>C$9&lt;8/24</formula>
    </cfRule>
    <cfRule type="expression" dxfId="740" priority="144">
      <formula>AND(C$9&gt;=8/24,C$9&lt;14/24)</formula>
    </cfRule>
    <cfRule type="expression" dxfId="739" priority="143">
      <formula>AND(C$9&gt;=14/24,C$9&lt;20/24)</formula>
    </cfRule>
    <cfRule type="expression" dxfId="738" priority="142">
      <formula>C$9&gt;=20/24</formula>
    </cfRule>
    <cfRule type="expression" dxfId="737" priority="141">
      <formula>C42&gt;$AG42</formula>
    </cfRule>
  </conditionalFormatting>
  <conditionalFormatting sqref="C55:AG56">
    <cfRule type="expression" dxfId="736" priority="187">
      <formula>C55&gt;$AG55</formula>
    </cfRule>
  </conditionalFormatting>
  <conditionalFormatting sqref="C60:AG60 C77:AG77 C78:AF79">
    <cfRule type="expression" dxfId="735" priority="195">
      <formula>C$9&lt;8/24</formula>
    </cfRule>
    <cfRule type="expression" dxfId="734" priority="194">
      <formula>AND(C$9&gt;=8/24,C$9&lt;14/24)</formula>
    </cfRule>
    <cfRule type="expression" dxfId="733" priority="193">
      <formula>AND(C$9&gt;=14/24,C$9&lt;20/24)</formula>
    </cfRule>
    <cfRule type="expression" dxfId="732" priority="192">
      <formula>C$9&gt;=20/24</formula>
    </cfRule>
  </conditionalFormatting>
  <conditionalFormatting sqref="N43:T46 U46:AA46 U47:AB47">
    <cfRule type="expression" dxfId="731" priority="242">
      <formula>N$9&gt;=20/24</formula>
    </cfRule>
    <cfRule type="expression" dxfId="730" priority="243">
      <formula>AND(N$9&gt;=14/24,N$9&lt;20/24)</formula>
    </cfRule>
    <cfRule type="expression" dxfId="729" priority="244">
      <formula>AND(N$9&gt;=8/24,N$9&lt;14/24)</formula>
    </cfRule>
    <cfRule type="expression" dxfId="728" priority="245">
      <formula>N$9&lt;8/24</formula>
    </cfRule>
  </conditionalFormatting>
  <conditionalFormatting sqref="O3:P3">
    <cfRule type="iconSet" priority="316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727" priority="318">
      <formula>C$9&gt;=20/24</formula>
    </cfRule>
  </conditionalFormatting>
  <conditionalFormatting sqref="S8">
    <cfRule type="expression" dxfId="726" priority="288">
      <formula>AND(U$9&gt;=14/24,U$9&lt;20/24)</formula>
    </cfRule>
    <cfRule type="expression" dxfId="725" priority="289">
      <formula>AND(U$9&gt;=8/24,U$9&lt;14/24)</formula>
    </cfRule>
    <cfRule type="expression" dxfId="724" priority="290">
      <formula>U$9&lt;8/24</formula>
    </cfRule>
    <cfRule type="expression" dxfId="723" priority="287">
      <formula>U$9&gt;=20/24</formula>
    </cfRule>
  </conditionalFormatting>
  <conditionalFormatting sqref="T235">
    <cfRule type="expression" dxfId="722" priority="334">
      <formula>AX$9&lt;8/24</formula>
    </cfRule>
    <cfRule type="expression" dxfId="721" priority="331">
      <formula>AX$9&gt;=20/24</formula>
    </cfRule>
    <cfRule type="expression" dxfId="720" priority="332">
      <formula>AND(AX$9&gt;=14/24,AX$9&lt;20/24)</formula>
    </cfRule>
    <cfRule type="expression" dxfId="719" priority="333">
      <formula>AND(AX$9&gt;=8/24,AX$9&lt;14/24)</formula>
    </cfRule>
  </conditionalFormatting>
  <conditionalFormatting sqref="U11:AF11 B9:AF10 B214:AF214 B216:B222 D216:AF222 U235:AF235">
    <cfRule type="expression" dxfId="718" priority="312">
      <formula>B$9&gt;=20/24</formula>
    </cfRule>
  </conditionalFormatting>
  <conditionalFormatting sqref="U43:AF45">
    <cfRule type="expression" dxfId="717" priority="277">
      <formula>U$9&lt;8/24</formula>
    </cfRule>
    <cfRule type="expression" dxfId="716" priority="276">
      <formula>AND(U$9&gt;=8/24,U$9&lt;14/24)</formula>
    </cfRule>
    <cfRule type="expression" dxfId="715" priority="275">
      <formula>AND(U$9&gt;=14/24,U$9&lt;20/24)</formula>
    </cfRule>
    <cfRule type="expression" dxfId="714" priority="274">
      <formula>U$9&gt;=20/24</formula>
    </cfRule>
  </conditionalFormatting>
  <conditionalFormatting sqref="V3 AB3">
    <cfRule type="iconSet" priority="317">
      <iconSet iconSet="3TrafficLights2" reverse="1">
        <cfvo type="percent" val="0"/>
        <cfvo type="num" val="1"/>
        <cfvo type="num" val="1"/>
      </iconSet>
    </cfRule>
  </conditionalFormatting>
  <conditionalFormatting sqref="Z11:AF16">
    <cfRule type="expression" dxfId="713" priority="306">
      <formula>Z11&gt;$AG11</formula>
    </cfRule>
  </conditionalFormatting>
  <conditionalFormatting sqref="Z12:AF26">
    <cfRule type="expression" dxfId="712" priority="236">
      <formula>Z$9&lt;8/24</formula>
    </cfRule>
    <cfRule type="expression" dxfId="711" priority="235">
      <formula>AND(Z$9&gt;=8/24,Z$9&lt;14/24)</formula>
    </cfRule>
    <cfRule type="expression" dxfId="710" priority="234">
      <formula>AND(Z$9&gt;=14/24,Z$9&lt;20/24)</formula>
    </cfRule>
  </conditionalFormatting>
  <conditionalFormatting sqref="AB8">
    <cfRule type="expression" dxfId="709" priority="284">
      <formula>AND(AD$9&gt;=14/24,AD$9&lt;20/24)</formula>
    </cfRule>
    <cfRule type="expression" dxfId="708" priority="285">
      <formula>AND(AD$9&gt;=8/24,AD$9&lt;14/24)</formula>
    </cfRule>
    <cfRule type="expression" dxfId="707" priority="283">
      <formula>AD$9&gt;=20/24</formula>
    </cfRule>
    <cfRule type="expression" dxfId="706" priority="286">
      <formula>AD$9&lt;8/24</formula>
    </cfRule>
  </conditionalFormatting>
  <conditionalFormatting sqref="AG235">
    <cfRule type="expression" dxfId="705" priority="323">
      <formula>B$9&gt;=20/24</formula>
    </cfRule>
    <cfRule type="expression" dxfId="704" priority="324">
      <formula>AND(B$9&gt;=14/24,B$9&lt;20/24)</formula>
    </cfRule>
    <cfRule type="expression" dxfId="703" priority="325">
      <formula>AND(B$9&gt;=8/24,B$9&lt;14/24)</formula>
    </cfRule>
    <cfRule type="expression" dxfId="702" priority="326">
      <formula>B$9&lt;8/24</formula>
    </cfRule>
  </conditionalFormatting>
  <conditionalFormatting sqref="AH235:AX235">
    <cfRule type="expression" dxfId="701" priority="327">
      <formula>AG$9&gt;=20/24</formula>
    </cfRule>
    <cfRule type="expression" dxfId="700" priority="329">
      <formula>AND(AG$9&gt;=8/24,AG$9&lt;14/24)</formula>
    </cfRule>
    <cfRule type="expression" dxfId="699" priority="330">
      <formula>AG$9&lt;8/24</formula>
    </cfRule>
    <cfRule type="expression" dxfId="698" priority="328">
      <formula>AND(AG$9&gt;=14/24,AG$9&lt;20/24)</formula>
    </cfRule>
  </conditionalFormatting>
  <conditionalFormatting sqref="AL4:AL6">
    <cfRule type="iconSet" priority="311">
      <iconSet iconSet="3TrafficLights2" reverse="1">
        <cfvo type="percent" val="0"/>
        <cfvo type="num" val="1"/>
        <cfvo type="num" val="1"/>
      </iconSet>
    </cfRule>
  </conditionalFormatting>
  <conditionalFormatting sqref="AL31">
    <cfRule type="iconSet" priority="132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303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291">
      <iconSet iconSet="3TrafficLights2" reverse="1">
        <cfvo type="percent" val="0"/>
        <cfvo type="num" val="1"/>
        <cfvo type="num" val="1"/>
      </iconSet>
    </cfRule>
  </conditionalFormatting>
  <conditionalFormatting sqref="AL35 AL7:AL30 AL32">
    <cfRule type="iconSet" priority="335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E674EDA8-120C-4FAB-9226-8FB5716A0507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2" id="{B17830A9-5F17-4CD5-888C-558621FC231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1" id="{E1F00AD6-4E0E-4E61-A763-8480AA4F512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C87D4591-3CF5-43DA-830B-1A631ADC80A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B80</xm:sqref>
        </x14:conditionalFormatting>
        <x14:conditionalFormatting xmlns:xm="http://schemas.microsoft.com/office/excel/2006/main">
          <x14:cfRule type="expression" priority="7" id="{B6ED964D-E8D9-40E1-BCD9-23C62EE437E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" id="{62FACB04-6F64-4E6A-87AA-57B89B614AC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" id="{82BD36BB-95E2-43E0-A73E-CA038FFB812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8" id="{F58426F6-5648-4F95-9112-24C106CD04E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B107:AF107</xm:sqref>
        </x14:conditionalFormatting>
        <x14:conditionalFormatting xmlns:xm="http://schemas.microsoft.com/office/excel/2006/main">
          <x14:cfRule type="expression" priority="128" id="{DE8F9784-EEC0-49A4-BF49-FE1612C2D7C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29" id="{3599BC68-58E3-401B-9BA4-523B1B80C7F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30" id="{47034AFA-9651-4305-9560-2C9E958EE9E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31" id="{227A1158-53C6-4056-BB4C-D51989664B4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C80:AF80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268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J26" sqref="AJ2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AG38</f>
        <v>665.78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AG56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2079/06/3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("&amp;ROUND(B239,0)&amp;" MW)"&amp;"    IPP   = "&amp;ROUND(B234,0)&amp;" MW     NEA RoR = "&amp;ROUND(B235,0)&amp;" MWImport   = "&amp;ROUND(B237,0)&amp;" MW      KL1+KL2+K3 = "&amp;ROUND(B236,0) &amp;" MW    EXPORT = "&amp;ROUND(B238,0)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AG60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C72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30</v>
      </c>
      <c r="S5" s="148">
        <f t="shared" si="0"/>
        <v>31</v>
      </c>
      <c r="T5" s="148">
        <f t="shared" si="0"/>
        <v>9</v>
      </c>
      <c r="U5" s="148">
        <f t="shared" si="0"/>
        <v>9</v>
      </c>
      <c r="V5" s="148">
        <f t="shared" si="0"/>
        <v>9</v>
      </c>
      <c r="W5" s="148">
        <f t="shared" si="0"/>
        <v>31</v>
      </c>
      <c r="X5" s="148">
        <f t="shared" si="0"/>
        <v>27</v>
      </c>
      <c r="Y5" s="148">
        <f t="shared" si="0"/>
        <v>43</v>
      </c>
      <c r="Z5" s="148">
        <f t="shared" si="0"/>
        <v>27</v>
      </c>
      <c r="AA5" s="148">
        <f t="shared" si="0"/>
        <v>65.650000000000006</v>
      </c>
      <c r="AB5" s="148">
        <f t="shared" si="0"/>
        <v>0</v>
      </c>
      <c r="AC5" s="148">
        <f t="shared" si="0"/>
        <v>4</v>
      </c>
      <c r="AD5" s="148">
        <f t="shared" si="0"/>
        <v>4</v>
      </c>
      <c r="AE5" s="148">
        <f t="shared" si="0"/>
        <v>4</v>
      </c>
      <c r="AF5" s="148">
        <f>B72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"&amp;ROUND(B239,0)&amp;"MW at "&amp;TRUNC(B240*24,0)&amp;":"&amp;ROUND((B240*24-TRUNC(B240*24,0))*60,0)&amp;"hr at "&amp;ROUND(B241,1)&amp;"Hz     "&amp;A231&amp;" "&amp;ROUND(B231,0)&amp;"MW at "&amp;TRUNC(C231*24,0)&amp;":"&amp;ROUND((C231*24-TRUNC(C231*24,0))*6,0)&amp;"0hr"</f>
        <v>Evening Peak 0MW at 0:0hr at 0Hz     Morning Peak 1736MW at 8:00hr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1261.69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Load=1638</v>
      </c>
      <c r="B7" s="137">
        <f t="shared" ref="B7:AF7" si="1">B79</f>
        <v>1726.44</v>
      </c>
      <c r="C7" s="137">
        <f t="shared" si="1"/>
        <v>1711.2400000000002</v>
      </c>
      <c r="D7" s="137">
        <f t="shared" si="1"/>
        <v>1689.94</v>
      </c>
      <c r="E7" s="137">
        <f t="shared" si="1"/>
        <v>1667.14</v>
      </c>
      <c r="F7" s="137">
        <f t="shared" si="1"/>
        <v>1670.8400000000001</v>
      </c>
      <c r="G7" s="137">
        <f t="shared" si="1"/>
        <v>1638.44</v>
      </c>
      <c r="H7" s="137">
        <f t="shared" si="1"/>
        <v>1644.44</v>
      </c>
      <c r="I7" s="137">
        <f t="shared" si="1"/>
        <v>1662.6399999999999</v>
      </c>
      <c r="J7" s="137">
        <f t="shared" si="1"/>
        <v>1689.0400000000002</v>
      </c>
      <c r="K7" s="137">
        <f t="shared" si="1"/>
        <v>1727.64</v>
      </c>
      <c r="L7" s="137">
        <f t="shared" si="1"/>
        <v>1735.64</v>
      </c>
      <c r="M7" s="137">
        <f t="shared" si="1"/>
        <v>1736.2400000000002</v>
      </c>
      <c r="N7" s="137">
        <f t="shared" si="1"/>
        <v>1712.94</v>
      </c>
      <c r="O7" s="137">
        <f t="shared" si="1"/>
        <v>1711.8400000000001</v>
      </c>
      <c r="P7" s="137">
        <f t="shared" si="1"/>
        <v>1697.94</v>
      </c>
      <c r="Q7" s="137">
        <f t="shared" si="1"/>
        <v>1703.44</v>
      </c>
      <c r="R7" s="137">
        <f t="shared" si="1"/>
        <v>1693.1399999999999</v>
      </c>
      <c r="S7" s="137">
        <f t="shared" si="1"/>
        <v>1711.8400000000001</v>
      </c>
      <c r="T7" s="137">
        <f t="shared" si="1"/>
        <v>1712.8400000000001</v>
      </c>
      <c r="U7" s="137">
        <f t="shared" si="1"/>
        <v>1690.8400000000001</v>
      </c>
      <c r="V7" s="137">
        <f t="shared" si="1"/>
        <v>1744.8400000000001</v>
      </c>
      <c r="W7" s="137">
        <f t="shared" si="1"/>
        <v>1726.8400000000001</v>
      </c>
      <c r="X7" s="137">
        <f t="shared" si="1"/>
        <v>1710.04</v>
      </c>
      <c r="Y7" s="137">
        <f t="shared" si="1"/>
        <v>1817.8400000000001</v>
      </c>
      <c r="Z7" s="137">
        <f t="shared" si="1"/>
        <v>1796.7399999999998</v>
      </c>
      <c r="AA7" s="137">
        <f t="shared" si="1"/>
        <v>1774.6399999999999</v>
      </c>
      <c r="AB7" s="137">
        <f t="shared" si="1"/>
        <v>1712.6900000000003</v>
      </c>
      <c r="AC7" s="137">
        <f t="shared" si="1"/>
        <v>1738.2400000000002</v>
      </c>
      <c r="AD7" s="137">
        <f t="shared" si="1"/>
        <v>1785.5400000000002</v>
      </c>
      <c r="AE7" s="137">
        <f t="shared" si="1"/>
        <v>1745.14</v>
      </c>
      <c r="AF7" s="137">
        <f t="shared" si="1"/>
        <v>1744.04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53.7</v>
      </c>
      <c r="C11" s="105">
        <v>53.7</v>
      </c>
      <c r="D11" s="105">
        <v>53.7</v>
      </c>
      <c r="E11" s="105">
        <v>53.7</v>
      </c>
      <c r="F11" s="105">
        <v>53.7</v>
      </c>
      <c r="G11" s="105">
        <v>53.7</v>
      </c>
      <c r="H11" s="105">
        <v>53.7</v>
      </c>
      <c r="I11" s="105">
        <v>53.7</v>
      </c>
      <c r="J11" s="105">
        <v>53.7</v>
      </c>
      <c r="K11" s="105">
        <v>53.7</v>
      </c>
      <c r="L11" s="105">
        <v>53.7</v>
      </c>
      <c r="M11" s="105">
        <v>53.7</v>
      </c>
      <c r="N11" s="105">
        <v>53.7</v>
      </c>
      <c r="O11" s="105">
        <v>53.7</v>
      </c>
      <c r="P11" s="105">
        <v>53.7</v>
      </c>
      <c r="Q11" s="105">
        <v>54.1</v>
      </c>
      <c r="R11" s="105">
        <v>54.1</v>
      </c>
      <c r="S11" s="105">
        <v>54.1</v>
      </c>
      <c r="T11" s="105">
        <v>54.1</v>
      </c>
      <c r="U11" s="105">
        <v>54.1</v>
      </c>
      <c r="V11" s="105">
        <v>54.1</v>
      </c>
      <c r="W11" s="105">
        <v>54.1</v>
      </c>
      <c r="X11" s="105">
        <v>54.1</v>
      </c>
      <c r="Y11" s="105">
        <v>54.1</v>
      </c>
      <c r="Z11" s="105">
        <v>54.1</v>
      </c>
      <c r="AA11" s="105">
        <v>54.1</v>
      </c>
      <c r="AB11" s="128">
        <v>54</v>
      </c>
      <c r="AC11" s="128">
        <v>54</v>
      </c>
      <c r="AD11" s="128">
        <v>54</v>
      </c>
      <c r="AE11" s="128">
        <v>54</v>
      </c>
      <c r="AF11" s="128">
        <v>54</v>
      </c>
      <c r="AG11" s="127">
        <v>52.4</v>
      </c>
      <c r="AH11" s="20">
        <f t="shared" ref="AH11:AH74" si="2">MAX(B11:AF11)</f>
        <v>54.1</v>
      </c>
      <c r="AI11" s="19">
        <f t="shared" ref="AI11:AI74" si="3">MIN(B11:AF11)</f>
        <v>53.7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50.3</v>
      </c>
      <c r="C12" s="105">
        <v>50.3</v>
      </c>
      <c r="D12" s="105">
        <v>50.3</v>
      </c>
      <c r="E12" s="105">
        <v>50.3</v>
      </c>
      <c r="F12" s="105">
        <v>50.3</v>
      </c>
      <c r="G12" s="105">
        <v>0</v>
      </c>
      <c r="H12" s="105">
        <v>0</v>
      </c>
      <c r="I12" s="105">
        <v>25.5</v>
      </c>
      <c r="J12" s="105">
        <v>50.3</v>
      </c>
      <c r="K12" s="105">
        <v>50.3</v>
      </c>
      <c r="L12" s="105">
        <v>50.3</v>
      </c>
      <c r="M12" s="105">
        <v>50.3</v>
      </c>
      <c r="N12" s="105">
        <v>50.3</v>
      </c>
      <c r="O12" s="105">
        <v>50.3</v>
      </c>
      <c r="P12" s="105">
        <v>50.3</v>
      </c>
      <c r="Q12" s="105">
        <v>50.3</v>
      </c>
      <c r="R12" s="105">
        <v>50.3</v>
      </c>
      <c r="S12" s="105">
        <v>50.3</v>
      </c>
      <c r="T12" s="105">
        <v>50.3</v>
      </c>
      <c r="U12" s="105">
        <v>50.3</v>
      </c>
      <c r="V12" s="105">
        <v>50.3</v>
      </c>
      <c r="W12" s="105">
        <v>50.3</v>
      </c>
      <c r="X12" s="105">
        <v>50.3</v>
      </c>
      <c r="Y12" s="105">
        <v>50.3</v>
      </c>
      <c r="Z12" s="105">
        <v>50.3</v>
      </c>
      <c r="AA12" s="105">
        <v>50.3</v>
      </c>
      <c r="AB12" s="105">
        <v>50.5</v>
      </c>
      <c r="AC12" s="105">
        <v>50.5</v>
      </c>
      <c r="AD12" s="105">
        <v>50.5</v>
      </c>
      <c r="AE12" s="105">
        <v>50.5</v>
      </c>
      <c r="AF12" s="105">
        <v>50.5</v>
      </c>
      <c r="AG12" s="126">
        <v>50</v>
      </c>
      <c r="AH12" s="20">
        <f t="shared" si="2"/>
        <v>50.5</v>
      </c>
      <c r="AI12" s="19">
        <f t="shared" si="3"/>
        <v>0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46.2</v>
      </c>
      <c r="C13" s="105">
        <v>46.2</v>
      </c>
      <c r="D13" s="105">
        <v>46.2</v>
      </c>
      <c r="E13" s="105">
        <v>46.2</v>
      </c>
      <c r="F13" s="105">
        <v>46.2</v>
      </c>
      <c r="G13" s="105">
        <v>46.2</v>
      </c>
      <c r="H13" s="105">
        <v>46.2</v>
      </c>
      <c r="I13" s="105">
        <v>46.2</v>
      </c>
      <c r="J13" s="105">
        <v>46.2</v>
      </c>
      <c r="K13" s="105">
        <v>46.2</v>
      </c>
      <c r="L13" s="105">
        <v>46.2</v>
      </c>
      <c r="M13" s="105">
        <v>46.2</v>
      </c>
      <c r="N13" s="105">
        <v>46.2</v>
      </c>
      <c r="O13" s="105">
        <v>46.2</v>
      </c>
      <c r="P13" s="105">
        <v>46.2</v>
      </c>
      <c r="Q13" s="105">
        <v>46.2</v>
      </c>
      <c r="R13" s="105">
        <v>46.2</v>
      </c>
      <c r="S13" s="105">
        <v>45.9</v>
      </c>
      <c r="T13" s="105">
        <v>45.9</v>
      </c>
      <c r="U13" s="105">
        <v>45.9</v>
      </c>
      <c r="V13" s="105">
        <v>45.9</v>
      </c>
      <c r="W13" s="105">
        <v>45.9</v>
      </c>
      <c r="X13" s="105">
        <v>45.9</v>
      </c>
      <c r="Y13" s="105">
        <v>45.9</v>
      </c>
      <c r="Z13" s="105">
        <v>45.9</v>
      </c>
      <c r="AA13" s="105">
        <v>45.9</v>
      </c>
      <c r="AB13" s="105">
        <v>46</v>
      </c>
      <c r="AC13" s="105">
        <v>46</v>
      </c>
      <c r="AD13" s="105">
        <v>46</v>
      </c>
      <c r="AE13" s="105">
        <v>46</v>
      </c>
      <c r="AF13" s="105">
        <v>46</v>
      </c>
      <c r="AG13" s="126">
        <v>45</v>
      </c>
      <c r="AH13" s="20">
        <f t="shared" si="2"/>
        <v>46.2</v>
      </c>
      <c r="AI13" s="19">
        <f t="shared" si="3"/>
        <v>45.9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25</v>
      </c>
      <c r="C14" s="105">
        <v>25</v>
      </c>
      <c r="D14" s="105">
        <v>25</v>
      </c>
      <c r="E14" s="105">
        <v>25</v>
      </c>
      <c r="F14" s="105">
        <v>25</v>
      </c>
      <c r="G14" s="105">
        <v>30</v>
      </c>
      <c r="H14" s="105">
        <v>35</v>
      </c>
      <c r="I14" s="105">
        <v>27</v>
      </c>
      <c r="J14" s="105">
        <v>27</v>
      </c>
      <c r="K14" s="105">
        <v>27</v>
      </c>
      <c r="L14" s="105">
        <v>35</v>
      </c>
      <c r="M14" s="105">
        <v>35</v>
      </c>
      <c r="N14" s="105">
        <v>35</v>
      </c>
      <c r="O14" s="105">
        <v>35</v>
      </c>
      <c r="P14" s="105">
        <v>32</v>
      </c>
      <c r="Q14" s="105">
        <v>36</v>
      </c>
      <c r="R14" s="105">
        <v>36</v>
      </c>
      <c r="S14" s="105">
        <v>30</v>
      </c>
      <c r="T14" s="105">
        <v>30</v>
      </c>
      <c r="U14" s="105">
        <v>30</v>
      </c>
      <c r="V14" s="105">
        <v>30</v>
      </c>
      <c r="W14" s="105">
        <v>30</v>
      </c>
      <c r="X14" s="105">
        <v>27</v>
      </c>
      <c r="Y14" s="105">
        <v>32</v>
      </c>
      <c r="Z14" s="105">
        <v>32</v>
      </c>
      <c r="AA14" s="105">
        <v>32</v>
      </c>
      <c r="AB14" s="105">
        <v>0</v>
      </c>
      <c r="AC14" s="105">
        <v>28</v>
      </c>
      <c r="AD14" s="105">
        <v>40</v>
      </c>
      <c r="AE14" s="105">
        <v>28</v>
      </c>
      <c r="AF14" s="105">
        <v>28</v>
      </c>
      <c r="AG14" s="126">
        <v>42</v>
      </c>
      <c r="AH14" s="20">
        <f t="shared" si="2"/>
        <v>40</v>
      </c>
      <c r="AI14" s="19">
        <f t="shared" si="3"/>
        <v>0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30</v>
      </c>
      <c r="L15" s="105">
        <v>30</v>
      </c>
      <c r="M15" s="105">
        <v>30</v>
      </c>
      <c r="N15" s="105">
        <v>0</v>
      </c>
      <c r="O15" s="105">
        <v>0</v>
      </c>
      <c r="P15" s="105">
        <v>0</v>
      </c>
      <c r="Q15" s="105">
        <v>0</v>
      </c>
      <c r="R15" s="105">
        <v>0</v>
      </c>
      <c r="S15" s="105">
        <v>0</v>
      </c>
      <c r="T15" s="105">
        <v>0</v>
      </c>
      <c r="U15" s="105">
        <v>0</v>
      </c>
      <c r="V15" s="105">
        <v>0</v>
      </c>
      <c r="W15" s="105">
        <v>0</v>
      </c>
      <c r="X15" s="105">
        <v>0</v>
      </c>
      <c r="Y15" s="105">
        <v>0</v>
      </c>
      <c r="Z15" s="105">
        <v>0</v>
      </c>
      <c r="AA15" s="105">
        <v>0</v>
      </c>
      <c r="AB15" s="105">
        <v>0</v>
      </c>
      <c r="AC15" s="105">
        <v>0</v>
      </c>
      <c r="AD15" s="105">
        <v>0</v>
      </c>
      <c r="AE15" s="105">
        <v>0</v>
      </c>
      <c r="AF15" s="105">
        <v>0</v>
      </c>
      <c r="AG15" s="96">
        <v>30</v>
      </c>
      <c r="AH15" s="20">
        <f t="shared" si="2"/>
        <v>30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217</v>
      </c>
      <c r="B16" s="105">
        <v>25</v>
      </c>
      <c r="C16" s="105">
        <v>25</v>
      </c>
      <c r="D16" s="105">
        <v>25</v>
      </c>
      <c r="E16" s="105">
        <v>25</v>
      </c>
      <c r="F16" s="105">
        <v>25</v>
      </c>
      <c r="G16" s="105">
        <v>25</v>
      </c>
      <c r="H16" s="105">
        <v>25</v>
      </c>
      <c r="I16" s="105">
        <v>25</v>
      </c>
      <c r="J16" s="105">
        <v>25</v>
      </c>
      <c r="K16" s="105">
        <v>25</v>
      </c>
      <c r="L16" s="105">
        <v>25</v>
      </c>
      <c r="M16" s="105">
        <v>25</v>
      </c>
      <c r="N16" s="105">
        <v>25</v>
      </c>
      <c r="O16" s="105">
        <v>25</v>
      </c>
      <c r="P16" s="105">
        <v>25</v>
      </c>
      <c r="Q16" s="105">
        <v>25</v>
      </c>
      <c r="R16" s="105">
        <v>25</v>
      </c>
      <c r="S16" s="105">
        <v>25</v>
      </c>
      <c r="T16" s="105">
        <v>25</v>
      </c>
      <c r="U16" s="105">
        <v>25</v>
      </c>
      <c r="V16" s="105">
        <v>25</v>
      </c>
      <c r="W16" s="105">
        <v>25</v>
      </c>
      <c r="X16" s="105">
        <v>25</v>
      </c>
      <c r="Y16" s="105">
        <v>25</v>
      </c>
      <c r="Z16" s="105">
        <v>25</v>
      </c>
      <c r="AA16" s="105">
        <v>25</v>
      </c>
      <c r="AB16" s="105">
        <v>26.2</v>
      </c>
      <c r="AC16" s="105">
        <v>26.2</v>
      </c>
      <c r="AD16" s="105">
        <v>26.2</v>
      </c>
      <c r="AE16" s="105">
        <v>25</v>
      </c>
      <c r="AF16" s="105">
        <v>25.2</v>
      </c>
      <c r="AG16" s="126">
        <v>25</v>
      </c>
      <c r="AH16" s="20">
        <f t="shared" si="2"/>
        <v>26.2</v>
      </c>
      <c r="AI16" s="19">
        <f t="shared" si="3"/>
        <v>25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216</v>
      </c>
      <c r="B17" s="105">
        <v>25</v>
      </c>
      <c r="C17" s="105">
        <v>25</v>
      </c>
      <c r="D17" s="105">
        <v>25</v>
      </c>
      <c r="E17" s="105">
        <v>25</v>
      </c>
      <c r="F17" s="105">
        <v>25</v>
      </c>
      <c r="G17" s="105">
        <v>25</v>
      </c>
      <c r="H17" s="105">
        <v>25</v>
      </c>
      <c r="I17" s="105">
        <v>25</v>
      </c>
      <c r="J17" s="105">
        <v>25</v>
      </c>
      <c r="K17" s="105">
        <v>25</v>
      </c>
      <c r="L17" s="105">
        <v>25</v>
      </c>
      <c r="M17" s="105">
        <v>25</v>
      </c>
      <c r="N17" s="105">
        <v>25</v>
      </c>
      <c r="O17" s="105">
        <v>25</v>
      </c>
      <c r="P17" s="105">
        <v>25</v>
      </c>
      <c r="Q17" s="105">
        <v>25</v>
      </c>
      <c r="R17" s="105">
        <v>25</v>
      </c>
      <c r="S17" s="105">
        <v>25</v>
      </c>
      <c r="T17" s="105">
        <v>25</v>
      </c>
      <c r="U17" s="105">
        <v>25</v>
      </c>
      <c r="V17" s="105">
        <v>25</v>
      </c>
      <c r="W17" s="105">
        <v>25</v>
      </c>
      <c r="X17" s="105">
        <v>25</v>
      </c>
      <c r="Y17" s="105">
        <v>25</v>
      </c>
      <c r="Z17" s="105">
        <v>25</v>
      </c>
      <c r="AA17" s="105">
        <v>25</v>
      </c>
      <c r="AB17" s="105">
        <v>25</v>
      </c>
      <c r="AC17" s="105">
        <v>25</v>
      </c>
      <c r="AD17" s="105">
        <v>25</v>
      </c>
      <c r="AE17" s="105">
        <v>25</v>
      </c>
      <c r="AF17" s="105">
        <v>25</v>
      </c>
      <c r="AG17" s="126">
        <v>25</v>
      </c>
      <c r="AH17" s="20">
        <f t="shared" si="2"/>
        <v>25</v>
      </c>
      <c r="AI17" s="19">
        <f t="shared" si="3"/>
        <v>25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215</v>
      </c>
      <c r="B18" s="105">
        <v>25</v>
      </c>
      <c r="C18" s="105">
        <v>25</v>
      </c>
      <c r="D18" s="105">
        <v>25</v>
      </c>
      <c r="E18" s="105">
        <v>25</v>
      </c>
      <c r="F18" s="105">
        <v>22.5</v>
      </c>
      <c r="G18" s="105">
        <v>25</v>
      </c>
      <c r="H18" s="105">
        <v>25</v>
      </c>
      <c r="I18" s="105">
        <v>25</v>
      </c>
      <c r="J18" s="105">
        <v>25</v>
      </c>
      <c r="K18" s="105">
        <v>25</v>
      </c>
      <c r="L18" s="105">
        <v>25</v>
      </c>
      <c r="M18" s="105">
        <v>25</v>
      </c>
      <c r="N18" s="105">
        <v>25</v>
      </c>
      <c r="O18" s="105">
        <v>25</v>
      </c>
      <c r="P18" s="105">
        <v>25</v>
      </c>
      <c r="Q18" s="105">
        <v>25</v>
      </c>
      <c r="R18" s="105">
        <v>12.5</v>
      </c>
      <c r="S18" s="105">
        <v>12.5</v>
      </c>
      <c r="T18" s="105">
        <v>12.5</v>
      </c>
      <c r="U18" s="105">
        <v>12.5</v>
      </c>
      <c r="V18" s="105">
        <v>12.5</v>
      </c>
      <c r="W18" s="105">
        <v>12.5</v>
      </c>
      <c r="X18" s="105">
        <v>12.5</v>
      </c>
      <c r="Y18" s="105">
        <v>12.5</v>
      </c>
      <c r="Z18" s="105">
        <v>12.5</v>
      </c>
      <c r="AA18" s="105">
        <v>12.5</v>
      </c>
      <c r="AB18" s="105">
        <v>25</v>
      </c>
      <c r="AC18" s="105">
        <v>25</v>
      </c>
      <c r="AD18" s="105">
        <v>25</v>
      </c>
      <c r="AE18" s="105">
        <v>25</v>
      </c>
      <c r="AF18" s="105">
        <v>22</v>
      </c>
      <c r="AG18" s="126">
        <v>25</v>
      </c>
      <c r="AH18" s="20">
        <f t="shared" si="2"/>
        <v>25</v>
      </c>
      <c r="AI18" s="19">
        <f t="shared" si="3"/>
        <v>12.5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214</v>
      </c>
      <c r="B19" s="105">
        <v>25</v>
      </c>
      <c r="C19" s="105">
        <v>25</v>
      </c>
      <c r="D19" s="105">
        <v>25</v>
      </c>
      <c r="E19" s="105">
        <v>25</v>
      </c>
      <c r="F19" s="105">
        <v>25</v>
      </c>
      <c r="G19" s="105">
        <v>33.200000000000003</v>
      </c>
      <c r="H19" s="105">
        <v>33.200000000000003</v>
      </c>
      <c r="I19" s="105">
        <v>33.200000000000003</v>
      </c>
      <c r="J19" s="105">
        <v>33.200000000000003</v>
      </c>
      <c r="K19" s="105">
        <v>33.200000000000003</v>
      </c>
      <c r="L19" s="105">
        <v>33.200000000000003</v>
      </c>
      <c r="M19" s="105">
        <v>33.200000000000003</v>
      </c>
      <c r="N19" s="105">
        <v>33.200000000000003</v>
      </c>
      <c r="O19" s="105">
        <v>33.200000000000003</v>
      </c>
      <c r="P19" s="105">
        <v>33.200000000000003</v>
      </c>
      <c r="Q19" s="105">
        <v>33.200000000000003</v>
      </c>
      <c r="R19" s="105">
        <v>33.200000000000003</v>
      </c>
      <c r="S19" s="105">
        <v>33.200000000000003</v>
      </c>
      <c r="T19" s="105">
        <v>33.200000000000003</v>
      </c>
      <c r="U19" s="105">
        <v>33.200000000000003</v>
      </c>
      <c r="V19" s="105">
        <v>33.200000000000003</v>
      </c>
      <c r="W19" s="105">
        <v>33.200000000000003</v>
      </c>
      <c r="X19" s="105">
        <v>33.200000000000003</v>
      </c>
      <c r="Y19" s="105">
        <v>33.200000000000003</v>
      </c>
      <c r="Z19" s="105">
        <v>33.200000000000003</v>
      </c>
      <c r="AA19" s="105">
        <v>33.200000000000003</v>
      </c>
      <c r="AB19" s="105">
        <v>33.200000000000003</v>
      </c>
      <c r="AC19" s="105">
        <v>33.200000000000003</v>
      </c>
      <c r="AD19" s="105">
        <v>33.200000000000003</v>
      </c>
      <c r="AE19" s="105">
        <v>25</v>
      </c>
      <c r="AF19" s="105">
        <v>25</v>
      </c>
      <c r="AG19" s="126">
        <v>24.2</v>
      </c>
      <c r="AH19" s="20">
        <f t="shared" si="2"/>
        <v>33.200000000000003</v>
      </c>
      <c r="AI19" s="19">
        <f t="shared" si="3"/>
        <v>25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213</v>
      </c>
      <c r="B20" s="105">
        <v>23.5</v>
      </c>
      <c r="C20" s="105">
        <v>23.5</v>
      </c>
      <c r="D20" s="105">
        <v>23.5</v>
      </c>
      <c r="E20" s="105">
        <v>23.5</v>
      </c>
      <c r="F20" s="105">
        <v>23.5</v>
      </c>
      <c r="G20" s="105">
        <v>23.5</v>
      </c>
      <c r="H20" s="105">
        <v>23.5</v>
      </c>
      <c r="I20" s="105">
        <v>23.5</v>
      </c>
      <c r="J20" s="105">
        <v>23.5</v>
      </c>
      <c r="K20" s="105">
        <v>23.5</v>
      </c>
      <c r="L20" s="105">
        <v>23.5</v>
      </c>
      <c r="M20" s="105">
        <v>23.5</v>
      </c>
      <c r="N20" s="105">
        <v>23.5</v>
      </c>
      <c r="O20" s="105">
        <v>23.5</v>
      </c>
      <c r="P20" s="105">
        <v>23.5</v>
      </c>
      <c r="Q20" s="105">
        <v>23.5</v>
      </c>
      <c r="R20" s="105">
        <v>23.5</v>
      </c>
      <c r="S20" s="105">
        <v>23.5</v>
      </c>
      <c r="T20" s="105">
        <v>23.5</v>
      </c>
      <c r="U20" s="105">
        <v>23.5</v>
      </c>
      <c r="V20" s="105">
        <v>23.5</v>
      </c>
      <c r="W20" s="105">
        <v>23.5</v>
      </c>
      <c r="X20" s="105">
        <v>23.5</v>
      </c>
      <c r="Y20" s="105">
        <v>23.5</v>
      </c>
      <c r="Z20" s="105">
        <v>23.5</v>
      </c>
      <c r="AA20" s="105">
        <v>23.5</v>
      </c>
      <c r="AB20" s="105">
        <v>23.5</v>
      </c>
      <c r="AC20" s="105">
        <v>23.5</v>
      </c>
      <c r="AD20" s="105">
        <v>23.5</v>
      </c>
      <c r="AE20" s="105">
        <v>23.5</v>
      </c>
      <c r="AF20" s="105">
        <v>23.5</v>
      </c>
      <c r="AG20" s="126">
        <v>23.5</v>
      </c>
      <c r="AH20" s="20">
        <f t="shared" si="2"/>
        <v>23.5</v>
      </c>
      <c r="AI20" s="19">
        <f t="shared" si="3"/>
        <v>23.5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212</v>
      </c>
      <c r="B21" s="105">
        <v>22</v>
      </c>
      <c r="C21" s="105">
        <v>22</v>
      </c>
      <c r="D21" s="105">
        <v>22</v>
      </c>
      <c r="E21" s="105">
        <v>22</v>
      </c>
      <c r="F21" s="105">
        <v>22</v>
      </c>
      <c r="G21" s="105">
        <v>22</v>
      </c>
      <c r="H21" s="105">
        <v>22</v>
      </c>
      <c r="I21" s="105">
        <v>22</v>
      </c>
      <c r="J21" s="105">
        <v>22</v>
      </c>
      <c r="K21" s="105">
        <v>22</v>
      </c>
      <c r="L21" s="105">
        <v>22</v>
      </c>
      <c r="M21" s="105">
        <v>22</v>
      </c>
      <c r="N21" s="105">
        <v>22</v>
      </c>
      <c r="O21" s="105">
        <v>22</v>
      </c>
      <c r="P21" s="105">
        <v>22</v>
      </c>
      <c r="Q21" s="105">
        <v>22</v>
      </c>
      <c r="R21" s="105">
        <v>22</v>
      </c>
      <c r="S21" s="105">
        <v>22</v>
      </c>
      <c r="T21" s="105">
        <v>22</v>
      </c>
      <c r="U21" s="105">
        <v>22</v>
      </c>
      <c r="V21" s="105">
        <v>22</v>
      </c>
      <c r="W21" s="105">
        <v>22</v>
      </c>
      <c r="X21" s="105">
        <v>22</v>
      </c>
      <c r="Y21" s="105">
        <v>22</v>
      </c>
      <c r="Z21" s="105">
        <v>22</v>
      </c>
      <c r="AA21" s="105">
        <v>22</v>
      </c>
      <c r="AB21" s="105">
        <v>22</v>
      </c>
      <c r="AC21" s="105">
        <v>22</v>
      </c>
      <c r="AD21" s="105">
        <v>22</v>
      </c>
      <c r="AE21" s="105">
        <v>22</v>
      </c>
      <c r="AF21" s="105">
        <v>22</v>
      </c>
      <c r="AG21" s="126">
        <v>22.2</v>
      </c>
      <c r="AH21" s="20">
        <f t="shared" si="2"/>
        <v>22</v>
      </c>
      <c r="AI21" s="19">
        <f t="shared" si="3"/>
        <v>22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211</v>
      </c>
      <c r="B22" s="105">
        <v>22</v>
      </c>
      <c r="C22" s="105">
        <v>22</v>
      </c>
      <c r="D22" s="105">
        <v>22</v>
      </c>
      <c r="E22" s="105">
        <v>22</v>
      </c>
      <c r="F22" s="105">
        <v>22</v>
      </c>
      <c r="G22" s="105">
        <v>22</v>
      </c>
      <c r="H22" s="105">
        <v>22</v>
      </c>
      <c r="I22" s="105">
        <v>22</v>
      </c>
      <c r="J22" s="105">
        <v>22</v>
      </c>
      <c r="K22" s="105">
        <v>22</v>
      </c>
      <c r="L22" s="105">
        <v>22</v>
      </c>
      <c r="M22" s="105">
        <v>22</v>
      </c>
      <c r="N22" s="105">
        <v>22</v>
      </c>
      <c r="O22" s="105">
        <v>22</v>
      </c>
      <c r="P22" s="105">
        <v>22</v>
      </c>
      <c r="Q22" s="105">
        <v>22</v>
      </c>
      <c r="R22" s="105">
        <v>22</v>
      </c>
      <c r="S22" s="105">
        <v>22</v>
      </c>
      <c r="T22" s="105">
        <v>22</v>
      </c>
      <c r="U22" s="105">
        <v>22</v>
      </c>
      <c r="V22" s="105">
        <v>22</v>
      </c>
      <c r="W22" s="105">
        <v>22</v>
      </c>
      <c r="X22" s="105">
        <v>22</v>
      </c>
      <c r="Y22" s="105">
        <v>22</v>
      </c>
      <c r="Z22" s="105">
        <v>22</v>
      </c>
      <c r="AA22" s="105">
        <v>22</v>
      </c>
      <c r="AB22" s="105">
        <v>22</v>
      </c>
      <c r="AC22" s="105">
        <v>22</v>
      </c>
      <c r="AD22" s="105">
        <v>22</v>
      </c>
      <c r="AE22" s="105">
        <v>22</v>
      </c>
      <c r="AF22" s="105">
        <v>22</v>
      </c>
      <c r="AG22" s="126">
        <v>22.1</v>
      </c>
      <c r="AH22" s="20">
        <f t="shared" si="2"/>
        <v>22</v>
      </c>
      <c r="AI22" s="19">
        <f t="shared" si="3"/>
        <v>22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210</v>
      </c>
      <c r="B23" s="105">
        <v>22</v>
      </c>
      <c r="C23" s="105">
        <v>22</v>
      </c>
      <c r="D23" s="105">
        <v>22</v>
      </c>
      <c r="E23" s="105">
        <v>22</v>
      </c>
      <c r="F23" s="105">
        <v>22</v>
      </c>
      <c r="G23" s="105">
        <v>22</v>
      </c>
      <c r="H23" s="105">
        <v>22</v>
      </c>
      <c r="I23" s="105">
        <v>22</v>
      </c>
      <c r="J23" s="105">
        <v>22</v>
      </c>
      <c r="K23" s="105">
        <v>22</v>
      </c>
      <c r="L23" s="105">
        <v>22</v>
      </c>
      <c r="M23" s="105">
        <v>22</v>
      </c>
      <c r="N23" s="105">
        <v>22</v>
      </c>
      <c r="O23" s="105">
        <v>22</v>
      </c>
      <c r="P23" s="105">
        <v>14</v>
      </c>
      <c r="Q23" s="105">
        <v>14</v>
      </c>
      <c r="R23" s="105">
        <v>14</v>
      </c>
      <c r="S23" s="105">
        <v>14</v>
      </c>
      <c r="T23" s="105">
        <v>14</v>
      </c>
      <c r="U23" s="105">
        <v>14</v>
      </c>
      <c r="V23" s="105">
        <v>14</v>
      </c>
      <c r="W23" s="105">
        <v>14</v>
      </c>
      <c r="X23" s="105">
        <v>14</v>
      </c>
      <c r="Y23" s="105">
        <v>14</v>
      </c>
      <c r="Z23" s="105">
        <v>14</v>
      </c>
      <c r="AA23" s="105">
        <v>14</v>
      </c>
      <c r="AB23" s="105">
        <v>22</v>
      </c>
      <c r="AC23" s="105">
        <v>22</v>
      </c>
      <c r="AD23" s="105">
        <v>22</v>
      </c>
      <c r="AE23" s="105">
        <v>22</v>
      </c>
      <c r="AF23" s="105">
        <v>22</v>
      </c>
      <c r="AG23" s="126">
        <v>22</v>
      </c>
      <c r="AH23" s="20">
        <f t="shared" si="2"/>
        <v>22</v>
      </c>
      <c r="AI23" s="19">
        <f t="shared" si="3"/>
        <v>14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209</v>
      </c>
      <c r="B24" s="105">
        <v>22</v>
      </c>
      <c r="C24" s="105">
        <v>22</v>
      </c>
      <c r="D24" s="105">
        <v>22</v>
      </c>
      <c r="E24" s="105">
        <v>22</v>
      </c>
      <c r="F24" s="105">
        <v>22</v>
      </c>
      <c r="G24" s="105">
        <v>22</v>
      </c>
      <c r="H24" s="105">
        <v>22</v>
      </c>
      <c r="I24" s="105">
        <v>22</v>
      </c>
      <c r="J24" s="105">
        <v>22</v>
      </c>
      <c r="K24" s="105">
        <v>22</v>
      </c>
      <c r="L24" s="105">
        <v>22</v>
      </c>
      <c r="M24" s="105">
        <v>22</v>
      </c>
      <c r="N24" s="105">
        <v>22</v>
      </c>
      <c r="O24" s="105">
        <v>22</v>
      </c>
      <c r="P24" s="105">
        <v>22</v>
      </c>
      <c r="Q24" s="105">
        <v>22</v>
      </c>
      <c r="R24" s="105">
        <v>22</v>
      </c>
      <c r="S24" s="105">
        <v>22</v>
      </c>
      <c r="T24" s="105">
        <v>22</v>
      </c>
      <c r="U24" s="105">
        <v>22</v>
      </c>
      <c r="V24" s="105">
        <v>22</v>
      </c>
      <c r="W24" s="105">
        <v>22</v>
      </c>
      <c r="X24" s="105">
        <v>22</v>
      </c>
      <c r="Y24" s="105">
        <v>22</v>
      </c>
      <c r="Z24" s="105">
        <v>22</v>
      </c>
      <c r="AA24" s="105">
        <v>22</v>
      </c>
      <c r="AB24" s="105">
        <v>0</v>
      </c>
      <c r="AC24" s="105">
        <v>0</v>
      </c>
      <c r="AD24" s="105">
        <v>22</v>
      </c>
      <c r="AE24" s="105">
        <v>20</v>
      </c>
      <c r="AF24" s="105">
        <v>20</v>
      </c>
      <c r="AG24" s="126">
        <v>22</v>
      </c>
      <c r="AH24" s="20">
        <f t="shared" si="2"/>
        <v>22</v>
      </c>
      <c r="AI24" s="19">
        <f t="shared" si="3"/>
        <v>0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208</v>
      </c>
      <c r="B25" s="105">
        <v>0</v>
      </c>
      <c r="C25" s="105">
        <v>0</v>
      </c>
      <c r="D25" s="105">
        <v>0</v>
      </c>
      <c r="E25" s="105">
        <v>0</v>
      </c>
      <c r="F25" s="105">
        <v>0</v>
      </c>
      <c r="G25" s="105">
        <v>0</v>
      </c>
      <c r="H25" s="105">
        <v>0</v>
      </c>
      <c r="I25" s="105">
        <v>0</v>
      </c>
      <c r="J25" s="105">
        <v>0</v>
      </c>
      <c r="K25" s="105">
        <v>10</v>
      </c>
      <c r="L25" s="105">
        <v>10</v>
      </c>
      <c r="M25" s="105">
        <v>10</v>
      </c>
      <c r="N25" s="105">
        <v>10</v>
      </c>
      <c r="O25" s="105">
        <v>10</v>
      </c>
      <c r="P25" s="105">
        <v>10</v>
      </c>
      <c r="Q25" s="105">
        <v>15</v>
      </c>
      <c r="R25" s="105">
        <v>15</v>
      </c>
      <c r="S25" s="105">
        <v>10</v>
      </c>
      <c r="T25" s="105">
        <v>10</v>
      </c>
      <c r="U25" s="105">
        <v>10</v>
      </c>
      <c r="V25" s="105">
        <v>10</v>
      </c>
      <c r="W25" s="105">
        <v>0</v>
      </c>
      <c r="X25" s="105">
        <v>0</v>
      </c>
      <c r="Y25" s="105">
        <v>10</v>
      </c>
      <c r="Z25" s="105">
        <v>10</v>
      </c>
      <c r="AA25" s="105">
        <v>10</v>
      </c>
      <c r="AB25" s="105">
        <v>0</v>
      </c>
      <c r="AC25" s="105">
        <v>0</v>
      </c>
      <c r="AD25" s="105">
        <v>10</v>
      </c>
      <c r="AE25" s="105">
        <v>0</v>
      </c>
      <c r="AF25" s="105">
        <v>0</v>
      </c>
      <c r="AG25" s="126">
        <v>20</v>
      </c>
      <c r="AH25" s="20">
        <f t="shared" si="2"/>
        <v>15</v>
      </c>
      <c r="AI25" s="19">
        <f t="shared" si="3"/>
        <v>0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207</v>
      </c>
      <c r="B26" s="105">
        <v>14</v>
      </c>
      <c r="C26" s="105">
        <v>14</v>
      </c>
      <c r="D26" s="105">
        <v>14</v>
      </c>
      <c r="E26" s="105">
        <v>14</v>
      </c>
      <c r="F26" s="105">
        <v>14</v>
      </c>
      <c r="G26" s="105">
        <v>14</v>
      </c>
      <c r="H26" s="105">
        <v>14</v>
      </c>
      <c r="I26" s="105">
        <v>14</v>
      </c>
      <c r="J26" s="105">
        <v>14</v>
      </c>
      <c r="K26" s="105">
        <v>14</v>
      </c>
      <c r="L26" s="105">
        <v>14</v>
      </c>
      <c r="M26" s="105">
        <v>14</v>
      </c>
      <c r="N26" s="105">
        <v>14</v>
      </c>
      <c r="O26" s="105">
        <v>14</v>
      </c>
      <c r="P26" s="105">
        <v>14</v>
      </c>
      <c r="Q26" s="105">
        <v>14</v>
      </c>
      <c r="R26" s="105">
        <v>14</v>
      </c>
      <c r="S26" s="105">
        <v>14</v>
      </c>
      <c r="T26" s="105">
        <v>14</v>
      </c>
      <c r="U26" s="105">
        <v>14</v>
      </c>
      <c r="V26" s="105">
        <v>14</v>
      </c>
      <c r="W26" s="105">
        <v>14</v>
      </c>
      <c r="X26" s="105">
        <v>14</v>
      </c>
      <c r="Y26" s="105">
        <v>14</v>
      </c>
      <c r="Z26" s="105">
        <v>14</v>
      </c>
      <c r="AA26" s="105">
        <v>14</v>
      </c>
      <c r="AB26" s="105">
        <v>14</v>
      </c>
      <c r="AC26" s="105">
        <v>14</v>
      </c>
      <c r="AD26" s="105">
        <v>14</v>
      </c>
      <c r="AE26" s="105">
        <v>14</v>
      </c>
      <c r="AF26" s="105">
        <v>14</v>
      </c>
      <c r="AG26" s="126">
        <v>14.9</v>
      </c>
      <c r="AH26" s="20">
        <f t="shared" si="2"/>
        <v>14</v>
      </c>
      <c r="AI26" s="19">
        <f t="shared" si="3"/>
        <v>14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206</v>
      </c>
      <c r="B27" s="105">
        <v>13</v>
      </c>
      <c r="C27" s="105">
        <v>13</v>
      </c>
      <c r="D27" s="105">
        <v>13</v>
      </c>
      <c r="E27" s="105">
        <v>13</v>
      </c>
      <c r="F27" s="105">
        <v>13</v>
      </c>
      <c r="G27" s="105">
        <v>13</v>
      </c>
      <c r="H27" s="105">
        <v>13</v>
      </c>
      <c r="I27" s="105">
        <v>13</v>
      </c>
      <c r="J27" s="105">
        <v>13</v>
      </c>
      <c r="K27" s="105">
        <v>13</v>
      </c>
      <c r="L27" s="105">
        <v>13</v>
      </c>
      <c r="M27" s="105">
        <v>13</v>
      </c>
      <c r="N27" s="105">
        <v>13</v>
      </c>
      <c r="O27" s="105">
        <v>13</v>
      </c>
      <c r="P27" s="105">
        <v>13</v>
      </c>
      <c r="Q27" s="105">
        <v>13</v>
      </c>
      <c r="R27" s="105">
        <v>13</v>
      </c>
      <c r="S27" s="105">
        <v>13</v>
      </c>
      <c r="T27" s="105">
        <v>13</v>
      </c>
      <c r="U27" s="105">
        <v>13</v>
      </c>
      <c r="V27" s="105">
        <v>13</v>
      </c>
      <c r="W27" s="105">
        <v>13</v>
      </c>
      <c r="X27" s="105">
        <v>13</v>
      </c>
      <c r="Y27" s="105">
        <v>13</v>
      </c>
      <c r="Z27" s="105">
        <v>13</v>
      </c>
      <c r="AA27" s="105">
        <v>13</v>
      </c>
      <c r="AB27" s="105">
        <v>13</v>
      </c>
      <c r="AC27" s="105">
        <v>13</v>
      </c>
      <c r="AD27" s="105">
        <v>13</v>
      </c>
      <c r="AE27" s="105">
        <v>13</v>
      </c>
      <c r="AF27" s="105">
        <v>13</v>
      </c>
      <c r="AG27" s="126">
        <v>13.6</v>
      </c>
      <c r="AH27" s="20">
        <f t="shared" si="2"/>
        <v>13</v>
      </c>
      <c r="AI27" s="19">
        <f t="shared" si="3"/>
        <v>13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205</v>
      </c>
      <c r="B28" s="105">
        <v>11</v>
      </c>
      <c r="C28" s="105">
        <v>11</v>
      </c>
      <c r="D28" s="105">
        <v>11</v>
      </c>
      <c r="E28" s="105">
        <v>11</v>
      </c>
      <c r="F28" s="105">
        <v>11</v>
      </c>
      <c r="G28" s="105">
        <v>11</v>
      </c>
      <c r="H28" s="105">
        <v>11</v>
      </c>
      <c r="I28" s="105">
        <v>11</v>
      </c>
      <c r="J28" s="105">
        <v>11</v>
      </c>
      <c r="K28" s="105">
        <v>11</v>
      </c>
      <c r="L28" s="105">
        <v>11</v>
      </c>
      <c r="M28" s="105">
        <v>11</v>
      </c>
      <c r="N28" s="105">
        <v>11</v>
      </c>
      <c r="O28" s="105">
        <v>11</v>
      </c>
      <c r="P28" s="105">
        <v>11</v>
      </c>
      <c r="Q28" s="105">
        <v>11</v>
      </c>
      <c r="R28" s="105">
        <v>11</v>
      </c>
      <c r="S28" s="105">
        <v>11</v>
      </c>
      <c r="T28" s="105">
        <v>11</v>
      </c>
      <c r="U28" s="105">
        <v>11</v>
      </c>
      <c r="V28" s="105">
        <v>11</v>
      </c>
      <c r="W28" s="105">
        <v>11</v>
      </c>
      <c r="X28" s="105">
        <v>11</v>
      </c>
      <c r="Y28" s="105">
        <v>11</v>
      </c>
      <c r="Z28" s="105">
        <v>11</v>
      </c>
      <c r="AA28" s="105">
        <v>11</v>
      </c>
      <c r="AB28" s="105">
        <v>11</v>
      </c>
      <c r="AC28" s="105">
        <v>11</v>
      </c>
      <c r="AD28" s="105">
        <v>11</v>
      </c>
      <c r="AE28" s="105">
        <v>11</v>
      </c>
      <c r="AF28" s="105">
        <v>11</v>
      </c>
      <c r="AG28" s="126">
        <v>13</v>
      </c>
      <c r="AH28" s="20">
        <f t="shared" si="2"/>
        <v>11</v>
      </c>
      <c r="AI28" s="19">
        <f t="shared" si="3"/>
        <v>11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204</v>
      </c>
      <c r="B29" s="105">
        <v>12</v>
      </c>
      <c r="C29" s="105">
        <v>12</v>
      </c>
      <c r="D29" s="105">
        <v>12</v>
      </c>
      <c r="E29" s="105">
        <v>12</v>
      </c>
      <c r="F29" s="105">
        <v>12</v>
      </c>
      <c r="G29" s="105">
        <v>12</v>
      </c>
      <c r="H29" s="105">
        <v>12</v>
      </c>
      <c r="I29" s="105">
        <v>12</v>
      </c>
      <c r="J29" s="105">
        <v>12</v>
      </c>
      <c r="K29" s="105">
        <v>12</v>
      </c>
      <c r="L29" s="105">
        <v>12</v>
      </c>
      <c r="M29" s="105">
        <v>12</v>
      </c>
      <c r="N29" s="105">
        <v>12</v>
      </c>
      <c r="O29" s="105">
        <v>12</v>
      </c>
      <c r="P29" s="105">
        <v>12</v>
      </c>
      <c r="Q29" s="105">
        <v>12</v>
      </c>
      <c r="R29" s="105">
        <v>12</v>
      </c>
      <c r="S29" s="105">
        <v>12</v>
      </c>
      <c r="T29" s="105">
        <v>12</v>
      </c>
      <c r="U29" s="105">
        <v>12</v>
      </c>
      <c r="V29" s="105">
        <v>12</v>
      </c>
      <c r="W29" s="105">
        <v>12</v>
      </c>
      <c r="X29" s="105">
        <v>12</v>
      </c>
      <c r="Y29" s="105">
        <v>12</v>
      </c>
      <c r="Z29" s="105">
        <v>12</v>
      </c>
      <c r="AA29" s="105">
        <v>12</v>
      </c>
      <c r="AB29" s="105">
        <v>12</v>
      </c>
      <c r="AC29" s="105">
        <v>12</v>
      </c>
      <c r="AD29" s="105">
        <v>12</v>
      </c>
      <c r="AE29" s="105">
        <v>12</v>
      </c>
      <c r="AF29" s="105">
        <v>12</v>
      </c>
      <c r="AG29" s="126">
        <v>12</v>
      </c>
      <c r="AH29" s="20">
        <f t="shared" si="2"/>
        <v>12</v>
      </c>
      <c r="AI29" s="19">
        <f t="shared" si="3"/>
        <v>12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203</v>
      </c>
      <c r="B30" s="105">
        <v>2</v>
      </c>
      <c r="C30" s="105">
        <v>2</v>
      </c>
      <c r="D30" s="105">
        <v>2</v>
      </c>
      <c r="E30" s="105">
        <v>2</v>
      </c>
      <c r="F30" s="105">
        <v>2</v>
      </c>
      <c r="G30" s="105">
        <v>2</v>
      </c>
      <c r="H30" s="105">
        <v>2</v>
      </c>
      <c r="I30" s="105">
        <v>2</v>
      </c>
      <c r="J30" s="105">
        <v>2</v>
      </c>
      <c r="K30" s="105">
        <v>2</v>
      </c>
      <c r="L30" s="105">
        <v>2</v>
      </c>
      <c r="M30" s="105">
        <v>2</v>
      </c>
      <c r="N30" s="105">
        <v>2</v>
      </c>
      <c r="O30" s="105">
        <v>2</v>
      </c>
      <c r="P30" s="105">
        <v>2</v>
      </c>
      <c r="Q30" s="105">
        <v>2</v>
      </c>
      <c r="R30" s="105">
        <v>2</v>
      </c>
      <c r="S30" s="105">
        <v>2</v>
      </c>
      <c r="T30" s="105">
        <v>2</v>
      </c>
      <c r="U30" s="105">
        <v>2</v>
      </c>
      <c r="V30" s="105">
        <v>2</v>
      </c>
      <c r="W30" s="105">
        <v>2</v>
      </c>
      <c r="X30" s="105">
        <v>2</v>
      </c>
      <c r="Y30" s="105">
        <v>2</v>
      </c>
      <c r="Z30" s="105">
        <v>2</v>
      </c>
      <c r="AA30" s="105">
        <v>2</v>
      </c>
      <c r="AB30" s="105">
        <v>2</v>
      </c>
      <c r="AC30" s="105">
        <v>2</v>
      </c>
      <c r="AD30" s="105">
        <v>2</v>
      </c>
      <c r="AE30" s="105">
        <v>2</v>
      </c>
      <c r="AF30" s="105">
        <v>2</v>
      </c>
      <c r="AG30" s="126">
        <v>12</v>
      </c>
      <c r="AH30" s="20">
        <f t="shared" si="2"/>
        <v>2</v>
      </c>
      <c r="AI30" s="19">
        <f t="shared" si="3"/>
        <v>2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ht="14.25" customHeight="1" x14ac:dyDescent="0.25">
      <c r="A31" s="97" t="s">
        <v>202</v>
      </c>
      <c r="B31" s="105">
        <v>12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>
        <v>12</v>
      </c>
      <c r="AE31" s="105">
        <v>12</v>
      </c>
      <c r="AF31" s="105">
        <v>12</v>
      </c>
      <c r="AG31" s="125">
        <v>22</v>
      </c>
      <c r="AH31" s="20">
        <f t="shared" si="2"/>
        <v>12</v>
      </c>
      <c r="AI31" s="19">
        <f t="shared" si="3"/>
        <v>12</v>
      </c>
      <c r="AK31" s="41"/>
      <c r="AL31" s="124"/>
      <c r="AM31" s="121"/>
      <c r="AN31" s="121"/>
      <c r="AO31" s="121"/>
      <c r="AP31" s="121"/>
      <c r="AQ31" s="123"/>
      <c r="AR31" s="122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ht="14.25" customHeight="1" x14ac:dyDescent="0.25">
      <c r="A32" s="97" t="s">
        <v>201</v>
      </c>
      <c r="B32" s="105">
        <v>11</v>
      </c>
      <c r="C32" s="105">
        <v>11</v>
      </c>
      <c r="D32" s="105">
        <v>11</v>
      </c>
      <c r="E32" s="105">
        <v>11</v>
      </c>
      <c r="F32" s="105">
        <v>11</v>
      </c>
      <c r="G32" s="105">
        <v>11</v>
      </c>
      <c r="H32" s="105">
        <v>11</v>
      </c>
      <c r="I32" s="105">
        <v>11</v>
      </c>
      <c r="J32" s="105">
        <v>11</v>
      </c>
      <c r="K32" s="105">
        <v>11</v>
      </c>
      <c r="L32" s="105">
        <v>11</v>
      </c>
      <c r="M32" s="105">
        <v>11</v>
      </c>
      <c r="N32" s="105">
        <v>11</v>
      </c>
      <c r="O32" s="105">
        <v>11</v>
      </c>
      <c r="P32" s="105">
        <v>11</v>
      </c>
      <c r="Q32" s="105">
        <v>11</v>
      </c>
      <c r="R32" s="105">
        <v>11</v>
      </c>
      <c r="S32" s="105">
        <v>11</v>
      </c>
      <c r="T32" s="105">
        <v>11</v>
      </c>
      <c r="U32" s="105">
        <v>11</v>
      </c>
      <c r="V32" s="105">
        <v>11</v>
      </c>
      <c r="W32" s="105">
        <v>11</v>
      </c>
      <c r="X32" s="105">
        <v>11</v>
      </c>
      <c r="Y32" s="105">
        <v>11</v>
      </c>
      <c r="Z32" s="105">
        <v>11</v>
      </c>
      <c r="AA32" s="105">
        <v>11</v>
      </c>
      <c r="AB32" s="105">
        <v>11</v>
      </c>
      <c r="AC32" s="105">
        <v>11</v>
      </c>
      <c r="AD32" s="105">
        <v>11</v>
      </c>
      <c r="AE32" s="105">
        <v>11</v>
      </c>
      <c r="AF32" s="105">
        <v>11</v>
      </c>
      <c r="AG32" s="96">
        <v>11.88</v>
      </c>
      <c r="AH32" s="20">
        <f t="shared" si="2"/>
        <v>11</v>
      </c>
      <c r="AI32" s="19">
        <f t="shared" si="3"/>
        <v>11</v>
      </c>
      <c r="AK32" s="41"/>
      <c r="AL32" s="124"/>
      <c r="AM32" s="121"/>
      <c r="AN32" s="121"/>
      <c r="AO32" s="121"/>
      <c r="AP32" s="121"/>
      <c r="AQ32" s="123"/>
      <c r="AR32" s="122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5" t="s">
        <v>200</v>
      </c>
      <c r="B33" s="105">
        <v>11</v>
      </c>
      <c r="C33" s="105">
        <v>11</v>
      </c>
      <c r="D33" s="105">
        <v>11</v>
      </c>
      <c r="E33" s="105">
        <v>11</v>
      </c>
      <c r="F33" s="105">
        <v>11</v>
      </c>
      <c r="G33" s="105">
        <v>11</v>
      </c>
      <c r="H33" s="105">
        <v>11</v>
      </c>
      <c r="I33" s="105">
        <v>11</v>
      </c>
      <c r="J33" s="105">
        <v>11</v>
      </c>
      <c r="K33" s="105">
        <v>11</v>
      </c>
      <c r="L33" s="105">
        <v>11</v>
      </c>
      <c r="M33" s="105">
        <v>11</v>
      </c>
      <c r="N33" s="105">
        <v>11</v>
      </c>
      <c r="O33" s="105">
        <v>11</v>
      </c>
      <c r="P33" s="105">
        <v>11</v>
      </c>
      <c r="Q33" s="105">
        <v>11</v>
      </c>
      <c r="R33" s="105">
        <v>11</v>
      </c>
      <c r="S33" s="105">
        <v>11</v>
      </c>
      <c r="T33" s="105">
        <v>11</v>
      </c>
      <c r="U33" s="105">
        <v>11</v>
      </c>
      <c r="V33" s="105">
        <v>11</v>
      </c>
      <c r="W33" s="105">
        <v>11</v>
      </c>
      <c r="X33" s="105">
        <v>11</v>
      </c>
      <c r="Y33" s="105">
        <v>11</v>
      </c>
      <c r="Z33" s="105">
        <v>11</v>
      </c>
      <c r="AA33" s="105">
        <v>11</v>
      </c>
      <c r="AB33" s="105">
        <v>11</v>
      </c>
      <c r="AC33" s="105">
        <v>11</v>
      </c>
      <c r="AD33" s="105">
        <v>11</v>
      </c>
      <c r="AE33" s="105">
        <v>11</v>
      </c>
      <c r="AF33" s="105">
        <v>11</v>
      </c>
      <c r="AG33" s="94">
        <v>11</v>
      </c>
      <c r="AH33" s="20">
        <f t="shared" si="2"/>
        <v>11</v>
      </c>
      <c r="AI33" s="19">
        <f t="shared" si="3"/>
        <v>11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5" t="s">
        <v>199</v>
      </c>
      <c r="B34" s="105">
        <v>9.5</v>
      </c>
      <c r="C34" s="105">
        <v>9.5</v>
      </c>
      <c r="D34" s="105">
        <v>9.5</v>
      </c>
      <c r="E34" s="105">
        <v>9.5</v>
      </c>
      <c r="F34" s="105">
        <v>9.5</v>
      </c>
      <c r="G34" s="105">
        <v>9.5</v>
      </c>
      <c r="H34" s="105">
        <v>9.5</v>
      </c>
      <c r="I34" s="105">
        <v>9.5</v>
      </c>
      <c r="J34" s="105">
        <v>9.5</v>
      </c>
      <c r="K34" s="105">
        <v>9.5</v>
      </c>
      <c r="L34" s="105">
        <v>9.5</v>
      </c>
      <c r="M34" s="105">
        <v>9.5</v>
      </c>
      <c r="N34" s="105">
        <v>9.5</v>
      </c>
      <c r="O34" s="105">
        <v>9.5</v>
      </c>
      <c r="P34" s="105">
        <v>9.5</v>
      </c>
      <c r="Q34" s="105">
        <v>9.5</v>
      </c>
      <c r="R34" s="105">
        <v>9.5</v>
      </c>
      <c r="S34" s="105">
        <v>9.5</v>
      </c>
      <c r="T34" s="105">
        <v>9.5</v>
      </c>
      <c r="U34" s="105">
        <v>9.5</v>
      </c>
      <c r="V34" s="105">
        <v>9.5</v>
      </c>
      <c r="W34" s="105">
        <v>9.5</v>
      </c>
      <c r="X34" s="105">
        <v>9.5</v>
      </c>
      <c r="Y34" s="105">
        <v>9.5</v>
      </c>
      <c r="Z34" s="105">
        <v>9.5</v>
      </c>
      <c r="AA34" s="105">
        <v>9.5</v>
      </c>
      <c r="AB34" s="105">
        <v>0</v>
      </c>
      <c r="AC34" s="105">
        <v>9.5</v>
      </c>
      <c r="AD34" s="105">
        <v>9.5</v>
      </c>
      <c r="AE34" s="105">
        <v>9.5</v>
      </c>
      <c r="AF34" s="105">
        <v>9.5</v>
      </c>
      <c r="AG34" s="94">
        <v>10</v>
      </c>
      <c r="AH34" s="20">
        <f t="shared" si="2"/>
        <v>9.5</v>
      </c>
      <c r="AI34" s="19">
        <f t="shared" si="3"/>
        <v>0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x14ac:dyDescent="0.25">
      <c r="A35" s="95" t="s">
        <v>198</v>
      </c>
      <c r="B35" s="105">
        <v>0</v>
      </c>
      <c r="C35" s="105">
        <v>0</v>
      </c>
      <c r="D35" s="105">
        <v>0</v>
      </c>
      <c r="E35" s="105">
        <v>0</v>
      </c>
      <c r="F35" s="105">
        <v>0</v>
      </c>
      <c r="G35" s="105">
        <v>0</v>
      </c>
      <c r="H35" s="105">
        <v>0</v>
      </c>
      <c r="I35" s="105">
        <v>0</v>
      </c>
      <c r="J35" s="105">
        <v>0</v>
      </c>
      <c r="K35" s="105">
        <v>0</v>
      </c>
      <c r="L35" s="105">
        <v>0</v>
      </c>
      <c r="M35" s="105">
        <v>2</v>
      </c>
      <c r="N35" s="105">
        <v>2</v>
      </c>
      <c r="O35" s="105">
        <v>2</v>
      </c>
      <c r="P35" s="105">
        <v>2</v>
      </c>
      <c r="Q35" s="105">
        <v>2</v>
      </c>
      <c r="R35" s="105">
        <v>2</v>
      </c>
      <c r="S35" s="105">
        <v>2</v>
      </c>
      <c r="T35" s="105">
        <v>2</v>
      </c>
      <c r="U35" s="105">
        <v>2</v>
      </c>
      <c r="V35" s="105">
        <v>2</v>
      </c>
      <c r="W35" s="105">
        <v>2</v>
      </c>
      <c r="X35" s="105">
        <v>2</v>
      </c>
      <c r="Y35" s="105">
        <v>2</v>
      </c>
      <c r="Z35" s="105">
        <v>2</v>
      </c>
      <c r="AA35" s="105">
        <v>2</v>
      </c>
      <c r="AB35" s="105">
        <v>0</v>
      </c>
      <c r="AC35" s="105">
        <v>0</v>
      </c>
      <c r="AD35" s="105">
        <v>0</v>
      </c>
      <c r="AE35" s="105">
        <v>0</v>
      </c>
      <c r="AF35" s="105">
        <v>0</v>
      </c>
      <c r="AG35" s="94">
        <v>10</v>
      </c>
      <c r="AH35" s="20">
        <f t="shared" si="2"/>
        <v>2</v>
      </c>
      <c r="AI35" s="19">
        <f t="shared" si="3"/>
        <v>0</v>
      </c>
      <c r="AK35" s="41"/>
      <c r="AL35" s="124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x14ac:dyDescent="0.25">
      <c r="A36" s="111" t="s">
        <v>197</v>
      </c>
      <c r="B36" s="113">
        <v>300</v>
      </c>
      <c r="C36" s="113">
        <v>300</v>
      </c>
      <c r="D36" s="113">
        <v>300</v>
      </c>
      <c r="E36" s="113">
        <v>300</v>
      </c>
      <c r="F36" s="113">
        <v>300</v>
      </c>
      <c r="G36" s="113">
        <v>300</v>
      </c>
      <c r="H36" s="113">
        <v>300</v>
      </c>
      <c r="I36" s="113">
        <v>300</v>
      </c>
      <c r="J36" s="113">
        <v>300</v>
      </c>
      <c r="K36" s="113">
        <v>300</v>
      </c>
      <c r="L36" s="113">
        <v>300</v>
      </c>
      <c r="M36" s="113">
        <v>300</v>
      </c>
      <c r="N36" s="113">
        <v>300</v>
      </c>
      <c r="O36" s="113">
        <v>300</v>
      </c>
      <c r="P36" s="113">
        <v>300</v>
      </c>
      <c r="Q36" s="113">
        <v>300</v>
      </c>
      <c r="R36" s="113">
        <v>300</v>
      </c>
      <c r="S36" s="113">
        <v>300</v>
      </c>
      <c r="T36" s="113">
        <v>300</v>
      </c>
      <c r="U36" s="113">
        <v>300</v>
      </c>
      <c r="V36" s="113">
        <v>300</v>
      </c>
      <c r="W36" s="113">
        <v>300</v>
      </c>
      <c r="X36" s="113">
        <v>300</v>
      </c>
      <c r="Y36" s="113">
        <v>300</v>
      </c>
      <c r="Z36" s="113">
        <v>300</v>
      </c>
      <c r="AA36" s="113">
        <v>300</v>
      </c>
      <c r="AB36" s="113">
        <v>300</v>
      </c>
      <c r="AC36" s="113">
        <v>300</v>
      </c>
      <c r="AD36" s="113">
        <v>300</v>
      </c>
      <c r="AE36" s="113">
        <v>300</v>
      </c>
      <c r="AF36" s="113">
        <v>300</v>
      </c>
      <c r="AG36" s="94">
        <v>85</v>
      </c>
      <c r="AH36" s="20">
        <f t="shared" si="2"/>
        <v>300</v>
      </c>
      <c r="AI36" s="19">
        <f t="shared" si="3"/>
        <v>300</v>
      </c>
      <c r="AK36" s="41"/>
    </row>
    <row r="37" spans="1:88" ht="15.75" thickBot="1" x14ac:dyDescent="0.3">
      <c r="A37" s="120" t="s">
        <v>196</v>
      </c>
      <c r="B37" s="119">
        <f>70.3+99.3</f>
        <v>169.6</v>
      </c>
      <c r="C37" s="119">
        <f>70.1+99.4</f>
        <v>169.5</v>
      </c>
      <c r="D37" s="119">
        <f>70.2+99.5</f>
        <v>169.7</v>
      </c>
      <c r="E37" s="119">
        <f>70.6+99.5</f>
        <v>170.1</v>
      </c>
      <c r="F37" s="119">
        <f>70.5+100.6</f>
        <v>171.1</v>
      </c>
      <c r="G37" s="119">
        <f>70.3+99.7</f>
        <v>170</v>
      </c>
      <c r="H37" s="119">
        <f>70+100.6</f>
        <v>170.6</v>
      </c>
      <c r="I37" s="119">
        <f>70+99.7</f>
        <v>169.7</v>
      </c>
      <c r="J37" s="119">
        <f>69.8+98.9</f>
        <v>168.7</v>
      </c>
      <c r="K37" s="119">
        <f>69.7+98.4</f>
        <v>168.10000000000002</v>
      </c>
      <c r="L37" s="113">
        <f>69.5+97.1</f>
        <v>166.6</v>
      </c>
      <c r="M37" s="113">
        <f>98+69.3</f>
        <v>167.3</v>
      </c>
      <c r="N37" s="113">
        <f>97.4+69.4</f>
        <v>166.8</v>
      </c>
      <c r="O37" s="113">
        <f>87.9+69.6</f>
        <v>157.5</v>
      </c>
      <c r="P37" s="113">
        <f>84.4+69.9</f>
        <v>154.30000000000001</v>
      </c>
      <c r="Q37" s="113">
        <f>87.6+70.2</f>
        <v>157.80000000000001</v>
      </c>
      <c r="R37" s="113">
        <f>87.4+71</f>
        <v>158.4</v>
      </c>
      <c r="S37" s="113">
        <f>87.4+71</f>
        <v>158.4</v>
      </c>
      <c r="T37" s="113">
        <f>87.4+71</f>
        <v>158.4</v>
      </c>
      <c r="U37" s="119">
        <f>71+90</f>
        <v>161</v>
      </c>
      <c r="V37" s="119">
        <f>71+90</f>
        <v>161</v>
      </c>
      <c r="W37" s="119">
        <f>71+90</f>
        <v>161</v>
      </c>
      <c r="X37" s="119">
        <f>71+90</f>
        <v>161</v>
      </c>
      <c r="Y37" s="119">
        <v>158</v>
      </c>
      <c r="Z37" s="119">
        <v>158</v>
      </c>
      <c r="AA37" s="119">
        <v>158</v>
      </c>
      <c r="AB37" s="119">
        <f>98.8+69.4</f>
        <v>168.2</v>
      </c>
      <c r="AC37" s="119">
        <f>98.9+69.4</f>
        <v>168.3</v>
      </c>
      <c r="AD37" s="119">
        <f>99+69.4</f>
        <v>168.4</v>
      </c>
      <c r="AE37" s="119">
        <v>167</v>
      </c>
      <c r="AF37" s="119">
        <v>170</v>
      </c>
      <c r="AG37" s="94">
        <v>240</v>
      </c>
      <c r="AH37" s="20">
        <f t="shared" si="2"/>
        <v>171.1</v>
      </c>
      <c r="AI37" s="19">
        <f t="shared" si="3"/>
        <v>154.30000000000001</v>
      </c>
      <c r="AK37" s="41"/>
    </row>
    <row r="38" spans="1:88" ht="15.75" thickBot="1" x14ac:dyDescent="0.3">
      <c r="A38" s="118" t="s">
        <v>195</v>
      </c>
      <c r="B38" s="86">
        <f t="shared" ref="B38:AG38" si="4">SUM(B11:B36)</f>
        <v>782.2</v>
      </c>
      <c r="C38" s="86">
        <f t="shared" si="4"/>
        <v>782.2</v>
      </c>
      <c r="D38" s="86">
        <f t="shared" si="4"/>
        <v>782.2</v>
      </c>
      <c r="E38" s="86">
        <f t="shared" si="4"/>
        <v>782.2</v>
      </c>
      <c r="F38" s="86">
        <f t="shared" si="4"/>
        <v>779.7</v>
      </c>
      <c r="G38" s="86">
        <f t="shared" si="4"/>
        <v>745.1</v>
      </c>
      <c r="H38" s="86">
        <f t="shared" si="4"/>
        <v>750.1</v>
      </c>
      <c r="I38" s="86">
        <f t="shared" si="4"/>
        <v>767.6</v>
      </c>
      <c r="J38" s="86">
        <f t="shared" si="4"/>
        <v>792.4</v>
      </c>
      <c r="K38" s="86">
        <f t="shared" si="4"/>
        <v>832.4</v>
      </c>
      <c r="L38" s="86">
        <f t="shared" si="4"/>
        <v>840.4</v>
      </c>
      <c r="M38" s="86">
        <f t="shared" si="4"/>
        <v>842.4</v>
      </c>
      <c r="N38" s="86">
        <f t="shared" si="4"/>
        <v>812.4</v>
      </c>
      <c r="O38" s="86">
        <f t="shared" si="4"/>
        <v>812.4</v>
      </c>
      <c r="P38" s="86">
        <f t="shared" si="4"/>
        <v>801.4</v>
      </c>
      <c r="Q38" s="86">
        <f t="shared" si="4"/>
        <v>810.8</v>
      </c>
      <c r="R38" s="86">
        <f t="shared" si="4"/>
        <v>798.3</v>
      </c>
      <c r="S38" s="86">
        <f t="shared" si="4"/>
        <v>787</v>
      </c>
      <c r="T38" s="86">
        <f t="shared" si="4"/>
        <v>787</v>
      </c>
      <c r="U38" s="86">
        <f t="shared" si="4"/>
        <v>787</v>
      </c>
      <c r="V38" s="86">
        <f t="shared" si="4"/>
        <v>787</v>
      </c>
      <c r="W38" s="86">
        <f t="shared" si="4"/>
        <v>777</v>
      </c>
      <c r="X38" s="86">
        <f t="shared" si="4"/>
        <v>774</v>
      </c>
      <c r="Y38" s="86">
        <f t="shared" si="4"/>
        <v>789</v>
      </c>
      <c r="Z38" s="86">
        <f t="shared" si="4"/>
        <v>789</v>
      </c>
      <c r="AA38" s="86">
        <f t="shared" si="4"/>
        <v>789</v>
      </c>
      <c r="AB38" s="86">
        <f t="shared" si="4"/>
        <v>735.4</v>
      </c>
      <c r="AC38" s="86">
        <f t="shared" si="4"/>
        <v>772.9</v>
      </c>
      <c r="AD38" s="86">
        <f t="shared" si="4"/>
        <v>816.9</v>
      </c>
      <c r="AE38" s="86">
        <f t="shared" si="4"/>
        <v>783.5</v>
      </c>
      <c r="AF38" s="86">
        <f t="shared" si="4"/>
        <v>780.7</v>
      </c>
      <c r="AG38" s="101">
        <f t="shared" si="4"/>
        <v>665.78</v>
      </c>
      <c r="AH38" s="20">
        <f t="shared" si="2"/>
        <v>842.4</v>
      </c>
      <c r="AI38" s="19">
        <f t="shared" si="3"/>
        <v>735.4</v>
      </c>
      <c r="AK38" s="41"/>
    </row>
    <row r="39" spans="1:88" x14ac:dyDescent="0.25">
      <c r="A39" s="117" t="s">
        <v>194</v>
      </c>
      <c r="B39" s="105">
        <v>456</v>
      </c>
      <c r="C39" s="105">
        <v>456</v>
      </c>
      <c r="D39" s="105">
        <v>456</v>
      </c>
      <c r="E39" s="105">
        <v>456</v>
      </c>
      <c r="F39" s="105">
        <v>456</v>
      </c>
      <c r="G39" s="105">
        <v>456</v>
      </c>
      <c r="H39" s="105">
        <v>456</v>
      </c>
      <c r="I39" s="105">
        <v>456</v>
      </c>
      <c r="J39" s="105">
        <v>456</v>
      </c>
      <c r="K39" s="105">
        <v>456</v>
      </c>
      <c r="L39" s="105">
        <v>456</v>
      </c>
      <c r="M39" s="105">
        <v>456</v>
      </c>
      <c r="N39" s="105">
        <v>456</v>
      </c>
      <c r="O39" s="105">
        <v>456</v>
      </c>
      <c r="P39" s="105">
        <v>456</v>
      </c>
      <c r="Q39" s="105">
        <v>456</v>
      </c>
      <c r="R39" s="105">
        <v>456</v>
      </c>
      <c r="S39" s="105">
        <v>456</v>
      </c>
      <c r="T39" s="105">
        <v>456</v>
      </c>
      <c r="U39" s="105">
        <v>456</v>
      </c>
      <c r="V39" s="105">
        <v>456</v>
      </c>
      <c r="W39" s="105">
        <v>456</v>
      </c>
      <c r="X39" s="105">
        <v>456</v>
      </c>
      <c r="Y39" s="105">
        <v>456</v>
      </c>
      <c r="Z39" s="105">
        <v>456</v>
      </c>
      <c r="AA39" s="105">
        <v>456</v>
      </c>
      <c r="AB39" s="105">
        <v>456</v>
      </c>
      <c r="AC39" s="105">
        <v>456</v>
      </c>
      <c r="AD39" s="105">
        <v>456</v>
      </c>
      <c r="AE39" s="105">
        <v>456</v>
      </c>
      <c r="AF39" s="105">
        <v>456</v>
      </c>
      <c r="AG39" s="96">
        <v>456</v>
      </c>
      <c r="AH39" s="20">
        <f t="shared" si="2"/>
        <v>456</v>
      </c>
      <c r="AI39" s="19">
        <f t="shared" si="3"/>
        <v>456</v>
      </c>
      <c r="AK39" s="41"/>
    </row>
    <row r="40" spans="1:88" x14ac:dyDescent="0.25">
      <c r="A40" s="116" t="s">
        <v>193</v>
      </c>
      <c r="B40" s="80">
        <v>60</v>
      </c>
      <c r="C40" s="80">
        <v>60</v>
      </c>
      <c r="D40" s="80">
        <v>60</v>
      </c>
      <c r="E40" s="80">
        <v>60</v>
      </c>
      <c r="F40" s="80">
        <v>60</v>
      </c>
      <c r="G40" s="80">
        <v>60</v>
      </c>
      <c r="H40" s="80">
        <v>60</v>
      </c>
      <c r="I40" s="80">
        <v>60</v>
      </c>
      <c r="J40" s="80">
        <v>60</v>
      </c>
      <c r="K40" s="80">
        <v>60</v>
      </c>
      <c r="L40" s="80">
        <v>60</v>
      </c>
      <c r="M40" s="80">
        <v>60</v>
      </c>
      <c r="N40" s="80">
        <v>60</v>
      </c>
      <c r="O40" s="80">
        <v>60</v>
      </c>
      <c r="P40" s="80">
        <v>60</v>
      </c>
      <c r="Q40" s="80">
        <v>60</v>
      </c>
      <c r="R40" s="80">
        <v>60</v>
      </c>
      <c r="S40" s="80">
        <v>60</v>
      </c>
      <c r="T40" s="80">
        <v>60</v>
      </c>
      <c r="U40" s="80">
        <v>60</v>
      </c>
      <c r="V40" s="80">
        <v>60</v>
      </c>
      <c r="W40" s="80">
        <v>60</v>
      </c>
      <c r="X40" s="80">
        <v>60</v>
      </c>
      <c r="Y40" s="80">
        <v>60</v>
      </c>
      <c r="Z40" s="80">
        <v>60</v>
      </c>
      <c r="AA40" s="80">
        <v>60</v>
      </c>
      <c r="AB40" s="80">
        <v>60</v>
      </c>
      <c r="AC40" s="80">
        <v>60</v>
      </c>
      <c r="AD40" s="80">
        <v>60</v>
      </c>
      <c r="AE40" s="80">
        <v>60</v>
      </c>
      <c r="AF40" s="80">
        <v>60</v>
      </c>
      <c r="AG40" s="94">
        <v>60</v>
      </c>
      <c r="AH40" s="20">
        <f t="shared" si="2"/>
        <v>60</v>
      </c>
      <c r="AI40" s="19">
        <f t="shared" si="3"/>
        <v>60</v>
      </c>
      <c r="AK40" s="41"/>
    </row>
    <row r="41" spans="1:88" ht="15.75" thickBot="1" x14ac:dyDescent="0.3">
      <c r="A41" s="115" t="s">
        <v>192</v>
      </c>
      <c r="B41" s="107">
        <v>22</v>
      </c>
      <c r="C41" s="107">
        <v>22</v>
      </c>
      <c r="D41" s="107">
        <v>22</v>
      </c>
      <c r="E41" s="107">
        <v>22</v>
      </c>
      <c r="F41" s="107">
        <v>22</v>
      </c>
      <c r="G41" s="107">
        <v>22</v>
      </c>
      <c r="H41" s="107">
        <v>22</v>
      </c>
      <c r="I41" s="107">
        <v>22</v>
      </c>
      <c r="J41" s="107">
        <v>22</v>
      </c>
      <c r="K41" s="107">
        <v>22</v>
      </c>
      <c r="L41" s="107">
        <v>22</v>
      </c>
      <c r="M41" s="107">
        <v>22</v>
      </c>
      <c r="N41" s="107">
        <v>22</v>
      </c>
      <c r="O41" s="107">
        <v>22</v>
      </c>
      <c r="P41" s="107">
        <v>22</v>
      </c>
      <c r="Q41" s="107">
        <v>22</v>
      </c>
      <c r="R41" s="107">
        <v>22</v>
      </c>
      <c r="S41" s="107">
        <v>22</v>
      </c>
      <c r="T41" s="107">
        <v>22</v>
      </c>
      <c r="U41" s="107">
        <v>22</v>
      </c>
      <c r="V41" s="107">
        <v>22</v>
      </c>
      <c r="W41" s="107">
        <v>22</v>
      </c>
      <c r="X41" s="107">
        <v>22</v>
      </c>
      <c r="Y41" s="107">
        <v>22</v>
      </c>
      <c r="Z41" s="107">
        <v>22</v>
      </c>
      <c r="AA41" s="107">
        <v>22</v>
      </c>
      <c r="AB41" s="107">
        <v>22</v>
      </c>
      <c r="AC41" s="107">
        <v>22</v>
      </c>
      <c r="AD41" s="107">
        <v>22</v>
      </c>
      <c r="AE41" s="107">
        <v>22</v>
      </c>
      <c r="AF41" s="107">
        <v>22</v>
      </c>
      <c r="AG41" s="106">
        <v>22.1</v>
      </c>
      <c r="AH41" s="20">
        <f t="shared" si="2"/>
        <v>22</v>
      </c>
      <c r="AI41" s="19">
        <f t="shared" si="3"/>
        <v>22</v>
      </c>
      <c r="AK41" s="41"/>
    </row>
    <row r="42" spans="1:88" ht="15.75" thickBot="1" x14ac:dyDescent="0.3">
      <c r="A42" s="114" t="s">
        <v>191</v>
      </c>
      <c r="B42" s="86">
        <f t="shared" ref="B42:AG42" si="5">SUM(B39:B41)</f>
        <v>538</v>
      </c>
      <c r="C42" s="86">
        <f t="shared" si="5"/>
        <v>538</v>
      </c>
      <c r="D42" s="86">
        <f t="shared" si="5"/>
        <v>538</v>
      </c>
      <c r="E42" s="86">
        <f t="shared" si="5"/>
        <v>538</v>
      </c>
      <c r="F42" s="86">
        <f t="shared" si="5"/>
        <v>538</v>
      </c>
      <c r="G42" s="86">
        <f t="shared" si="5"/>
        <v>538</v>
      </c>
      <c r="H42" s="86">
        <f t="shared" si="5"/>
        <v>538</v>
      </c>
      <c r="I42" s="86">
        <f t="shared" si="5"/>
        <v>538</v>
      </c>
      <c r="J42" s="86">
        <f t="shared" si="5"/>
        <v>538</v>
      </c>
      <c r="K42" s="86">
        <f t="shared" si="5"/>
        <v>538</v>
      </c>
      <c r="L42" s="86">
        <f t="shared" si="5"/>
        <v>538</v>
      </c>
      <c r="M42" s="86">
        <f t="shared" si="5"/>
        <v>538</v>
      </c>
      <c r="N42" s="86">
        <f t="shared" si="5"/>
        <v>538</v>
      </c>
      <c r="O42" s="86">
        <f t="shared" si="5"/>
        <v>538</v>
      </c>
      <c r="P42" s="86">
        <f t="shared" si="5"/>
        <v>538</v>
      </c>
      <c r="Q42" s="86">
        <f t="shared" si="5"/>
        <v>538</v>
      </c>
      <c r="R42" s="86">
        <f t="shared" si="5"/>
        <v>538</v>
      </c>
      <c r="S42" s="86">
        <f t="shared" si="5"/>
        <v>538</v>
      </c>
      <c r="T42" s="86">
        <f t="shared" si="5"/>
        <v>538</v>
      </c>
      <c r="U42" s="86">
        <f t="shared" si="5"/>
        <v>538</v>
      </c>
      <c r="V42" s="86">
        <f t="shared" si="5"/>
        <v>538</v>
      </c>
      <c r="W42" s="86">
        <f t="shared" si="5"/>
        <v>538</v>
      </c>
      <c r="X42" s="86">
        <f t="shared" si="5"/>
        <v>538</v>
      </c>
      <c r="Y42" s="86">
        <f t="shared" si="5"/>
        <v>538</v>
      </c>
      <c r="Z42" s="86">
        <f t="shared" si="5"/>
        <v>538</v>
      </c>
      <c r="AA42" s="86">
        <f t="shared" si="5"/>
        <v>538</v>
      </c>
      <c r="AB42" s="86">
        <f t="shared" si="5"/>
        <v>538</v>
      </c>
      <c r="AC42" s="86">
        <f t="shared" si="5"/>
        <v>538</v>
      </c>
      <c r="AD42" s="86">
        <f t="shared" si="5"/>
        <v>538</v>
      </c>
      <c r="AE42" s="86">
        <f t="shared" si="5"/>
        <v>538</v>
      </c>
      <c r="AF42" s="86">
        <f t="shared" si="5"/>
        <v>538</v>
      </c>
      <c r="AG42" s="101">
        <f t="shared" si="5"/>
        <v>538.1</v>
      </c>
      <c r="AH42" s="20">
        <f t="shared" si="2"/>
        <v>538</v>
      </c>
      <c r="AI42" s="19">
        <f t="shared" si="3"/>
        <v>538</v>
      </c>
      <c r="AK42" s="41"/>
    </row>
    <row r="43" spans="1:88" x14ac:dyDescent="0.25">
      <c r="A43" s="97" t="s">
        <v>190</v>
      </c>
      <c r="B43" s="105">
        <v>142.5</v>
      </c>
      <c r="C43" s="105">
        <v>131.4</v>
      </c>
      <c r="D43" s="105">
        <v>111.2</v>
      </c>
      <c r="E43" s="105">
        <v>106.2</v>
      </c>
      <c r="F43" s="105">
        <v>111.2</v>
      </c>
      <c r="G43" s="105">
        <v>141.69999999999999</v>
      </c>
      <c r="H43" s="105">
        <v>142.30000000000001</v>
      </c>
      <c r="I43" s="105">
        <v>142.1</v>
      </c>
      <c r="J43" s="105">
        <v>143</v>
      </c>
      <c r="K43" s="105">
        <v>142.6</v>
      </c>
      <c r="L43" s="105">
        <v>142.6</v>
      </c>
      <c r="M43" s="105">
        <v>141.80000000000001</v>
      </c>
      <c r="N43" s="105">
        <v>142.9</v>
      </c>
      <c r="O43" s="105">
        <v>142.9</v>
      </c>
      <c r="P43" s="105">
        <v>142.80000000000001</v>
      </c>
      <c r="Q43" s="105">
        <v>143</v>
      </c>
      <c r="R43" s="105">
        <v>143</v>
      </c>
      <c r="S43" s="105">
        <v>143</v>
      </c>
      <c r="T43" s="105">
        <v>143</v>
      </c>
      <c r="U43" s="105">
        <v>143</v>
      </c>
      <c r="V43" s="105">
        <v>143</v>
      </c>
      <c r="W43" s="105">
        <v>143</v>
      </c>
      <c r="X43" s="105">
        <v>91</v>
      </c>
      <c r="Y43" s="105">
        <v>143</v>
      </c>
      <c r="Z43" s="105">
        <v>143</v>
      </c>
      <c r="AA43" s="105">
        <v>143</v>
      </c>
      <c r="AB43" s="105">
        <v>84.6</v>
      </c>
      <c r="AC43" s="105">
        <v>143.4</v>
      </c>
      <c r="AD43" s="105">
        <v>143</v>
      </c>
      <c r="AE43" s="105">
        <v>143</v>
      </c>
      <c r="AF43" s="105">
        <v>143</v>
      </c>
      <c r="AG43" s="96">
        <v>144</v>
      </c>
      <c r="AH43" s="20">
        <f t="shared" si="2"/>
        <v>143.4</v>
      </c>
      <c r="AI43" s="19">
        <f t="shared" si="3"/>
        <v>84.6</v>
      </c>
      <c r="AK43" s="41"/>
    </row>
    <row r="44" spans="1:88" x14ac:dyDescent="0.25">
      <c r="A44" s="95" t="s">
        <v>189</v>
      </c>
      <c r="B44" s="80">
        <v>61.5</v>
      </c>
      <c r="C44" s="80">
        <v>61.7</v>
      </c>
      <c r="D44" s="80">
        <v>60.8</v>
      </c>
      <c r="E44" s="80">
        <v>63.1</v>
      </c>
      <c r="F44" s="80">
        <v>62.7</v>
      </c>
      <c r="G44" s="80">
        <v>0</v>
      </c>
      <c r="H44" s="80">
        <v>0</v>
      </c>
      <c r="I44" s="80">
        <v>0</v>
      </c>
      <c r="J44" s="80">
        <v>0</v>
      </c>
      <c r="K44" s="80">
        <v>0</v>
      </c>
      <c r="L44" s="80">
        <v>0</v>
      </c>
      <c r="M44" s="80">
        <v>0</v>
      </c>
      <c r="N44" s="105">
        <v>0</v>
      </c>
      <c r="O44" s="105">
        <v>0</v>
      </c>
      <c r="P44" s="105">
        <v>0</v>
      </c>
      <c r="Q44" s="105">
        <v>0</v>
      </c>
      <c r="R44" s="105">
        <v>0</v>
      </c>
      <c r="S44" s="105">
        <v>0</v>
      </c>
      <c r="T44" s="105">
        <v>0</v>
      </c>
      <c r="U44" s="105">
        <v>0</v>
      </c>
      <c r="V44" s="105">
        <v>54</v>
      </c>
      <c r="W44" s="105">
        <v>54</v>
      </c>
      <c r="X44" s="80">
        <v>70</v>
      </c>
      <c r="Y44" s="80">
        <v>71.599999999999994</v>
      </c>
      <c r="Z44" s="80">
        <v>71.599999999999994</v>
      </c>
      <c r="AA44" s="80">
        <v>71.599999999999994</v>
      </c>
      <c r="AB44" s="80">
        <v>69.7</v>
      </c>
      <c r="AC44" s="80">
        <v>70.599999999999994</v>
      </c>
      <c r="AD44" s="80">
        <v>71.5</v>
      </c>
      <c r="AE44" s="80">
        <v>71.5</v>
      </c>
      <c r="AF44" s="80">
        <v>71.5</v>
      </c>
      <c r="AG44" s="94">
        <v>70</v>
      </c>
      <c r="AH44" s="20">
        <f t="shared" si="2"/>
        <v>71.599999999999994</v>
      </c>
      <c r="AI44" s="19">
        <f t="shared" si="3"/>
        <v>0</v>
      </c>
      <c r="AK44" s="41"/>
    </row>
    <row r="45" spans="1:88" x14ac:dyDescent="0.25">
      <c r="A45" s="95" t="s">
        <v>188</v>
      </c>
      <c r="B45" s="80">
        <v>64.400000000000006</v>
      </c>
      <c r="C45" s="80">
        <v>62.3</v>
      </c>
      <c r="D45" s="80">
        <v>62.2</v>
      </c>
      <c r="E45" s="80">
        <v>50.4</v>
      </c>
      <c r="F45" s="80">
        <v>52</v>
      </c>
      <c r="G45" s="80">
        <v>64.8</v>
      </c>
      <c r="H45" s="80">
        <v>65.2</v>
      </c>
      <c r="I45" s="80">
        <v>65.099999999999994</v>
      </c>
      <c r="J45" s="80">
        <v>65.8</v>
      </c>
      <c r="K45" s="80">
        <v>64.8</v>
      </c>
      <c r="L45" s="80">
        <v>64.8</v>
      </c>
      <c r="M45" s="80">
        <v>64.900000000000006</v>
      </c>
      <c r="N45" s="105">
        <v>65.7</v>
      </c>
      <c r="O45" s="105">
        <v>64.599999999999994</v>
      </c>
      <c r="P45" s="105">
        <v>64.2</v>
      </c>
      <c r="Q45" s="105">
        <v>64.3</v>
      </c>
      <c r="R45" s="105">
        <v>64.099999999999994</v>
      </c>
      <c r="S45" s="105">
        <v>64.099999999999994</v>
      </c>
      <c r="T45" s="105">
        <v>64.099999999999994</v>
      </c>
      <c r="U45" s="105">
        <v>64.099999999999994</v>
      </c>
      <c r="V45" s="105">
        <v>64.099999999999994</v>
      </c>
      <c r="W45" s="105">
        <v>64.099999999999994</v>
      </c>
      <c r="X45" s="80">
        <v>64.3</v>
      </c>
      <c r="Y45" s="80">
        <v>64.3</v>
      </c>
      <c r="Z45" s="80">
        <v>64.3</v>
      </c>
      <c r="AA45" s="80">
        <v>64.3</v>
      </c>
      <c r="AB45" s="80">
        <v>66</v>
      </c>
      <c r="AC45" s="80">
        <v>65.3</v>
      </c>
      <c r="AD45" s="80">
        <v>64.099999999999994</v>
      </c>
      <c r="AE45" s="80">
        <v>64.099999999999994</v>
      </c>
      <c r="AF45" s="80">
        <v>64.099999999999994</v>
      </c>
      <c r="AG45" s="94">
        <v>69</v>
      </c>
      <c r="AH45" s="20">
        <f t="shared" si="2"/>
        <v>66</v>
      </c>
      <c r="AI45" s="19">
        <f t="shared" si="3"/>
        <v>50.4</v>
      </c>
      <c r="AK45" s="41"/>
    </row>
    <row r="46" spans="1:88" x14ac:dyDescent="0.25">
      <c r="A46" s="95" t="s">
        <v>187</v>
      </c>
      <c r="B46" s="113">
        <v>50</v>
      </c>
      <c r="C46" s="113">
        <v>50</v>
      </c>
      <c r="D46" s="113">
        <v>49.9</v>
      </c>
      <c r="E46" s="113">
        <v>46.6</v>
      </c>
      <c r="F46" s="113">
        <v>46.6</v>
      </c>
      <c r="G46" s="113">
        <v>60.4</v>
      </c>
      <c r="H46" s="113">
        <v>60.4</v>
      </c>
      <c r="I46" s="113">
        <v>61.4</v>
      </c>
      <c r="J46" s="113">
        <v>61.4</v>
      </c>
      <c r="K46" s="113">
        <v>61.4</v>
      </c>
      <c r="L46" s="113">
        <v>61.4</v>
      </c>
      <c r="M46" s="113">
        <v>61.4</v>
      </c>
      <c r="N46" s="105">
        <v>61.2</v>
      </c>
      <c r="O46" s="105">
        <v>61.2</v>
      </c>
      <c r="P46" s="105">
        <v>61.2</v>
      </c>
      <c r="Q46" s="105">
        <v>61.4</v>
      </c>
      <c r="R46" s="105">
        <v>61.4</v>
      </c>
      <c r="S46" s="105">
        <v>61.4</v>
      </c>
      <c r="T46" s="105">
        <v>61.4</v>
      </c>
      <c r="U46" s="105">
        <v>61.4</v>
      </c>
      <c r="V46" s="105">
        <v>61.4</v>
      </c>
      <c r="W46" s="105">
        <v>61.4</v>
      </c>
      <c r="X46" s="105">
        <v>61.4</v>
      </c>
      <c r="Y46" s="105">
        <v>61.4</v>
      </c>
      <c r="Z46" s="105">
        <v>61.4</v>
      </c>
      <c r="AA46" s="105">
        <v>61.4</v>
      </c>
      <c r="AB46" s="113">
        <v>59</v>
      </c>
      <c r="AC46" s="113">
        <v>60.7</v>
      </c>
      <c r="AD46" s="113">
        <v>60.7</v>
      </c>
      <c r="AE46" s="113">
        <v>60.7</v>
      </c>
      <c r="AF46" s="113">
        <v>60.7</v>
      </c>
      <c r="AG46" s="94">
        <v>60</v>
      </c>
      <c r="AH46" s="20">
        <f t="shared" si="2"/>
        <v>61.4</v>
      </c>
      <c r="AI46" s="19">
        <f t="shared" si="3"/>
        <v>46.6</v>
      </c>
      <c r="AK46" s="41"/>
    </row>
    <row r="47" spans="1:88" x14ac:dyDescent="0.25">
      <c r="A47" s="95" t="s">
        <v>186</v>
      </c>
      <c r="B47" s="113">
        <v>28.8</v>
      </c>
      <c r="C47" s="113">
        <v>28.6</v>
      </c>
      <c r="D47" s="113">
        <v>28.7</v>
      </c>
      <c r="E47" s="113">
        <v>28.7</v>
      </c>
      <c r="F47" s="113">
        <v>28.7</v>
      </c>
      <c r="G47" s="113">
        <v>28.8</v>
      </c>
      <c r="H47" s="113">
        <v>28.8</v>
      </c>
      <c r="I47" s="113">
        <v>28.8</v>
      </c>
      <c r="J47" s="113">
        <v>28.8</v>
      </c>
      <c r="K47" s="113">
        <v>28.8</v>
      </c>
      <c r="L47" s="113">
        <v>28.8</v>
      </c>
      <c r="M47" s="113">
        <v>28.8</v>
      </c>
      <c r="N47" s="113">
        <v>28.8</v>
      </c>
      <c r="O47" s="113">
        <v>28.8</v>
      </c>
      <c r="P47" s="113">
        <v>28.8</v>
      </c>
      <c r="Q47" s="113">
        <v>28.7</v>
      </c>
      <c r="R47" s="113">
        <v>28.7</v>
      </c>
      <c r="S47" s="113">
        <v>28.7</v>
      </c>
      <c r="T47" s="113">
        <v>28.7</v>
      </c>
      <c r="U47" s="113">
        <v>28.7</v>
      </c>
      <c r="V47" s="113">
        <v>28.7</v>
      </c>
      <c r="W47" s="113">
        <v>28.7</v>
      </c>
      <c r="X47" s="113">
        <v>28.7</v>
      </c>
      <c r="Y47" s="113">
        <v>28.7</v>
      </c>
      <c r="Z47" s="113">
        <v>28.7</v>
      </c>
      <c r="AA47" s="113">
        <v>28.7</v>
      </c>
      <c r="AB47" s="113">
        <v>28.7</v>
      </c>
      <c r="AC47" s="113">
        <v>28.7</v>
      </c>
      <c r="AD47" s="113">
        <v>28.7</v>
      </c>
      <c r="AE47" s="113">
        <v>28.7</v>
      </c>
      <c r="AF47" s="113">
        <v>28.7</v>
      </c>
      <c r="AG47" s="94">
        <v>30</v>
      </c>
      <c r="AH47" s="20">
        <f t="shared" si="2"/>
        <v>28.8</v>
      </c>
      <c r="AI47" s="19">
        <f t="shared" si="3"/>
        <v>28.6</v>
      </c>
      <c r="AK47" s="41"/>
    </row>
    <row r="48" spans="1:88" x14ac:dyDescent="0.25">
      <c r="A48" s="95" t="s">
        <v>185</v>
      </c>
      <c r="B48" s="80">
        <v>0</v>
      </c>
      <c r="C48" s="80">
        <v>0</v>
      </c>
      <c r="D48" s="80">
        <v>0</v>
      </c>
      <c r="E48" s="80">
        <v>0</v>
      </c>
      <c r="F48" s="80">
        <v>0</v>
      </c>
      <c r="G48" s="80">
        <v>0</v>
      </c>
      <c r="H48" s="80">
        <v>0</v>
      </c>
      <c r="I48" s="80">
        <v>0</v>
      </c>
      <c r="J48" s="80">
        <v>0</v>
      </c>
      <c r="K48" s="80">
        <v>0</v>
      </c>
      <c r="L48" s="80">
        <v>0</v>
      </c>
      <c r="M48" s="80">
        <v>0</v>
      </c>
      <c r="N48" s="80">
        <v>5</v>
      </c>
      <c r="O48" s="80">
        <v>5</v>
      </c>
      <c r="P48" s="80">
        <v>5</v>
      </c>
      <c r="Q48" s="80">
        <v>8</v>
      </c>
      <c r="R48" s="80">
        <v>8</v>
      </c>
      <c r="S48" s="80">
        <v>8</v>
      </c>
      <c r="T48" s="80">
        <v>8</v>
      </c>
      <c r="U48" s="80">
        <v>8</v>
      </c>
      <c r="V48" s="80">
        <v>8</v>
      </c>
      <c r="W48" s="80">
        <v>0</v>
      </c>
      <c r="X48" s="80">
        <v>0</v>
      </c>
      <c r="Y48" s="80">
        <v>0</v>
      </c>
      <c r="Z48" s="80">
        <v>0</v>
      </c>
      <c r="AA48" s="80">
        <v>0</v>
      </c>
      <c r="AB48" s="80">
        <v>0</v>
      </c>
      <c r="AC48" s="80">
        <v>0</v>
      </c>
      <c r="AD48" s="80">
        <v>0</v>
      </c>
      <c r="AE48" s="80">
        <v>0</v>
      </c>
      <c r="AF48" s="80">
        <v>0</v>
      </c>
      <c r="AG48" s="94">
        <v>25</v>
      </c>
      <c r="AH48" s="20">
        <f t="shared" si="2"/>
        <v>8</v>
      </c>
      <c r="AI48" s="19">
        <f t="shared" si="3"/>
        <v>0</v>
      </c>
      <c r="AK48" s="41"/>
    </row>
    <row r="49" spans="1:41" x14ac:dyDescent="0.25">
      <c r="A49" s="95" t="s">
        <v>184</v>
      </c>
      <c r="B49" s="80">
        <v>16.899999999999999</v>
      </c>
      <c r="C49" s="80">
        <v>16.7</v>
      </c>
      <c r="D49" s="80">
        <v>16.7</v>
      </c>
      <c r="E49" s="80">
        <v>11.7</v>
      </c>
      <c r="F49" s="80">
        <v>11.7</v>
      </c>
      <c r="G49" s="80">
        <v>17.3</v>
      </c>
      <c r="H49" s="80">
        <v>17.3</v>
      </c>
      <c r="I49" s="80">
        <v>17.3</v>
      </c>
      <c r="J49" s="80">
        <v>17.3</v>
      </c>
      <c r="K49" s="80">
        <v>17.3</v>
      </c>
      <c r="L49" s="80">
        <v>17.3</v>
      </c>
      <c r="M49" s="80">
        <v>16.5</v>
      </c>
      <c r="N49" s="80">
        <v>16.5</v>
      </c>
      <c r="O49" s="80">
        <v>16.5</v>
      </c>
      <c r="P49" s="80">
        <v>13.9</v>
      </c>
      <c r="Q49" s="80">
        <v>13.9</v>
      </c>
      <c r="R49" s="80">
        <v>16.3</v>
      </c>
      <c r="S49" s="80">
        <v>16.3</v>
      </c>
      <c r="T49" s="80">
        <v>16.3</v>
      </c>
      <c r="U49" s="80">
        <v>16.3</v>
      </c>
      <c r="V49" s="80">
        <v>16.3</v>
      </c>
      <c r="W49" s="80">
        <v>16.3</v>
      </c>
      <c r="X49" s="80">
        <v>16.3</v>
      </c>
      <c r="Y49" s="80">
        <v>16.3</v>
      </c>
      <c r="Z49" s="80">
        <v>16.3</v>
      </c>
      <c r="AA49" s="80">
        <v>16.3</v>
      </c>
      <c r="AB49" s="80">
        <v>16.3</v>
      </c>
      <c r="AC49" s="80">
        <v>16.3</v>
      </c>
      <c r="AD49" s="80">
        <v>16.3</v>
      </c>
      <c r="AE49" s="80">
        <v>16.3</v>
      </c>
      <c r="AF49" s="80">
        <v>11</v>
      </c>
      <c r="AG49" s="94">
        <v>24</v>
      </c>
      <c r="AH49" s="20">
        <f t="shared" si="2"/>
        <v>17.3</v>
      </c>
      <c r="AI49" s="19">
        <f t="shared" si="3"/>
        <v>11</v>
      </c>
      <c r="AK49" s="41"/>
    </row>
    <row r="50" spans="1:41" x14ac:dyDescent="0.25">
      <c r="A50" s="95" t="s">
        <v>183</v>
      </c>
      <c r="B50" s="80">
        <v>3</v>
      </c>
      <c r="C50" s="80">
        <v>3</v>
      </c>
      <c r="D50" s="80">
        <v>3</v>
      </c>
      <c r="E50" s="80">
        <v>3</v>
      </c>
      <c r="F50" s="80">
        <v>3</v>
      </c>
      <c r="G50" s="80">
        <v>3</v>
      </c>
      <c r="H50" s="80">
        <v>3</v>
      </c>
      <c r="I50" s="80">
        <v>3</v>
      </c>
      <c r="J50" s="80">
        <v>3</v>
      </c>
      <c r="K50" s="80">
        <v>3</v>
      </c>
      <c r="L50" s="80">
        <v>3</v>
      </c>
      <c r="M50" s="80">
        <v>3</v>
      </c>
      <c r="N50" s="80">
        <v>3</v>
      </c>
      <c r="O50" s="80">
        <v>3</v>
      </c>
      <c r="P50" s="80">
        <v>3</v>
      </c>
      <c r="Q50" s="80">
        <v>3</v>
      </c>
      <c r="R50" s="80">
        <v>3</v>
      </c>
      <c r="S50" s="80">
        <v>3</v>
      </c>
      <c r="T50" s="80">
        <v>3</v>
      </c>
      <c r="U50" s="80">
        <v>3</v>
      </c>
      <c r="V50" s="80">
        <v>3</v>
      </c>
      <c r="W50" s="80">
        <v>3</v>
      </c>
      <c r="X50" s="80">
        <v>3</v>
      </c>
      <c r="Y50" s="80">
        <v>3</v>
      </c>
      <c r="Z50" s="80">
        <v>3</v>
      </c>
      <c r="AA50" s="80">
        <v>3</v>
      </c>
      <c r="AB50" s="80">
        <v>3</v>
      </c>
      <c r="AC50" s="80">
        <v>3</v>
      </c>
      <c r="AD50" s="80">
        <v>3</v>
      </c>
      <c r="AE50" s="80">
        <v>3</v>
      </c>
      <c r="AF50" s="80">
        <v>3</v>
      </c>
      <c r="AG50" s="94">
        <v>15</v>
      </c>
      <c r="AH50" s="20">
        <f t="shared" si="2"/>
        <v>3</v>
      </c>
      <c r="AI50" s="19">
        <f t="shared" si="3"/>
        <v>3</v>
      </c>
      <c r="AK50" s="41"/>
      <c r="AL50" s="112"/>
      <c r="AO50" s="112"/>
    </row>
    <row r="51" spans="1:41" s="112" customFormat="1" x14ac:dyDescent="0.25">
      <c r="A51" s="95" t="s">
        <v>182</v>
      </c>
      <c r="B51" s="80">
        <v>9.5</v>
      </c>
      <c r="C51" s="80">
        <v>9.5</v>
      </c>
      <c r="D51" s="80">
        <v>9.5</v>
      </c>
      <c r="E51" s="80">
        <v>9.5</v>
      </c>
      <c r="F51" s="80">
        <v>9.5</v>
      </c>
      <c r="G51" s="80">
        <v>9.5</v>
      </c>
      <c r="H51" s="80">
        <v>9.5</v>
      </c>
      <c r="I51" s="80">
        <v>9.5</v>
      </c>
      <c r="J51" s="80">
        <v>9.5</v>
      </c>
      <c r="K51" s="80">
        <v>9.5</v>
      </c>
      <c r="L51" s="80">
        <v>9.5</v>
      </c>
      <c r="M51" s="80">
        <v>9.6</v>
      </c>
      <c r="N51" s="80">
        <v>9.6</v>
      </c>
      <c r="O51" s="80">
        <v>9.6</v>
      </c>
      <c r="P51" s="80">
        <v>9.6</v>
      </c>
      <c r="Q51" s="80">
        <v>9.6</v>
      </c>
      <c r="R51" s="80">
        <v>9.6</v>
      </c>
      <c r="S51" s="80">
        <v>9.6</v>
      </c>
      <c r="T51" s="80">
        <v>9.6</v>
      </c>
      <c r="U51" s="80">
        <v>9.6</v>
      </c>
      <c r="V51" s="80">
        <v>9.6</v>
      </c>
      <c r="W51" s="80">
        <v>9.6</v>
      </c>
      <c r="X51" s="80">
        <v>9.6</v>
      </c>
      <c r="Y51" s="80">
        <v>9.6</v>
      </c>
      <c r="Z51" s="80">
        <v>9.6</v>
      </c>
      <c r="AA51" s="80">
        <v>9.6</v>
      </c>
      <c r="AB51" s="80">
        <v>9.6</v>
      </c>
      <c r="AC51" s="80">
        <v>9.6</v>
      </c>
      <c r="AD51" s="80">
        <v>9.6</v>
      </c>
      <c r="AE51" s="80">
        <v>9.6</v>
      </c>
      <c r="AF51" s="80">
        <v>9.6</v>
      </c>
      <c r="AG51" s="94">
        <v>14.1</v>
      </c>
      <c r="AH51" s="20">
        <f t="shared" si="2"/>
        <v>9.6</v>
      </c>
      <c r="AI51" s="19">
        <f t="shared" si="3"/>
        <v>9.5</v>
      </c>
      <c r="AJ51" s="1"/>
      <c r="AK51" s="41"/>
      <c r="AL51" s="1"/>
      <c r="AM51" s="1"/>
      <c r="AN51" s="1"/>
      <c r="AO51" s="1"/>
    </row>
    <row r="52" spans="1:41" x14ac:dyDescent="0.25">
      <c r="A52" s="108" t="s">
        <v>181</v>
      </c>
      <c r="B52" s="80">
        <v>13.9</v>
      </c>
      <c r="C52" s="80">
        <v>12.1</v>
      </c>
      <c r="D52" s="80">
        <v>12</v>
      </c>
      <c r="E52" s="80">
        <v>12</v>
      </c>
      <c r="F52" s="80">
        <v>12</v>
      </c>
      <c r="G52" s="80">
        <v>14.1</v>
      </c>
      <c r="H52" s="80">
        <v>14.1</v>
      </c>
      <c r="I52" s="80">
        <v>14.1</v>
      </c>
      <c r="J52" s="80">
        <v>14.1</v>
      </c>
      <c r="K52" s="80">
        <v>14.1</v>
      </c>
      <c r="L52" s="80">
        <v>14.1</v>
      </c>
      <c r="M52" s="80">
        <v>14.1</v>
      </c>
      <c r="N52" s="80">
        <v>14.1</v>
      </c>
      <c r="O52" s="80">
        <v>14.1</v>
      </c>
      <c r="P52" s="80">
        <v>14.3</v>
      </c>
      <c r="Q52" s="80">
        <v>7</v>
      </c>
      <c r="R52" s="80">
        <v>7</v>
      </c>
      <c r="S52" s="80">
        <v>7</v>
      </c>
      <c r="T52" s="80">
        <v>7</v>
      </c>
      <c r="U52" s="80">
        <v>7</v>
      </c>
      <c r="V52" s="80">
        <v>7</v>
      </c>
      <c r="W52" s="80">
        <v>7</v>
      </c>
      <c r="X52" s="80">
        <v>7</v>
      </c>
      <c r="Y52" s="80">
        <v>7</v>
      </c>
      <c r="Z52" s="80">
        <v>7</v>
      </c>
      <c r="AA52" s="80">
        <v>7</v>
      </c>
      <c r="AB52" s="80">
        <v>14</v>
      </c>
      <c r="AC52" s="80">
        <v>14</v>
      </c>
      <c r="AD52" s="80">
        <v>14</v>
      </c>
      <c r="AE52" s="80">
        <v>7</v>
      </c>
      <c r="AF52" s="80">
        <v>14</v>
      </c>
      <c r="AG52" s="94">
        <v>14</v>
      </c>
      <c r="AH52" s="20">
        <f t="shared" si="2"/>
        <v>14.3</v>
      </c>
      <c r="AI52" s="19">
        <f t="shared" si="3"/>
        <v>7</v>
      </c>
      <c r="AK52" s="41"/>
    </row>
    <row r="53" spans="1:41" x14ac:dyDescent="0.25">
      <c r="A53" s="95" t="s">
        <v>180</v>
      </c>
      <c r="B53" s="80">
        <v>9</v>
      </c>
      <c r="C53" s="80">
        <v>9</v>
      </c>
      <c r="D53" s="80">
        <v>9</v>
      </c>
      <c r="E53" s="80">
        <v>9</v>
      </c>
      <c r="F53" s="80">
        <v>9</v>
      </c>
      <c r="G53" s="80">
        <v>9</v>
      </c>
      <c r="H53" s="80">
        <v>9</v>
      </c>
      <c r="I53" s="80">
        <v>9</v>
      </c>
      <c r="J53" s="80">
        <v>9</v>
      </c>
      <c r="K53" s="80">
        <v>9</v>
      </c>
      <c r="L53" s="80">
        <v>9</v>
      </c>
      <c r="M53" s="80">
        <v>9</v>
      </c>
      <c r="N53" s="80">
        <v>9</v>
      </c>
      <c r="O53" s="80">
        <v>9</v>
      </c>
      <c r="P53" s="80">
        <v>9</v>
      </c>
      <c r="Q53" s="80">
        <v>9</v>
      </c>
      <c r="R53" s="80">
        <v>9</v>
      </c>
      <c r="S53" s="80">
        <v>9</v>
      </c>
      <c r="T53" s="80">
        <v>9</v>
      </c>
      <c r="U53" s="80">
        <v>9</v>
      </c>
      <c r="V53" s="80">
        <v>9</v>
      </c>
      <c r="W53" s="80">
        <v>9</v>
      </c>
      <c r="X53" s="80">
        <v>9</v>
      </c>
      <c r="Y53" s="80">
        <v>9</v>
      </c>
      <c r="Z53" s="80">
        <v>9</v>
      </c>
      <c r="AA53" s="80">
        <v>9</v>
      </c>
      <c r="AB53" s="80">
        <v>9</v>
      </c>
      <c r="AC53" s="80">
        <v>9</v>
      </c>
      <c r="AD53" s="80">
        <v>9</v>
      </c>
      <c r="AE53" s="80">
        <v>9</v>
      </c>
      <c r="AF53" s="80">
        <v>9</v>
      </c>
      <c r="AG53" s="94">
        <v>10.050000000000001</v>
      </c>
      <c r="AH53" s="20">
        <f t="shared" si="2"/>
        <v>9</v>
      </c>
      <c r="AI53" s="19">
        <f t="shared" si="3"/>
        <v>9</v>
      </c>
      <c r="AK53" s="41"/>
    </row>
    <row r="54" spans="1:41" x14ac:dyDescent="0.25">
      <c r="A54" s="95" t="s">
        <v>179</v>
      </c>
      <c r="B54" s="80">
        <v>3.2</v>
      </c>
      <c r="C54" s="80">
        <v>3.2</v>
      </c>
      <c r="D54" s="80">
        <v>3.2</v>
      </c>
      <c r="E54" s="80">
        <v>3.2</v>
      </c>
      <c r="F54" s="80">
        <v>3.2</v>
      </c>
      <c r="G54" s="80">
        <v>3.2</v>
      </c>
      <c r="H54" s="80">
        <v>3.2</v>
      </c>
      <c r="I54" s="80">
        <v>3.2</v>
      </c>
      <c r="J54" s="80">
        <v>3.2</v>
      </c>
      <c r="K54" s="80">
        <v>3.2</v>
      </c>
      <c r="L54" s="80">
        <v>3.2</v>
      </c>
      <c r="M54" s="80">
        <v>3.2</v>
      </c>
      <c r="N54" s="80">
        <v>3.2</v>
      </c>
      <c r="O54" s="80">
        <v>3.2</v>
      </c>
      <c r="P54" s="80">
        <v>3.2</v>
      </c>
      <c r="Q54" s="80">
        <v>3.2</v>
      </c>
      <c r="R54" s="80">
        <v>3.2</v>
      </c>
      <c r="S54" s="80">
        <v>3.2</v>
      </c>
      <c r="T54" s="80">
        <v>3.2</v>
      </c>
      <c r="U54" s="80">
        <v>3.2</v>
      </c>
      <c r="V54" s="80">
        <v>3.2</v>
      </c>
      <c r="W54" s="80">
        <v>3.2</v>
      </c>
      <c r="X54" s="80">
        <v>3.2</v>
      </c>
      <c r="Y54" s="80">
        <v>3.2</v>
      </c>
      <c r="Z54" s="80">
        <v>3.2</v>
      </c>
      <c r="AA54" s="80">
        <v>3.2</v>
      </c>
      <c r="AB54" s="80">
        <v>3.2</v>
      </c>
      <c r="AC54" s="80">
        <v>3.2</v>
      </c>
      <c r="AD54" s="80">
        <v>3.2</v>
      </c>
      <c r="AE54" s="80">
        <v>3.2</v>
      </c>
      <c r="AF54" s="80">
        <v>3.2</v>
      </c>
      <c r="AG54" s="94">
        <v>6.2</v>
      </c>
      <c r="AH54" s="20">
        <f t="shared" si="2"/>
        <v>3.2</v>
      </c>
      <c r="AI54" s="19">
        <f t="shared" si="3"/>
        <v>3.2</v>
      </c>
      <c r="AK54" s="41"/>
    </row>
    <row r="55" spans="1:41" ht="15.75" thickBot="1" x14ac:dyDescent="0.3">
      <c r="A55" s="111" t="s">
        <v>17</v>
      </c>
      <c r="B55" s="110">
        <v>3.54</v>
      </c>
      <c r="C55" s="110">
        <v>3.54</v>
      </c>
      <c r="D55" s="110">
        <v>3.54</v>
      </c>
      <c r="E55" s="110">
        <v>3.54</v>
      </c>
      <c r="F55" s="110">
        <v>3.54</v>
      </c>
      <c r="G55" s="110">
        <v>3.54</v>
      </c>
      <c r="H55" s="110">
        <v>3.54</v>
      </c>
      <c r="I55" s="110">
        <v>3.54</v>
      </c>
      <c r="J55" s="110">
        <v>3.54</v>
      </c>
      <c r="K55" s="110">
        <v>3.54</v>
      </c>
      <c r="L55" s="110">
        <v>3.54</v>
      </c>
      <c r="M55" s="110">
        <v>3.54</v>
      </c>
      <c r="N55" s="110">
        <v>3.54</v>
      </c>
      <c r="O55" s="110">
        <v>3.54</v>
      </c>
      <c r="P55" s="110">
        <v>3.54</v>
      </c>
      <c r="Q55" s="110">
        <v>3.54</v>
      </c>
      <c r="R55" s="110">
        <v>3.54</v>
      </c>
      <c r="S55" s="110">
        <v>3.54</v>
      </c>
      <c r="T55" s="110">
        <v>3.54</v>
      </c>
      <c r="U55" s="110">
        <v>3.54</v>
      </c>
      <c r="V55" s="110">
        <v>3.54</v>
      </c>
      <c r="W55" s="110">
        <v>3.54</v>
      </c>
      <c r="X55" s="110">
        <v>3.54</v>
      </c>
      <c r="Y55" s="110">
        <v>3.54</v>
      </c>
      <c r="Z55" s="110">
        <v>3.54</v>
      </c>
      <c r="AA55" s="110">
        <v>3.54</v>
      </c>
      <c r="AB55" s="110">
        <v>3.54</v>
      </c>
      <c r="AC55" s="110">
        <v>3.54</v>
      </c>
      <c r="AD55" s="110">
        <v>3.54</v>
      </c>
      <c r="AE55" s="110">
        <v>3.54</v>
      </c>
      <c r="AF55" s="110">
        <v>3.54</v>
      </c>
      <c r="AG55" s="109">
        <f>AG222</f>
        <v>8.56</v>
      </c>
      <c r="AH55" s="20">
        <f t="shared" si="2"/>
        <v>3.54</v>
      </c>
      <c r="AI55" s="19">
        <f t="shared" si="3"/>
        <v>3.54</v>
      </c>
      <c r="AK55" s="41"/>
    </row>
    <row r="56" spans="1:41" ht="15.75" thickBot="1" x14ac:dyDescent="0.3">
      <c r="A56" s="87" t="s">
        <v>178</v>
      </c>
      <c r="B56" s="86">
        <f t="shared" ref="B56:AG56" si="6">SUM(B43:B55)</f>
        <v>406.23999999999995</v>
      </c>
      <c r="C56" s="86">
        <f t="shared" si="6"/>
        <v>391.04000000000008</v>
      </c>
      <c r="D56" s="86">
        <f t="shared" si="6"/>
        <v>369.73999999999995</v>
      </c>
      <c r="E56" s="86">
        <f t="shared" si="6"/>
        <v>346.94</v>
      </c>
      <c r="F56" s="86">
        <f t="shared" si="6"/>
        <v>353.14</v>
      </c>
      <c r="G56" s="86">
        <f t="shared" si="6"/>
        <v>355.34000000000003</v>
      </c>
      <c r="H56" s="86">
        <f t="shared" si="6"/>
        <v>356.34000000000003</v>
      </c>
      <c r="I56" s="86">
        <f t="shared" si="6"/>
        <v>357.04</v>
      </c>
      <c r="J56" s="86">
        <f t="shared" si="6"/>
        <v>358.64000000000004</v>
      </c>
      <c r="K56" s="86">
        <f t="shared" si="6"/>
        <v>357.24</v>
      </c>
      <c r="L56" s="86">
        <f t="shared" si="6"/>
        <v>357.24</v>
      </c>
      <c r="M56" s="86">
        <f t="shared" si="6"/>
        <v>355.84000000000009</v>
      </c>
      <c r="N56" s="86">
        <f t="shared" si="6"/>
        <v>362.54000000000008</v>
      </c>
      <c r="O56" s="86">
        <f t="shared" si="6"/>
        <v>361.44000000000005</v>
      </c>
      <c r="P56" s="86">
        <f t="shared" si="6"/>
        <v>358.54</v>
      </c>
      <c r="Q56" s="86">
        <f t="shared" si="6"/>
        <v>354.64</v>
      </c>
      <c r="R56" s="86">
        <f t="shared" si="6"/>
        <v>356.84000000000003</v>
      </c>
      <c r="S56" s="86">
        <f t="shared" si="6"/>
        <v>356.84000000000003</v>
      </c>
      <c r="T56" s="86">
        <f t="shared" si="6"/>
        <v>356.84000000000003</v>
      </c>
      <c r="U56" s="86">
        <f t="shared" si="6"/>
        <v>356.84000000000003</v>
      </c>
      <c r="V56" s="86">
        <f t="shared" si="6"/>
        <v>410.84000000000003</v>
      </c>
      <c r="W56" s="86">
        <f t="shared" si="6"/>
        <v>402.84000000000003</v>
      </c>
      <c r="X56" s="86">
        <f t="shared" si="6"/>
        <v>367.04</v>
      </c>
      <c r="Y56" s="86">
        <f t="shared" si="6"/>
        <v>420.64</v>
      </c>
      <c r="Z56" s="86">
        <f t="shared" si="6"/>
        <v>420.64</v>
      </c>
      <c r="AA56" s="86">
        <f t="shared" si="6"/>
        <v>420.64</v>
      </c>
      <c r="AB56" s="86">
        <f t="shared" si="6"/>
        <v>366.64000000000004</v>
      </c>
      <c r="AC56" s="86">
        <f t="shared" si="6"/>
        <v>427.34000000000003</v>
      </c>
      <c r="AD56" s="86">
        <f t="shared" si="6"/>
        <v>426.64000000000004</v>
      </c>
      <c r="AE56" s="86">
        <f t="shared" si="6"/>
        <v>419.64000000000004</v>
      </c>
      <c r="AF56" s="86">
        <f t="shared" si="6"/>
        <v>421.34000000000003</v>
      </c>
      <c r="AG56" s="101">
        <f t="shared" si="6"/>
        <v>489.91</v>
      </c>
      <c r="AH56" s="20">
        <f t="shared" si="2"/>
        <v>427.34000000000003</v>
      </c>
      <c r="AI56" s="19">
        <f t="shared" si="3"/>
        <v>346.94</v>
      </c>
      <c r="AK56" s="41"/>
    </row>
    <row r="57" spans="1:41" x14ac:dyDescent="0.25">
      <c r="A57" s="97" t="s">
        <v>177</v>
      </c>
      <c r="B57" s="105">
        <v>0</v>
      </c>
      <c r="C57" s="105">
        <v>0</v>
      </c>
      <c r="D57" s="105">
        <v>0</v>
      </c>
      <c r="E57" s="105">
        <v>0</v>
      </c>
      <c r="F57" s="105">
        <v>0</v>
      </c>
      <c r="G57" s="105">
        <v>0</v>
      </c>
      <c r="H57" s="105">
        <v>0</v>
      </c>
      <c r="I57" s="105">
        <v>0</v>
      </c>
      <c r="J57" s="105">
        <v>0</v>
      </c>
      <c r="K57" s="105">
        <v>0</v>
      </c>
      <c r="L57" s="105">
        <v>0</v>
      </c>
      <c r="M57" s="105">
        <v>0</v>
      </c>
      <c r="N57" s="105">
        <v>0</v>
      </c>
      <c r="O57" s="105">
        <v>0</v>
      </c>
      <c r="P57" s="105">
        <v>0</v>
      </c>
      <c r="Q57" s="105">
        <v>0</v>
      </c>
      <c r="R57" s="105">
        <v>0</v>
      </c>
      <c r="S57" s="105">
        <v>0</v>
      </c>
      <c r="T57" s="105">
        <v>0</v>
      </c>
      <c r="U57" s="105">
        <v>0</v>
      </c>
      <c r="V57" s="105">
        <v>0</v>
      </c>
      <c r="W57" s="105">
        <v>0</v>
      </c>
      <c r="X57" s="105">
        <v>0</v>
      </c>
      <c r="Y57" s="105">
        <v>24</v>
      </c>
      <c r="Z57" s="105">
        <v>0</v>
      </c>
      <c r="AA57" s="105">
        <v>0</v>
      </c>
      <c r="AB57" s="105">
        <v>0</v>
      </c>
      <c r="AC57" s="105">
        <v>0</v>
      </c>
      <c r="AD57" s="105">
        <v>0</v>
      </c>
      <c r="AE57" s="105">
        <v>0</v>
      </c>
      <c r="AF57" s="105">
        <v>0</v>
      </c>
      <c r="AG57" s="96">
        <v>60</v>
      </c>
      <c r="AH57" s="20">
        <f t="shared" si="2"/>
        <v>24</v>
      </c>
      <c r="AI57" s="19">
        <f t="shared" si="3"/>
        <v>0</v>
      </c>
      <c r="AK57" s="41"/>
    </row>
    <row r="58" spans="1:41" x14ac:dyDescent="0.25">
      <c r="A58" s="95" t="s">
        <v>176</v>
      </c>
      <c r="B58" s="80">
        <v>0</v>
      </c>
      <c r="C58" s="80">
        <v>0</v>
      </c>
      <c r="D58" s="80">
        <v>0</v>
      </c>
      <c r="E58" s="80">
        <v>0</v>
      </c>
      <c r="F58" s="80">
        <v>0</v>
      </c>
      <c r="G58" s="80">
        <v>0</v>
      </c>
      <c r="H58" s="80">
        <v>0</v>
      </c>
      <c r="I58" s="80">
        <v>0</v>
      </c>
      <c r="J58" s="80">
        <v>0</v>
      </c>
      <c r="K58" s="80">
        <v>0</v>
      </c>
      <c r="L58" s="80">
        <v>0</v>
      </c>
      <c r="M58" s="80">
        <v>0</v>
      </c>
      <c r="N58" s="80">
        <v>0</v>
      </c>
      <c r="O58" s="80">
        <v>0</v>
      </c>
      <c r="P58" s="80">
        <v>0</v>
      </c>
      <c r="Q58" s="80">
        <v>0</v>
      </c>
      <c r="R58" s="80">
        <v>0</v>
      </c>
      <c r="S58" s="80">
        <v>0</v>
      </c>
      <c r="T58" s="80">
        <v>0</v>
      </c>
      <c r="U58" s="80">
        <v>0</v>
      </c>
      <c r="V58" s="80">
        <v>0</v>
      </c>
      <c r="W58" s="80">
        <v>0</v>
      </c>
      <c r="X58" s="80">
        <v>0</v>
      </c>
      <c r="Y58" s="80">
        <v>14</v>
      </c>
      <c r="Z58" s="80">
        <v>4.5</v>
      </c>
      <c r="AA58" s="80">
        <v>0</v>
      </c>
      <c r="AB58" s="80">
        <v>0</v>
      </c>
      <c r="AC58" s="80">
        <v>0</v>
      </c>
      <c r="AD58" s="80">
        <v>0</v>
      </c>
      <c r="AE58" s="80">
        <v>0</v>
      </c>
      <c r="AF58" s="80">
        <v>0</v>
      </c>
      <c r="AG58" s="94">
        <v>32</v>
      </c>
      <c r="AH58" s="20">
        <f t="shared" si="2"/>
        <v>14</v>
      </c>
      <c r="AI58" s="19">
        <f t="shared" si="3"/>
        <v>0</v>
      </c>
      <c r="AK58" s="41"/>
    </row>
    <row r="59" spans="1:41" ht="15.75" thickBot="1" x14ac:dyDescent="0.3">
      <c r="A59" s="108" t="s">
        <v>175</v>
      </c>
      <c r="B59" s="107">
        <v>0</v>
      </c>
      <c r="C59" s="107">
        <v>0</v>
      </c>
      <c r="D59" s="107">
        <v>0</v>
      </c>
      <c r="E59" s="107">
        <v>0</v>
      </c>
      <c r="F59" s="107">
        <v>0</v>
      </c>
      <c r="G59" s="107">
        <v>0</v>
      </c>
      <c r="H59" s="107">
        <v>0</v>
      </c>
      <c r="I59" s="107">
        <v>0</v>
      </c>
      <c r="J59" s="107">
        <v>0</v>
      </c>
      <c r="K59" s="107">
        <v>0</v>
      </c>
      <c r="L59" s="107">
        <v>0</v>
      </c>
      <c r="M59" s="107">
        <v>0</v>
      </c>
      <c r="N59" s="107">
        <v>0</v>
      </c>
      <c r="O59" s="107">
        <v>0</v>
      </c>
      <c r="P59" s="107">
        <v>0</v>
      </c>
      <c r="Q59" s="107">
        <v>0</v>
      </c>
      <c r="R59" s="107">
        <v>0</v>
      </c>
      <c r="S59" s="107">
        <v>0</v>
      </c>
      <c r="T59" s="107">
        <v>0</v>
      </c>
      <c r="U59" s="107">
        <v>0</v>
      </c>
      <c r="V59" s="107">
        <v>0</v>
      </c>
      <c r="W59" s="107">
        <v>0</v>
      </c>
      <c r="X59" s="107">
        <v>0</v>
      </c>
      <c r="Y59" s="107">
        <v>5.2</v>
      </c>
      <c r="Z59" s="107">
        <v>1.6</v>
      </c>
      <c r="AA59" s="107">
        <v>0</v>
      </c>
      <c r="AB59" s="107">
        <v>0</v>
      </c>
      <c r="AC59" s="107">
        <v>0</v>
      </c>
      <c r="AD59" s="107">
        <v>0</v>
      </c>
      <c r="AE59" s="107">
        <v>0</v>
      </c>
      <c r="AF59" s="107">
        <v>0</v>
      </c>
      <c r="AG59" s="106">
        <v>14</v>
      </c>
      <c r="AH59" s="20">
        <f t="shared" si="2"/>
        <v>5.2</v>
      </c>
      <c r="AI59" s="19">
        <f t="shared" si="3"/>
        <v>0</v>
      </c>
      <c r="AK59" s="41"/>
    </row>
    <row r="60" spans="1:41" ht="15.75" thickBot="1" x14ac:dyDescent="0.3">
      <c r="A60" s="87" t="s">
        <v>174</v>
      </c>
      <c r="B60" s="86">
        <f t="shared" ref="B60:AG60" si="7">SUM(B57:B59)</f>
        <v>0</v>
      </c>
      <c r="C60" s="86">
        <f t="shared" si="7"/>
        <v>0</v>
      </c>
      <c r="D60" s="86">
        <f t="shared" si="7"/>
        <v>0</v>
      </c>
      <c r="E60" s="86">
        <f t="shared" si="7"/>
        <v>0</v>
      </c>
      <c r="F60" s="86">
        <f t="shared" si="7"/>
        <v>0</v>
      </c>
      <c r="G60" s="86">
        <f t="shared" si="7"/>
        <v>0</v>
      </c>
      <c r="H60" s="86">
        <f t="shared" si="7"/>
        <v>0</v>
      </c>
      <c r="I60" s="86">
        <f t="shared" si="7"/>
        <v>0</v>
      </c>
      <c r="J60" s="86">
        <f t="shared" si="7"/>
        <v>0</v>
      </c>
      <c r="K60" s="86">
        <f t="shared" si="7"/>
        <v>0</v>
      </c>
      <c r="L60" s="86">
        <f t="shared" si="7"/>
        <v>0</v>
      </c>
      <c r="M60" s="86">
        <f t="shared" si="7"/>
        <v>0</v>
      </c>
      <c r="N60" s="86">
        <f t="shared" si="7"/>
        <v>0</v>
      </c>
      <c r="O60" s="86">
        <f t="shared" si="7"/>
        <v>0</v>
      </c>
      <c r="P60" s="86">
        <f t="shared" si="7"/>
        <v>0</v>
      </c>
      <c r="Q60" s="86">
        <f t="shared" si="7"/>
        <v>0</v>
      </c>
      <c r="R60" s="86">
        <f t="shared" si="7"/>
        <v>0</v>
      </c>
      <c r="S60" s="86">
        <f t="shared" si="7"/>
        <v>0</v>
      </c>
      <c r="T60" s="86">
        <f t="shared" si="7"/>
        <v>0</v>
      </c>
      <c r="U60" s="86">
        <f t="shared" si="7"/>
        <v>0</v>
      </c>
      <c r="V60" s="86">
        <f t="shared" si="7"/>
        <v>0</v>
      </c>
      <c r="W60" s="86">
        <f t="shared" si="7"/>
        <v>0</v>
      </c>
      <c r="X60" s="86">
        <f t="shared" si="7"/>
        <v>0</v>
      </c>
      <c r="Y60" s="86">
        <f t="shared" si="7"/>
        <v>43.2</v>
      </c>
      <c r="Z60" s="86">
        <f t="shared" si="7"/>
        <v>6.1</v>
      </c>
      <c r="AA60" s="86">
        <f t="shared" si="7"/>
        <v>0</v>
      </c>
      <c r="AB60" s="86">
        <f t="shared" si="7"/>
        <v>0</v>
      </c>
      <c r="AC60" s="86">
        <f t="shared" si="7"/>
        <v>0</v>
      </c>
      <c r="AD60" s="86">
        <f>SUM(AD57:AD59)</f>
        <v>0</v>
      </c>
      <c r="AE60" s="86">
        <f>SUM(AE57:AE59)</f>
        <v>0</v>
      </c>
      <c r="AF60" s="86">
        <f t="shared" si="7"/>
        <v>0</v>
      </c>
      <c r="AG60" s="101">
        <f t="shared" si="7"/>
        <v>106</v>
      </c>
      <c r="AH60" s="20">
        <f t="shared" si="2"/>
        <v>43.2</v>
      </c>
      <c r="AI60" s="19">
        <f t="shared" si="3"/>
        <v>0</v>
      </c>
      <c r="AK60" s="41"/>
    </row>
    <row r="61" spans="1:41" x14ac:dyDescent="0.25">
      <c r="A61" s="97" t="s">
        <v>152</v>
      </c>
      <c r="B61" s="105">
        <v>0</v>
      </c>
      <c r="C61" s="105">
        <v>0</v>
      </c>
      <c r="D61" s="105">
        <v>0</v>
      </c>
      <c r="E61" s="105">
        <v>0</v>
      </c>
      <c r="F61" s="105">
        <v>0</v>
      </c>
      <c r="G61" s="105">
        <v>0</v>
      </c>
      <c r="H61" s="105">
        <v>0</v>
      </c>
      <c r="I61" s="105">
        <v>0</v>
      </c>
      <c r="J61" s="105">
        <v>0</v>
      </c>
      <c r="K61" s="105">
        <v>0</v>
      </c>
      <c r="L61" s="105">
        <v>0</v>
      </c>
      <c r="M61" s="105">
        <v>0</v>
      </c>
      <c r="N61" s="105">
        <v>0</v>
      </c>
      <c r="O61" s="105">
        <v>0</v>
      </c>
      <c r="P61" s="105">
        <v>0</v>
      </c>
      <c r="Q61" s="105">
        <v>0</v>
      </c>
      <c r="R61" s="105">
        <v>0</v>
      </c>
      <c r="S61" s="105">
        <v>30</v>
      </c>
      <c r="T61" s="105">
        <v>31</v>
      </c>
      <c r="U61" s="105">
        <v>9</v>
      </c>
      <c r="V61" s="105">
        <v>9</v>
      </c>
      <c r="W61" s="105">
        <v>9</v>
      </c>
      <c r="X61" s="105">
        <v>31</v>
      </c>
      <c r="Y61" s="105">
        <v>27</v>
      </c>
      <c r="Z61" s="105">
        <v>43</v>
      </c>
      <c r="AA61" s="105">
        <v>27</v>
      </c>
      <c r="AB61" s="105">
        <v>65.650000000000006</v>
      </c>
      <c r="AC61" s="105">
        <v>0</v>
      </c>
      <c r="AD61" s="105">
        <v>0</v>
      </c>
      <c r="AE61" s="105">
        <v>0</v>
      </c>
      <c r="AF61" s="105">
        <v>0</v>
      </c>
      <c r="AG61" s="96"/>
      <c r="AH61" s="20">
        <f t="shared" si="2"/>
        <v>65.650000000000006</v>
      </c>
      <c r="AI61" s="19">
        <f t="shared" si="3"/>
        <v>0</v>
      </c>
      <c r="AK61" s="41"/>
    </row>
    <row r="62" spans="1:41" x14ac:dyDescent="0.25">
      <c r="A62" s="95" t="s">
        <v>155</v>
      </c>
      <c r="B62" s="80">
        <v>0</v>
      </c>
      <c r="C62" s="80">
        <v>0</v>
      </c>
      <c r="D62" s="80">
        <v>0</v>
      </c>
      <c r="E62" s="80">
        <v>0</v>
      </c>
      <c r="F62" s="80">
        <v>0</v>
      </c>
      <c r="G62" s="80">
        <v>0</v>
      </c>
      <c r="H62" s="80">
        <v>0</v>
      </c>
      <c r="I62" s="80">
        <v>0</v>
      </c>
      <c r="J62" s="80">
        <v>0</v>
      </c>
      <c r="K62" s="80">
        <v>0</v>
      </c>
      <c r="L62" s="80">
        <v>0</v>
      </c>
      <c r="M62" s="80">
        <v>0</v>
      </c>
      <c r="N62" s="80">
        <v>0</v>
      </c>
      <c r="O62" s="80">
        <v>0</v>
      </c>
      <c r="P62" s="80">
        <v>0</v>
      </c>
      <c r="Q62" s="80">
        <v>0</v>
      </c>
      <c r="R62" s="80">
        <v>0</v>
      </c>
      <c r="S62" s="80">
        <v>0</v>
      </c>
      <c r="T62" s="80">
        <v>0</v>
      </c>
      <c r="U62" s="80">
        <v>0</v>
      </c>
      <c r="V62" s="80">
        <v>0</v>
      </c>
      <c r="W62" s="80">
        <v>0</v>
      </c>
      <c r="X62" s="80">
        <v>0</v>
      </c>
      <c r="Y62" s="80">
        <v>0</v>
      </c>
      <c r="Z62" s="80">
        <v>0</v>
      </c>
      <c r="AA62" s="80">
        <v>0</v>
      </c>
      <c r="AB62" s="80">
        <v>0</v>
      </c>
      <c r="AC62" s="80">
        <v>0</v>
      </c>
      <c r="AD62" s="80">
        <v>0</v>
      </c>
      <c r="AE62" s="80">
        <v>0</v>
      </c>
      <c r="AF62" s="80">
        <v>0</v>
      </c>
      <c r="AG62" s="94"/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5" t="s">
        <v>173</v>
      </c>
      <c r="B63" s="80">
        <v>-427.6</v>
      </c>
      <c r="C63" s="80">
        <v>-426.4</v>
      </c>
      <c r="D63" s="80">
        <v>-427</v>
      </c>
      <c r="E63" s="80">
        <v>-422</v>
      </c>
      <c r="F63" s="80">
        <v>-428</v>
      </c>
      <c r="G63" s="80">
        <v>-414</v>
      </c>
      <c r="H63" s="80">
        <v>-407</v>
      </c>
      <c r="I63" s="80">
        <v>-425</v>
      </c>
      <c r="J63" s="80">
        <v>-435</v>
      </c>
      <c r="K63" s="80">
        <v>-423</v>
      </c>
      <c r="L63" s="80">
        <v>-414.8</v>
      </c>
      <c r="M63" s="80">
        <v>-438.2</v>
      </c>
      <c r="N63" s="80">
        <v>-360.9</v>
      </c>
      <c r="O63" s="80">
        <v>-330.5</v>
      </c>
      <c r="P63" s="80">
        <v>-290</v>
      </c>
      <c r="Q63" s="80">
        <v>-340.9</v>
      </c>
      <c r="R63" s="80">
        <v>-320</v>
      </c>
      <c r="S63" s="80">
        <v>-290</v>
      </c>
      <c r="T63" s="80">
        <v>-370</v>
      </c>
      <c r="U63" s="80">
        <v>-421</v>
      </c>
      <c r="V63" s="80">
        <v>-421</v>
      </c>
      <c r="W63" s="80">
        <v>-404</v>
      </c>
      <c r="X63" s="80">
        <v>-362</v>
      </c>
      <c r="Y63" s="80">
        <v>-316</v>
      </c>
      <c r="Z63" s="80">
        <v>-304</v>
      </c>
      <c r="AA63" s="80">
        <v>-324</v>
      </c>
      <c r="AB63" s="80">
        <v>-379.1</v>
      </c>
      <c r="AC63" s="80">
        <v>-361.1</v>
      </c>
      <c r="AD63" s="80">
        <v>-378.4</v>
      </c>
      <c r="AE63" s="80">
        <v>-420</v>
      </c>
      <c r="AF63" s="80">
        <v>-415</v>
      </c>
      <c r="AG63" s="102"/>
      <c r="AH63" s="20">
        <f t="shared" si="2"/>
        <v>-290</v>
      </c>
      <c r="AI63" s="19">
        <f t="shared" si="3"/>
        <v>-438.2</v>
      </c>
      <c r="AK63" s="41"/>
    </row>
    <row r="64" spans="1:41" x14ac:dyDescent="0.25">
      <c r="A64" s="95" t="s">
        <v>156</v>
      </c>
      <c r="B64" s="93">
        <v>0</v>
      </c>
      <c r="C64" s="93">
        <v>0</v>
      </c>
      <c r="D64" s="93">
        <v>0</v>
      </c>
      <c r="E64" s="93">
        <v>0</v>
      </c>
      <c r="F64" s="93">
        <v>0</v>
      </c>
      <c r="G64" s="93">
        <v>0</v>
      </c>
      <c r="H64" s="93">
        <v>0</v>
      </c>
      <c r="I64" s="93">
        <v>0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0</v>
      </c>
      <c r="Z64" s="93">
        <v>0</v>
      </c>
      <c r="AA64" s="93">
        <v>0</v>
      </c>
      <c r="AB64" s="93">
        <v>0</v>
      </c>
      <c r="AC64" s="93">
        <v>0</v>
      </c>
      <c r="AD64" s="93">
        <v>0</v>
      </c>
      <c r="AE64" s="93">
        <v>0</v>
      </c>
      <c r="AF64" s="93">
        <v>0</v>
      </c>
      <c r="AG64" s="102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172</v>
      </c>
      <c r="B65" s="105">
        <v>0</v>
      </c>
      <c r="C65" s="105">
        <v>0</v>
      </c>
      <c r="D65" s="105">
        <v>0</v>
      </c>
      <c r="E65" s="105">
        <v>0</v>
      </c>
      <c r="F65" s="105">
        <v>0</v>
      </c>
      <c r="G65" s="105">
        <v>0</v>
      </c>
      <c r="H65" s="105">
        <v>0</v>
      </c>
      <c r="I65" s="105">
        <v>0</v>
      </c>
      <c r="J65" s="105">
        <v>0</v>
      </c>
      <c r="K65" s="105">
        <v>0</v>
      </c>
      <c r="L65" s="105">
        <v>0</v>
      </c>
      <c r="M65" s="105">
        <v>0</v>
      </c>
      <c r="N65" s="105">
        <v>0</v>
      </c>
      <c r="O65" s="105">
        <v>0</v>
      </c>
      <c r="P65" s="105">
        <v>0</v>
      </c>
      <c r="Q65" s="105">
        <v>0</v>
      </c>
      <c r="R65" s="105">
        <v>0</v>
      </c>
      <c r="S65" s="105">
        <v>0</v>
      </c>
      <c r="T65" s="105">
        <v>0</v>
      </c>
      <c r="U65" s="105">
        <v>0</v>
      </c>
      <c r="V65" s="105">
        <v>0</v>
      </c>
      <c r="W65" s="105">
        <v>0</v>
      </c>
      <c r="X65" s="105">
        <v>0</v>
      </c>
      <c r="Y65" s="105">
        <v>0</v>
      </c>
      <c r="Z65" s="105">
        <v>0</v>
      </c>
      <c r="AA65" s="105">
        <v>0</v>
      </c>
      <c r="AB65" s="105">
        <v>0</v>
      </c>
      <c r="AC65" s="105">
        <v>0</v>
      </c>
      <c r="AD65" s="105">
        <v>0</v>
      </c>
      <c r="AE65" s="105">
        <v>0</v>
      </c>
      <c r="AF65" s="105">
        <v>0</v>
      </c>
      <c r="AG65" s="102"/>
      <c r="AH65" s="20">
        <f t="shared" si="2"/>
        <v>0</v>
      </c>
      <c r="AI65" s="19">
        <f t="shared" si="3"/>
        <v>0</v>
      </c>
      <c r="AK65" s="41"/>
    </row>
    <row r="66" spans="1:37" x14ac:dyDescent="0.25">
      <c r="A66" s="95" t="s">
        <v>171</v>
      </c>
      <c r="B66" s="103">
        <v>0</v>
      </c>
      <c r="C66" s="103">
        <v>0</v>
      </c>
      <c r="D66" s="103">
        <v>0</v>
      </c>
      <c r="E66" s="103">
        <v>0</v>
      </c>
      <c r="F66" s="103">
        <v>0</v>
      </c>
      <c r="G66" s="103">
        <v>0</v>
      </c>
      <c r="H66" s="103">
        <v>0</v>
      </c>
      <c r="I66" s="103">
        <v>0</v>
      </c>
      <c r="J66" s="103">
        <v>0</v>
      </c>
      <c r="K66" s="103">
        <v>0</v>
      </c>
      <c r="L66" s="103">
        <v>0</v>
      </c>
      <c r="M66" s="103">
        <v>0</v>
      </c>
      <c r="N66" s="103">
        <v>0</v>
      </c>
      <c r="O66" s="103">
        <v>0</v>
      </c>
      <c r="P66" s="103">
        <v>0</v>
      </c>
      <c r="Q66" s="103">
        <v>0</v>
      </c>
      <c r="R66" s="103">
        <v>0</v>
      </c>
      <c r="S66" s="103">
        <v>0</v>
      </c>
      <c r="T66" s="103">
        <v>0</v>
      </c>
      <c r="U66" s="103">
        <v>0</v>
      </c>
      <c r="V66" s="103">
        <v>0</v>
      </c>
      <c r="W66" s="103">
        <v>0</v>
      </c>
      <c r="X66" s="103">
        <v>0</v>
      </c>
      <c r="Y66" s="103">
        <v>0</v>
      </c>
      <c r="Z66" s="103">
        <v>0</v>
      </c>
      <c r="AA66" s="103">
        <v>0</v>
      </c>
      <c r="AB66" s="103">
        <v>0</v>
      </c>
      <c r="AC66" s="103">
        <v>0</v>
      </c>
      <c r="AD66" s="103">
        <v>4</v>
      </c>
      <c r="AE66" s="103">
        <v>4</v>
      </c>
      <c r="AF66" s="103">
        <v>4</v>
      </c>
      <c r="AG66" s="102"/>
      <c r="AH66" s="20">
        <f t="shared" si="2"/>
        <v>4</v>
      </c>
      <c r="AI66" s="19">
        <f t="shared" si="3"/>
        <v>0</v>
      </c>
      <c r="AK66" s="41"/>
    </row>
    <row r="67" spans="1:37" x14ac:dyDescent="0.25">
      <c r="A67" s="95" t="s">
        <v>170</v>
      </c>
      <c r="B67" s="103">
        <v>0</v>
      </c>
      <c r="C67" s="103">
        <v>0</v>
      </c>
      <c r="D67" s="103">
        <v>0</v>
      </c>
      <c r="E67" s="103">
        <v>0</v>
      </c>
      <c r="F67" s="103">
        <v>0</v>
      </c>
      <c r="G67" s="103">
        <v>0</v>
      </c>
      <c r="H67" s="103">
        <v>0</v>
      </c>
      <c r="I67" s="103">
        <v>0</v>
      </c>
      <c r="J67" s="103">
        <v>0</v>
      </c>
      <c r="K67" s="103">
        <v>0</v>
      </c>
      <c r="L67" s="103">
        <v>0</v>
      </c>
      <c r="M67" s="103">
        <v>0</v>
      </c>
      <c r="N67" s="103">
        <v>0</v>
      </c>
      <c r="O67" s="103">
        <v>0</v>
      </c>
      <c r="P67" s="103">
        <v>0</v>
      </c>
      <c r="Q67" s="103">
        <v>0</v>
      </c>
      <c r="R67" s="103">
        <v>0</v>
      </c>
      <c r="S67" s="103">
        <v>0</v>
      </c>
      <c r="T67" s="103">
        <v>0</v>
      </c>
      <c r="U67" s="103">
        <v>0</v>
      </c>
      <c r="V67" s="103">
        <v>0</v>
      </c>
      <c r="W67" s="103">
        <v>0</v>
      </c>
      <c r="X67" s="103">
        <v>0</v>
      </c>
      <c r="Y67" s="103">
        <v>0</v>
      </c>
      <c r="Z67" s="103">
        <v>0</v>
      </c>
      <c r="AA67" s="103">
        <v>0</v>
      </c>
      <c r="AB67" s="103">
        <v>0</v>
      </c>
      <c r="AC67" s="103">
        <v>0</v>
      </c>
      <c r="AD67" s="103">
        <v>0</v>
      </c>
      <c r="AE67" s="103">
        <v>0</v>
      </c>
      <c r="AF67" s="103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169</v>
      </c>
      <c r="B68" s="93">
        <v>0</v>
      </c>
      <c r="C68" s="93">
        <v>0</v>
      </c>
      <c r="D68" s="93">
        <v>0</v>
      </c>
      <c r="E68" s="93">
        <v>0</v>
      </c>
      <c r="F68" s="93">
        <v>0</v>
      </c>
      <c r="G68" s="93">
        <v>0</v>
      </c>
      <c r="H68" s="93">
        <v>0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0</v>
      </c>
      <c r="X68" s="93">
        <v>0</v>
      </c>
      <c r="Y68" s="93">
        <v>0</v>
      </c>
      <c r="Z68" s="93">
        <v>0</v>
      </c>
      <c r="AA68" s="93">
        <v>0</v>
      </c>
      <c r="AB68" s="93">
        <v>0</v>
      </c>
      <c r="AC68" s="93">
        <v>0</v>
      </c>
      <c r="AD68" s="93">
        <v>0</v>
      </c>
      <c r="AE68" s="93">
        <v>0</v>
      </c>
      <c r="AF68" s="9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168</v>
      </c>
      <c r="B69" s="93">
        <v>0</v>
      </c>
      <c r="C69" s="93">
        <v>0</v>
      </c>
      <c r="D69" s="93">
        <v>0</v>
      </c>
      <c r="E69" s="93">
        <v>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  <c r="AA69" s="93">
        <v>0</v>
      </c>
      <c r="AB69" s="93">
        <v>0</v>
      </c>
      <c r="AC69" s="93">
        <v>0</v>
      </c>
      <c r="AD69" s="93">
        <v>0</v>
      </c>
      <c r="AE69" s="93">
        <v>0</v>
      </c>
      <c r="AF69" s="9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1" t="s">
        <v>167</v>
      </c>
      <c r="B70" s="90">
        <v>0</v>
      </c>
      <c r="C70" s="90">
        <v>0</v>
      </c>
      <c r="D70" s="90">
        <v>0</v>
      </c>
      <c r="E70" s="90">
        <v>0</v>
      </c>
      <c r="F70" s="90">
        <v>0</v>
      </c>
      <c r="G70" s="90">
        <v>0</v>
      </c>
      <c r="H70" s="90">
        <v>0</v>
      </c>
      <c r="I70" s="90">
        <v>0</v>
      </c>
      <c r="J70" s="90">
        <v>0</v>
      </c>
      <c r="K70" s="90">
        <v>0</v>
      </c>
      <c r="L70" s="90">
        <v>0</v>
      </c>
      <c r="M70" s="90">
        <v>0</v>
      </c>
      <c r="N70" s="90">
        <v>0</v>
      </c>
      <c r="O70" s="90">
        <v>0</v>
      </c>
      <c r="P70" s="90">
        <v>0</v>
      </c>
      <c r="Q70" s="90">
        <v>0</v>
      </c>
      <c r="R70" s="90">
        <v>0</v>
      </c>
      <c r="S70" s="90">
        <v>0</v>
      </c>
      <c r="T70" s="90">
        <v>0</v>
      </c>
      <c r="U70" s="90">
        <v>0</v>
      </c>
      <c r="V70" s="90">
        <v>0</v>
      </c>
      <c r="W70" s="90">
        <v>0</v>
      </c>
      <c r="X70" s="90">
        <v>0</v>
      </c>
      <c r="Y70" s="90">
        <v>0</v>
      </c>
      <c r="Z70" s="90">
        <v>0</v>
      </c>
      <c r="AA70" s="90">
        <v>0</v>
      </c>
      <c r="AB70" s="90">
        <v>0</v>
      </c>
      <c r="AC70" s="90">
        <v>0</v>
      </c>
      <c r="AD70" s="90">
        <v>0</v>
      </c>
      <c r="AE70" s="90">
        <v>0</v>
      </c>
      <c r="AF70" s="90">
        <v>0</v>
      </c>
      <c r="AG70" s="89"/>
      <c r="AH70" s="20">
        <f t="shared" si="2"/>
        <v>0</v>
      </c>
      <c r="AI70" s="19">
        <f t="shared" si="3"/>
        <v>0</v>
      </c>
      <c r="AK70" s="41"/>
    </row>
    <row r="71" spans="1:37" ht="15.75" thickBot="1" x14ac:dyDescent="0.3">
      <c r="A71" s="91" t="s">
        <v>166</v>
      </c>
      <c r="B71" s="90">
        <v>0</v>
      </c>
      <c r="C71" s="90">
        <v>0</v>
      </c>
      <c r="D71" s="90">
        <v>0</v>
      </c>
      <c r="E71" s="90">
        <v>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  <c r="AA71" s="90">
        <v>0</v>
      </c>
      <c r="AB71" s="90">
        <v>0</v>
      </c>
      <c r="AC71" s="90">
        <v>0</v>
      </c>
      <c r="AD71" s="90"/>
      <c r="AE71" s="90"/>
      <c r="AF71" s="90"/>
      <c r="AG71" s="89"/>
      <c r="AH71" s="20">
        <f t="shared" si="2"/>
        <v>0</v>
      </c>
      <c r="AI71" s="19">
        <f t="shared" si="3"/>
        <v>0</v>
      </c>
      <c r="AK71" s="41"/>
    </row>
    <row r="72" spans="1:37" ht="15.75" thickBot="1" x14ac:dyDescent="0.3">
      <c r="A72" s="87" t="s">
        <v>165</v>
      </c>
      <c r="B72" s="86">
        <f t="shared" ref="B72:AF72" si="8">SUMIF(B61:B71,"&gt;0")</f>
        <v>0</v>
      </c>
      <c r="C72" s="86">
        <f t="shared" si="8"/>
        <v>0</v>
      </c>
      <c r="D72" s="86">
        <f t="shared" si="8"/>
        <v>0</v>
      </c>
      <c r="E72" s="86">
        <f t="shared" si="8"/>
        <v>0</v>
      </c>
      <c r="F72" s="86">
        <f t="shared" si="8"/>
        <v>0</v>
      </c>
      <c r="G72" s="86">
        <f t="shared" si="8"/>
        <v>0</v>
      </c>
      <c r="H72" s="86">
        <f t="shared" si="8"/>
        <v>0</v>
      </c>
      <c r="I72" s="86">
        <f t="shared" si="8"/>
        <v>0</v>
      </c>
      <c r="J72" s="86">
        <f t="shared" si="8"/>
        <v>0</v>
      </c>
      <c r="K72" s="86">
        <f t="shared" si="8"/>
        <v>0</v>
      </c>
      <c r="L72" s="86">
        <f t="shared" si="8"/>
        <v>0</v>
      </c>
      <c r="M72" s="86">
        <f t="shared" si="8"/>
        <v>0</v>
      </c>
      <c r="N72" s="86">
        <f t="shared" si="8"/>
        <v>0</v>
      </c>
      <c r="O72" s="86">
        <f t="shared" si="8"/>
        <v>0</v>
      </c>
      <c r="P72" s="86">
        <f t="shared" si="8"/>
        <v>0</v>
      </c>
      <c r="Q72" s="86">
        <f t="shared" si="8"/>
        <v>0</v>
      </c>
      <c r="R72" s="86">
        <f t="shared" si="8"/>
        <v>0</v>
      </c>
      <c r="S72" s="86">
        <f t="shared" si="8"/>
        <v>30</v>
      </c>
      <c r="T72" s="86">
        <f t="shared" si="8"/>
        <v>31</v>
      </c>
      <c r="U72" s="86">
        <f t="shared" si="8"/>
        <v>9</v>
      </c>
      <c r="V72" s="86">
        <f t="shared" si="8"/>
        <v>9</v>
      </c>
      <c r="W72" s="86">
        <f t="shared" si="8"/>
        <v>9</v>
      </c>
      <c r="X72" s="86">
        <f t="shared" si="8"/>
        <v>31</v>
      </c>
      <c r="Y72" s="86">
        <f t="shared" si="8"/>
        <v>27</v>
      </c>
      <c r="Z72" s="86">
        <f t="shared" si="8"/>
        <v>43</v>
      </c>
      <c r="AA72" s="86">
        <f t="shared" si="8"/>
        <v>27</v>
      </c>
      <c r="AB72" s="86">
        <f t="shared" si="8"/>
        <v>65.650000000000006</v>
      </c>
      <c r="AC72" s="86">
        <f t="shared" si="8"/>
        <v>0</v>
      </c>
      <c r="AD72" s="86">
        <f t="shared" si="8"/>
        <v>4</v>
      </c>
      <c r="AE72" s="86">
        <f t="shared" si="8"/>
        <v>4</v>
      </c>
      <c r="AF72" s="86">
        <f t="shared" si="8"/>
        <v>4</v>
      </c>
      <c r="AG72" s="85">
        <f>SUM(AG61:AG71)</f>
        <v>0</v>
      </c>
      <c r="AH72" s="20">
        <f t="shared" si="2"/>
        <v>65.650000000000006</v>
      </c>
      <c r="AI72" s="19">
        <f t="shared" si="3"/>
        <v>0</v>
      </c>
      <c r="AK72" s="41"/>
    </row>
    <row r="73" spans="1:37" x14ac:dyDescent="0.25">
      <c r="A73" s="97" t="s">
        <v>164</v>
      </c>
      <c r="B73" s="93">
        <v>0</v>
      </c>
      <c r="C73" s="93">
        <v>0</v>
      </c>
      <c r="D73" s="93">
        <v>0</v>
      </c>
      <c r="E73" s="93">
        <v>0</v>
      </c>
      <c r="F73" s="93">
        <v>0</v>
      </c>
      <c r="G73" s="93">
        <v>0</v>
      </c>
      <c r="H73" s="93">
        <v>0</v>
      </c>
      <c r="I73" s="93">
        <v>0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0</v>
      </c>
      <c r="X73" s="93">
        <v>0</v>
      </c>
      <c r="Y73" s="93">
        <v>0</v>
      </c>
      <c r="Z73" s="93">
        <v>0</v>
      </c>
      <c r="AA73" s="93">
        <v>0</v>
      </c>
      <c r="AB73" s="93">
        <v>0</v>
      </c>
      <c r="AC73" s="93">
        <v>0</v>
      </c>
      <c r="AD73" s="93">
        <v>0</v>
      </c>
      <c r="AE73" s="93">
        <v>0</v>
      </c>
      <c r="AF73" s="93">
        <v>0</v>
      </c>
      <c r="AG73" s="104">
        <v>39</v>
      </c>
      <c r="AH73" s="20">
        <f t="shared" si="2"/>
        <v>0</v>
      </c>
      <c r="AI73" s="19">
        <f t="shared" si="3"/>
        <v>0</v>
      </c>
      <c r="AK73" s="41"/>
    </row>
    <row r="74" spans="1:37" x14ac:dyDescent="0.25">
      <c r="A74" s="95" t="s">
        <v>163</v>
      </c>
      <c r="B74" s="103">
        <v>0</v>
      </c>
      <c r="C74" s="103">
        <v>0</v>
      </c>
      <c r="D74" s="103">
        <v>0</v>
      </c>
      <c r="E74" s="103">
        <v>0</v>
      </c>
      <c r="F74" s="103">
        <v>0</v>
      </c>
      <c r="G74" s="103">
        <v>0</v>
      </c>
      <c r="H74" s="103">
        <v>0</v>
      </c>
      <c r="I74" s="103">
        <v>0</v>
      </c>
      <c r="J74" s="103">
        <v>0</v>
      </c>
      <c r="K74" s="103">
        <v>0</v>
      </c>
      <c r="L74" s="103">
        <v>0</v>
      </c>
      <c r="M74" s="103">
        <v>0</v>
      </c>
      <c r="N74" s="103">
        <v>0</v>
      </c>
      <c r="O74" s="103">
        <v>0</v>
      </c>
      <c r="P74" s="103">
        <v>0</v>
      </c>
      <c r="Q74" s="103">
        <v>0</v>
      </c>
      <c r="R74" s="103">
        <v>0</v>
      </c>
      <c r="S74" s="103">
        <v>0</v>
      </c>
      <c r="T74" s="103">
        <v>0</v>
      </c>
      <c r="U74" s="103">
        <v>0</v>
      </c>
      <c r="V74" s="103">
        <v>0</v>
      </c>
      <c r="W74" s="103">
        <v>0</v>
      </c>
      <c r="X74" s="103">
        <v>0</v>
      </c>
      <c r="Y74" s="103">
        <v>0</v>
      </c>
      <c r="Z74" s="103">
        <v>0</v>
      </c>
      <c r="AA74" s="103">
        <v>0</v>
      </c>
      <c r="AB74" s="103">
        <v>0</v>
      </c>
      <c r="AC74" s="103">
        <v>0</v>
      </c>
      <c r="AD74" s="103">
        <v>0</v>
      </c>
      <c r="AE74" s="103">
        <v>0</v>
      </c>
      <c r="AF74" s="103">
        <v>0</v>
      </c>
      <c r="AG74" s="102">
        <v>14.4</v>
      </c>
      <c r="AH74" s="20">
        <f t="shared" si="2"/>
        <v>0</v>
      </c>
      <c r="AI74" s="19">
        <f t="shared" si="3"/>
        <v>0</v>
      </c>
      <c r="AK74" s="41"/>
    </row>
    <row r="75" spans="1:37" ht="15.75" thickBot="1" x14ac:dyDescent="0.3">
      <c r="A75" s="91" t="s">
        <v>162</v>
      </c>
      <c r="B75" s="90">
        <v>0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0">
        <v>0</v>
      </c>
      <c r="AG75" s="89">
        <v>2</v>
      </c>
      <c r="AH75" s="20">
        <f t="shared" ref="AH75:AH97" si="9">MAX(B75:AF75)</f>
        <v>0</v>
      </c>
      <c r="AI75" s="19">
        <f>MIN(B75:AF75)</f>
        <v>0</v>
      </c>
    </row>
    <row r="76" spans="1:37" ht="15.75" thickBot="1" x14ac:dyDescent="0.3">
      <c r="A76" s="87" t="s">
        <v>161</v>
      </c>
      <c r="B76" s="86">
        <v>0</v>
      </c>
      <c r="C76" s="86">
        <v>0</v>
      </c>
      <c r="D76" s="86">
        <v>0</v>
      </c>
      <c r="E76" s="86">
        <v>0</v>
      </c>
      <c r="F76" s="86">
        <v>0</v>
      </c>
      <c r="G76" s="86">
        <v>0</v>
      </c>
      <c r="H76" s="86">
        <v>0</v>
      </c>
      <c r="I76" s="86">
        <v>0</v>
      </c>
      <c r="J76" s="86">
        <v>0</v>
      </c>
      <c r="K76" s="86">
        <v>0</v>
      </c>
      <c r="L76" s="86">
        <v>0</v>
      </c>
      <c r="M76" s="86">
        <v>0</v>
      </c>
      <c r="N76" s="86">
        <v>0</v>
      </c>
      <c r="O76" s="86">
        <v>0</v>
      </c>
      <c r="P76" s="86">
        <v>0</v>
      </c>
      <c r="Q76" s="86">
        <v>0</v>
      </c>
      <c r="R76" s="86">
        <v>0</v>
      </c>
      <c r="S76" s="86">
        <v>0</v>
      </c>
      <c r="T76" s="86">
        <v>0</v>
      </c>
      <c r="U76" s="86">
        <v>0</v>
      </c>
      <c r="V76" s="86">
        <v>0</v>
      </c>
      <c r="W76" s="86">
        <v>0</v>
      </c>
      <c r="X76" s="86">
        <v>0</v>
      </c>
      <c r="Y76" s="86">
        <v>0</v>
      </c>
      <c r="Z76" s="86">
        <v>0</v>
      </c>
      <c r="AA76" s="86">
        <v>0</v>
      </c>
      <c r="AB76" s="86">
        <v>0</v>
      </c>
      <c r="AC76" s="86">
        <v>0</v>
      </c>
      <c r="AD76" s="86">
        <v>0</v>
      </c>
      <c r="AE76" s="86">
        <v>0</v>
      </c>
      <c r="AF76" s="86">
        <v>0</v>
      </c>
      <c r="AG76" s="85">
        <f>SUM(AG73:AG75)</f>
        <v>55.4</v>
      </c>
      <c r="AH76" s="20">
        <f t="shared" si="9"/>
        <v>0</v>
      </c>
      <c r="AI76" s="19">
        <f>MIN(B76:AF76)</f>
        <v>0</v>
      </c>
    </row>
    <row r="77" spans="1:37" ht="15.75" thickBot="1" x14ac:dyDescent="0.3">
      <c r="A77" s="87" t="s">
        <v>160</v>
      </c>
      <c r="B77" s="98">
        <f t="shared" ref="B77:AG77" si="10">B38+B42+B60+B56+B72+B76</f>
        <v>1726.44</v>
      </c>
      <c r="C77" s="98">
        <f t="shared" si="10"/>
        <v>1711.2400000000002</v>
      </c>
      <c r="D77" s="98">
        <f t="shared" si="10"/>
        <v>1689.94</v>
      </c>
      <c r="E77" s="98">
        <f t="shared" si="10"/>
        <v>1667.14</v>
      </c>
      <c r="F77" s="98">
        <f t="shared" si="10"/>
        <v>1670.8400000000001</v>
      </c>
      <c r="G77" s="98">
        <f t="shared" si="10"/>
        <v>1638.44</v>
      </c>
      <c r="H77" s="98">
        <f t="shared" si="10"/>
        <v>1644.44</v>
      </c>
      <c r="I77" s="98">
        <f t="shared" si="10"/>
        <v>1662.6399999999999</v>
      </c>
      <c r="J77" s="98">
        <f t="shared" si="10"/>
        <v>1689.0400000000002</v>
      </c>
      <c r="K77" s="98">
        <f t="shared" si="10"/>
        <v>1727.64</v>
      </c>
      <c r="L77" s="98">
        <f t="shared" si="10"/>
        <v>1735.64</v>
      </c>
      <c r="M77" s="98">
        <f t="shared" si="10"/>
        <v>1736.2400000000002</v>
      </c>
      <c r="N77" s="98">
        <f t="shared" si="10"/>
        <v>1712.94</v>
      </c>
      <c r="O77" s="98">
        <f t="shared" si="10"/>
        <v>1711.8400000000001</v>
      </c>
      <c r="P77" s="98">
        <f t="shared" si="10"/>
        <v>1697.94</v>
      </c>
      <c r="Q77" s="98">
        <f t="shared" si="10"/>
        <v>1703.44</v>
      </c>
      <c r="R77" s="98">
        <f t="shared" si="10"/>
        <v>1693.1399999999999</v>
      </c>
      <c r="S77" s="98">
        <f t="shared" si="10"/>
        <v>1711.8400000000001</v>
      </c>
      <c r="T77" s="98">
        <f t="shared" si="10"/>
        <v>1712.8400000000001</v>
      </c>
      <c r="U77" s="98">
        <f t="shared" si="10"/>
        <v>1690.8400000000001</v>
      </c>
      <c r="V77" s="98">
        <f t="shared" si="10"/>
        <v>1744.8400000000001</v>
      </c>
      <c r="W77" s="98">
        <f t="shared" si="10"/>
        <v>1726.8400000000001</v>
      </c>
      <c r="X77" s="98">
        <f t="shared" si="10"/>
        <v>1710.04</v>
      </c>
      <c r="Y77" s="98">
        <f t="shared" si="10"/>
        <v>1817.8400000000001</v>
      </c>
      <c r="Z77" s="98">
        <f t="shared" si="10"/>
        <v>1796.7399999999998</v>
      </c>
      <c r="AA77" s="98">
        <f t="shared" si="10"/>
        <v>1774.6399999999999</v>
      </c>
      <c r="AB77" s="98">
        <f t="shared" si="10"/>
        <v>1705.6900000000003</v>
      </c>
      <c r="AC77" s="98">
        <f t="shared" si="10"/>
        <v>1738.2400000000002</v>
      </c>
      <c r="AD77" s="98">
        <f t="shared" si="10"/>
        <v>1785.5400000000002</v>
      </c>
      <c r="AE77" s="98">
        <f t="shared" si="10"/>
        <v>1745.14</v>
      </c>
      <c r="AF77" s="98">
        <f t="shared" si="10"/>
        <v>1744.04</v>
      </c>
      <c r="AG77" s="101">
        <f t="shared" si="10"/>
        <v>1855.1900000000003</v>
      </c>
      <c r="AH77" s="20">
        <f t="shared" si="9"/>
        <v>1817.8400000000001</v>
      </c>
      <c r="AI77" s="19">
        <f>MIN(B77:AF77)</f>
        <v>1638.44</v>
      </c>
    </row>
    <row r="78" spans="1:37" ht="15.75" thickBot="1" x14ac:dyDescent="0.3">
      <c r="A78" s="100" t="s">
        <v>159</v>
      </c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>
        <v>7</v>
      </c>
      <c r="AC78" s="99"/>
      <c r="AD78" s="99"/>
      <c r="AE78" s="99"/>
      <c r="AF78" s="99"/>
      <c r="AG78" s="85"/>
      <c r="AH78" s="20">
        <f t="shared" si="9"/>
        <v>7</v>
      </c>
      <c r="AI78" s="19">
        <f>MIN(B78:AF78)</f>
        <v>7</v>
      </c>
    </row>
    <row r="79" spans="1:37" ht="15.75" thickBot="1" x14ac:dyDescent="0.3">
      <c r="A79" s="87" t="s">
        <v>158</v>
      </c>
      <c r="B79" s="98">
        <f t="shared" ref="B79:AF79" si="11">B77+B78</f>
        <v>1726.44</v>
      </c>
      <c r="C79" s="98">
        <f t="shared" si="11"/>
        <v>1711.2400000000002</v>
      </c>
      <c r="D79" s="98">
        <f t="shared" si="11"/>
        <v>1689.94</v>
      </c>
      <c r="E79" s="98">
        <f t="shared" si="11"/>
        <v>1667.14</v>
      </c>
      <c r="F79" s="98">
        <f t="shared" si="11"/>
        <v>1670.8400000000001</v>
      </c>
      <c r="G79" s="98">
        <f t="shared" si="11"/>
        <v>1638.44</v>
      </c>
      <c r="H79" s="98">
        <f t="shared" si="11"/>
        <v>1644.44</v>
      </c>
      <c r="I79" s="98">
        <f t="shared" si="11"/>
        <v>1662.6399999999999</v>
      </c>
      <c r="J79" s="98">
        <f t="shared" si="11"/>
        <v>1689.0400000000002</v>
      </c>
      <c r="K79" s="98">
        <f t="shared" si="11"/>
        <v>1727.64</v>
      </c>
      <c r="L79" s="98">
        <f t="shared" si="11"/>
        <v>1735.64</v>
      </c>
      <c r="M79" s="98">
        <f t="shared" si="11"/>
        <v>1736.2400000000002</v>
      </c>
      <c r="N79" s="98">
        <f t="shared" si="11"/>
        <v>1712.94</v>
      </c>
      <c r="O79" s="98">
        <f t="shared" si="11"/>
        <v>1711.8400000000001</v>
      </c>
      <c r="P79" s="98">
        <f t="shared" si="11"/>
        <v>1697.94</v>
      </c>
      <c r="Q79" s="98">
        <f t="shared" si="11"/>
        <v>1703.44</v>
      </c>
      <c r="R79" s="98">
        <f t="shared" si="11"/>
        <v>1693.1399999999999</v>
      </c>
      <c r="S79" s="98">
        <f t="shared" si="11"/>
        <v>1711.8400000000001</v>
      </c>
      <c r="T79" s="98">
        <f t="shared" si="11"/>
        <v>1712.8400000000001</v>
      </c>
      <c r="U79" s="98">
        <f t="shared" si="11"/>
        <v>1690.8400000000001</v>
      </c>
      <c r="V79" s="98">
        <f t="shared" si="11"/>
        <v>1744.8400000000001</v>
      </c>
      <c r="W79" s="98">
        <f t="shared" si="11"/>
        <v>1726.8400000000001</v>
      </c>
      <c r="X79" s="98">
        <f t="shared" si="11"/>
        <v>1710.04</v>
      </c>
      <c r="Y79" s="98">
        <f t="shared" si="11"/>
        <v>1817.8400000000001</v>
      </c>
      <c r="Z79" s="98">
        <f t="shared" si="11"/>
        <v>1796.7399999999998</v>
      </c>
      <c r="AA79" s="98">
        <f t="shared" si="11"/>
        <v>1774.6399999999999</v>
      </c>
      <c r="AB79" s="98">
        <f t="shared" si="11"/>
        <v>1712.6900000000003</v>
      </c>
      <c r="AC79" s="98">
        <f t="shared" si="11"/>
        <v>1738.2400000000002</v>
      </c>
      <c r="AD79" s="98">
        <f t="shared" si="11"/>
        <v>1785.5400000000002</v>
      </c>
      <c r="AE79" s="98">
        <f t="shared" si="11"/>
        <v>1745.14</v>
      </c>
      <c r="AF79" s="98">
        <f t="shared" si="11"/>
        <v>1744.04</v>
      </c>
      <c r="AG79" s="85">
        <f>AG76+AG72+AG60+AG56+AG38+AG78</f>
        <v>1317.0900000000001</v>
      </c>
      <c r="AH79" s="20">
        <f t="shared" si="9"/>
        <v>1817.8400000000001</v>
      </c>
      <c r="AI79" s="19">
        <f>MIN(B79:AF79)</f>
        <v>1638.44</v>
      </c>
    </row>
    <row r="80" spans="1:37" ht="15.75" thickBot="1" x14ac:dyDescent="0.3">
      <c r="A80" s="87" t="s">
        <v>157</v>
      </c>
      <c r="B80" s="98">
        <f t="shared" ref="B80:AF80" si="12">B79-B87</f>
        <v>1298.8400000000001</v>
      </c>
      <c r="C80" s="98">
        <f t="shared" si="12"/>
        <v>1284.8400000000001</v>
      </c>
      <c r="D80" s="98">
        <f t="shared" si="12"/>
        <v>1262.94</v>
      </c>
      <c r="E80" s="98">
        <f t="shared" si="12"/>
        <v>1245.1400000000001</v>
      </c>
      <c r="F80" s="98">
        <f t="shared" si="12"/>
        <v>1242.8400000000001</v>
      </c>
      <c r="G80" s="98">
        <f t="shared" si="12"/>
        <v>1224.44</v>
      </c>
      <c r="H80" s="98">
        <f t="shared" si="12"/>
        <v>1237.44</v>
      </c>
      <c r="I80" s="98">
        <f t="shared" si="12"/>
        <v>1237.6399999999999</v>
      </c>
      <c r="J80" s="98">
        <f t="shared" si="12"/>
        <v>1254.0400000000002</v>
      </c>
      <c r="K80" s="98">
        <f t="shared" si="12"/>
        <v>1304.6400000000001</v>
      </c>
      <c r="L80" s="98">
        <f t="shared" si="12"/>
        <v>1320.8400000000001</v>
      </c>
      <c r="M80" s="98">
        <f t="shared" si="12"/>
        <v>1298.0400000000002</v>
      </c>
      <c r="N80" s="98">
        <f t="shared" si="12"/>
        <v>1352.04</v>
      </c>
      <c r="O80" s="98">
        <f t="shared" si="12"/>
        <v>1381.3400000000001</v>
      </c>
      <c r="P80" s="98">
        <f t="shared" si="12"/>
        <v>1407.94</v>
      </c>
      <c r="Q80" s="98">
        <f t="shared" si="12"/>
        <v>1362.54</v>
      </c>
      <c r="R80" s="98">
        <f t="shared" si="12"/>
        <v>1373.1399999999999</v>
      </c>
      <c r="S80" s="98">
        <f t="shared" si="12"/>
        <v>1421.8400000000001</v>
      </c>
      <c r="T80" s="98">
        <f t="shared" si="12"/>
        <v>1342.8400000000001</v>
      </c>
      <c r="U80" s="98">
        <f t="shared" si="12"/>
        <v>1269.8400000000001</v>
      </c>
      <c r="V80" s="98">
        <f t="shared" si="12"/>
        <v>1323.8400000000001</v>
      </c>
      <c r="W80" s="98">
        <f t="shared" si="12"/>
        <v>1322.8400000000001</v>
      </c>
      <c r="X80" s="98">
        <f t="shared" si="12"/>
        <v>1348.04</v>
      </c>
      <c r="Y80" s="98">
        <f t="shared" si="12"/>
        <v>1501.8400000000001</v>
      </c>
      <c r="Z80" s="98">
        <f t="shared" si="12"/>
        <v>1492.7399999999998</v>
      </c>
      <c r="AA80" s="98">
        <f t="shared" si="12"/>
        <v>1450.6399999999999</v>
      </c>
      <c r="AB80" s="98">
        <f t="shared" si="12"/>
        <v>1333.5900000000001</v>
      </c>
      <c r="AC80" s="98">
        <f t="shared" si="12"/>
        <v>1377.1400000000003</v>
      </c>
      <c r="AD80" s="98">
        <f t="shared" si="12"/>
        <v>1407.1400000000003</v>
      </c>
      <c r="AE80" s="98">
        <f t="shared" si="12"/>
        <v>1325.14</v>
      </c>
      <c r="AF80" s="98">
        <f t="shared" si="12"/>
        <v>1329.04</v>
      </c>
      <c r="AG80" s="85"/>
      <c r="AH80" s="20">
        <f t="shared" si="9"/>
        <v>1501.8400000000001</v>
      </c>
      <c r="AI80" s="19"/>
    </row>
    <row r="81" spans="1:37" x14ac:dyDescent="0.25">
      <c r="A81" s="97" t="s">
        <v>156</v>
      </c>
      <c r="B81" s="93">
        <f t="shared" ref="B81:AF81" si="13">IF(B64&lt;0,B64*-1,0)</f>
        <v>0</v>
      </c>
      <c r="C81" s="93">
        <f t="shared" si="13"/>
        <v>0</v>
      </c>
      <c r="D81" s="93">
        <f t="shared" si="13"/>
        <v>0</v>
      </c>
      <c r="E81" s="93">
        <f t="shared" si="13"/>
        <v>0</v>
      </c>
      <c r="F81" s="93">
        <f t="shared" si="13"/>
        <v>0</v>
      </c>
      <c r="G81" s="93">
        <f t="shared" si="13"/>
        <v>0</v>
      </c>
      <c r="H81" s="93">
        <f t="shared" si="13"/>
        <v>0</v>
      </c>
      <c r="I81" s="93">
        <f t="shared" si="13"/>
        <v>0</v>
      </c>
      <c r="J81" s="93">
        <f t="shared" si="13"/>
        <v>0</v>
      </c>
      <c r="K81" s="93">
        <f t="shared" si="13"/>
        <v>0</v>
      </c>
      <c r="L81" s="93">
        <f t="shared" si="13"/>
        <v>0</v>
      </c>
      <c r="M81" s="93">
        <f t="shared" si="13"/>
        <v>0</v>
      </c>
      <c r="N81" s="93">
        <f t="shared" si="13"/>
        <v>0</v>
      </c>
      <c r="O81" s="93">
        <f t="shared" si="13"/>
        <v>0</v>
      </c>
      <c r="P81" s="93">
        <f t="shared" si="13"/>
        <v>0</v>
      </c>
      <c r="Q81" s="93">
        <f t="shared" si="13"/>
        <v>0</v>
      </c>
      <c r="R81" s="93">
        <f t="shared" si="13"/>
        <v>0</v>
      </c>
      <c r="S81" s="93">
        <f t="shared" si="13"/>
        <v>0</v>
      </c>
      <c r="T81" s="93">
        <f t="shared" si="13"/>
        <v>0</v>
      </c>
      <c r="U81" s="93">
        <f t="shared" si="13"/>
        <v>0</v>
      </c>
      <c r="V81" s="93">
        <f t="shared" si="13"/>
        <v>0</v>
      </c>
      <c r="W81" s="93">
        <f t="shared" si="13"/>
        <v>0</v>
      </c>
      <c r="X81" s="93">
        <f t="shared" si="13"/>
        <v>0</v>
      </c>
      <c r="Y81" s="93">
        <f t="shared" si="13"/>
        <v>0</v>
      </c>
      <c r="Z81" s="93">
        <f t="shared" si="13"/>
        <v>0</v>
      </c>
      <c r="AA81" s="93">
        <f t="shared" si="13"/>
        <v>0</v>
      </c>
      <c r="AB81" s="93">
        <f t="shared" si="13"/>
        <v>0</v>
      </c>
      <c r="AC81" s="93">
        <f t="shared" si="13"/>
        <v>0</v>
      </c>
      <c r="AD81" s="93">
        <f t="shared" si="13"/>
        <v>0</v>
      </c>
      <c r="AE81" s="93">
        <f t="shared" si="13"/>
        <v>0</v>
      </c>
      <c r="AF81" s="93">
        <f t="shared" si="13"/>
        <v>0</v>
      </c>
      <c r="AG81" s="96"/>
      <c r="AH81" s="20">
        <f t="shared" si="9"/>
        <v>0</v>
      </c>
      <c r="AI81" s="19">
        <f t="shared" ref="AI81:AI97" si="14">MIN(B81:AF81)</f>
        <v>0</v>
      </c>
    </row>
    <row r="82" spans="1:37" x14ac:dyDescent="0.25">
      <c r="A82" s="95" t="s">
        <v>155</v>
      </c>
      <c r="B82" s="93">
        <f t="shared" ref="B82:AF82" si="15">IF(B62&lt;0,B62*-1,0)</f>
        <v>0</v>
      </c>
      <c r="C82" s="93">
        <f t="shared" si="15"/>
        <v>0</v>
      </c>
      <c r="D82" s="93">
        <f t="shared" si="15"/>
        <v>0</v>
      </c>
      <c r="E82" s="93">
        <f t="shared" si="15"/>
        <v>0</v>
      </c>
      <c r="F82" s="93">
        <f t="shared" si="15"/>
        <v>0</v>
      </c>
      <c r="G82" s="93">
        <f t="shared" si="15"/>
        <v>0</v>
      </c>
      <c r="H82" s="93">
        <f t="shared" si="15"/>
        <v>0</v>
      </c>
      <c r="I82" s="93">
        <f t="shared" si="15"/>
        <v>0</v>
      </c>
      <c r="J82" s="93">
        <f t="shared" si="15"/>
        <v>0</v>
      </c>
      <c r="K82" s="93">
        <f t="shared" si="15"/>
        <v>0</v>
      </c>
      <c r="L82" s="93">
        <f t="shared" si="15"/>
        <v>0</v>
      </c>
      <c r="M82" s="93">
        <f t="shared" si="15"/>
        <v>0</v>
      </c>
      <c r="N82" s="93">
        <f t="shared" si="15"/>
        <v>0</v>
      </c>
      <c r="O82" s="93">
        <f t="shared" si="15"/>
        <v>0</v>
      </c>
      <c r="P82" s="93">
        <f t="shared" si="15"/>
        <v>0</v>
      </c>
      <c r="Q82" s="93">
        <f t="shared" si="15"/>
        <v>0</v>
      </c>
      <c r="R82" s="93">
        <f t="shared" si="15"/>
        <v>0</v>
      </c>
      <c r="S82" s="93">
        <f t="shared" si="15"/>
        <v>0</v>
      </c>
      <c r="T82" s="93">
        <f t="shared" si="15"/>
        <v>0</v>
      </c>
      <c r="U82" s="93">
        <f t="shared" si="15"/>
        <v>0</v>
      </c>
      <c r="V82" s="93">
        <f t="shared" si="15"/>
        <v>0</v>
      </c>
      <c r="W82" s="93">
        <f t="shared" si="15"/>
        <v>0</v>
      </c>
      <c r="X82" s="93">
        <f t="shared" si="15"/>
        <v>0</v>
      </c>
      <c r="Y82" s="93">
        <f t="shared" si="15"/>
        <v>0</v>
      </c>
      <c r="Z82" s="93">
        <f t="shared" si="15"/>
        <v>0</v>
      </c>
      <c r="AA82" s="93">
        <f t="shared" si="15"/>
        <v>0</v>
      </c>
      <c r="AB82" s="93">
        <f t="shared" si="15"/>
        <v>0</v>
      </c>
      <c r="AC82" s="93">
        <f t="shared" si="15"/>
        <v>0</v>
      </c>
      <c r="AD82" s="93">
        <f t="shared" si="15"/>
        <v>0</v>
      </c>
      <c r="AE82" s="93">
        <f t="shared" si="15"/>
        <v>0</v>
      </c>
      <c r="AF82" s="93">
        <f t="shared" si="15"/>
        <v>0</v>
      </c>
      <c r="AG82" s="94"/>
      <c r="AH82" s="20">
        <f t="shared" si="9"/>
        <v>0</v>
      </c>
      <c r="AI82" s="19">
        <f t="shared" si="14"/>
        <v>0</v>
      </c>
    </row>
    <row r="83" spans="1:37" x14ac:dyDescent="0.25">
      <c r="A83" s="91" t="s">
        <v>154</v>
      </c>
      <c r="B83" s="93">
        <f t="shared" ref="B83:AF83" si="16">IF(B65&lt;0,B65*-1,0)</f>
        <v>0</v>
      </c>
      <c r="C83" s="93">
        <f t="shared" si="16"/>
        <v>0</v>
      </c>
      <c r="D83" s="93">
        <f t="shared" si="16"/>
        <v>0</v>
      </c>
      <c r="E83" s="93">
        <f t="shared" si="16"/>
        <v>0</v>
      </c>
      <c r="F83" s="93">
        <f t="shared" si="16"/>
        <v>0</v>
      </c>
      <c r="G83" s="93">
        <f t="shared" si="16"/>
        <v>0</v>
      </c>
      <c r="H83" s="93">
        <f t="shared" si="16"/>
        <v>0</v>
      </c>
      <c r="I83" s="93">
        <f t="shared" si="16"/>
        <v>0</v>
      </c>
      <c r="J83" s="93">
        <f t="shared" si="16"/>
        <v>0</v>
      </c>
      <c r="K83" s="93">
        <f t="shared" si="16"/>
        <v>0</v>
      </c>
      <c r="L83" s="93">
        <f t="shared" si="16"/>
        <v>0</v>
      </c>
      <c r="M83" s="93">
        <f t="shared" si="16"/>
        <v>0</v>
      </c>
      <c r="N83" s="93">
        <f t="shared" si="16"/>
        <v>0</v>
      </c>
      <c r="O83" s="93">
        <f t="shared" si="16"/>
        <v>0</v>
      </c>
      <c r="P83" s="93">
        <f t="shared" si="16"/>
        <v>0</v>
      </c>
      <c r="Q83" s="93">
        <f t="shared" si="16"/>
        <v>0</v>
      </c>
      <c r="R83" s="93">
        <f t="shared" si="16"/>
        <v>0</v>
      </c>
      <c r="S83" s="93">
        <f t="shared" si="16"/>
        <v>0</v>
      </c>
      <c r="T83" s="93">
        <f t="shared" si="16"/>
        <v>0</v>
      </c>
      <c r="U83" s="93">
        <f t="shared" si="16"/>
        <v>0</v>
      </c>
      <c r="V83" s="93">
        <f t="shared" si="16"/>
        <v>0</v>
      </c>
      <c r="W83" s="93">
        <f t="shared" si="16"/>
        <v>0</v>
      </c>
      <c r="X83" s="93">
        <f t="shared" si="16"/>
        <v>0</v>
      </c>
      <c r="Y83" s="93">
        <f t="shared" si="16"/>
        <v>0</v>
      </c>
      <c r="Z83" s="93">
        <f t="shared" si="16"/>
        <v>0</v>
      </c>
      <c r="AA83" s="93">
        <f t="shared" si="16"/>
        <v>0</v>
      </c>
      <c r="AB83" s="93">
        <f t="shared" si="16"/>
        <v>0</v>
      </c>
      <c r="AC83" s="93">
        <f t="shared" si="16"/>
        <v>0</v>
      </c>
      <c r="AD83" s="93">
        <f t="shared" si="16"/>
        <v>0</v>
      </c>
      <c r="AE83" s="93">
        <f t="shared" si="16"/>
        <v>0</v>
      </c>
      <c r="AF83" s="93">
        <f t="shared" si="16"/>
        <v>0</v>
      </c>
      <c r="AG83" s="92"/>
      <c r="AH83" s="20">
        <f t="shared" si="9"/>
        <v>0</v>
      </c>
      <c r="AI83" s="19">
        <f t="shared" si="14"/>
        <v>0</v>
      </c>
    </row>
    <row r="84" spans="1:37" x14ac:dyDescent="0.25">
      <c r="A84" s="91" t="s">
        <v>153</v>
      </c>
      <c r="B84" s="93">
        <f t="shared" ref="B84:AF84" si="17">IF(B63&lt;0,B63*-1,0)</f>
        <v>427.6</v>
      </c>
      <c r="C84" s="93">
        <f t="shared" si="17"/>
        <v>426.4</v>
      </c>
      <c r="D84" s="93">
        <f t="shared" si="17"/>
        <v>427</v>
      </c>
      <c r="E84" s="93">
        <f t="shared" si="17"/>
        <v>422</v>
      </c>
      <c r="F84" s="93">
        <f t="shared" si="17"/>
        <v>428</v>
      </c>
      <c r="G84" s="93">
        <f t="shared" si="17"/>
        <v>414</v>
      </c>
      <c r="H84" s="93">
        <f t="shared" si="17"/>
        <v>407</v>
      </c>
      <c r="I84" s="93">
        <f t="shared" si="17"/>
        <v>425</v>
      </c>
      <c r="J84" s="93">
        <f t="shared" si="17"/>
        <v>435</v>
      </c>
      <c r="K84" s="93">
        <f t="shared" si="17"/>
        <v>423</v>
      </c>
      <c r="L84" s="93">
        <f t="shared" si="17"/>
        <v>414.8</v>
      </c>
      <c r="M84" s="93">
        <f t="shared" si="17"/>
        <v>438.2</v>
      </c>
      <c r="N84" s="93">
        <f t="shared" si="17"/>
        <v>360.9</v>
      </c>
      <c r="O84" s="93">
        <f t="shared" si="17"/>
        <v>330.5</v>
      </c>
      <c r="P84" s="93">
        <f t="shared" si="17"/>
        <v>290</v>
      </c>
      <c r="Q84" s="93">
        <f t="shared" si="17"/>
        <v>340.9</v>
      </c>
      <c r="R84" s="93">
        <f t="shared" si="17"/>
        <v>320</v>
      </c>
      <c r="S84" s="93">
        <f t="shared" si="17"/>
        <v>290</v>
      </c>
      <c r="T84" s="93">
        <f t="shared" si="17"/>
        <v>370</v>
      </c>
      <c r="U84" s="93">
        <f t="shared" si="17"/>
        <v>421</v>
      </c>
      <c r="V84" s="93">
        <f t="shared" si="17"/>
        <v>421</v>
      </c>
      <c r="W84" s="93">
        <f t="shared" si="17"/>
        <v>404</v>
      </c>
      <c r="X84" s="93">
        <f t="shared" si="17"/>
        <v>362</v>
      </c>
      <c r="Y84" s="93">
        <f t="shared" si="17"/>
        <v>316</v>
      </c>
      <c r="Z84" s="93">
        <f t="shared" si="17"/>
        <v>304</v>
      </c>
      <c r="AA84" s="93">
        <f t="shared" si="17"/>
        <v>324</v>
      </c>
      <c r="AB84" s="93">
        <f t="shared" si="17"/>
        <v>379.1</v>
      </c>
      <c r="AC84" s="93">
        <f t="shared" si="17"/>
        <v>361.1</v>
      </c>
      <c r="AD84" s="93">
        <f t="shared" si="17"/>
        <v>378.4</v>
      </c>
      <c r="AE84" s="93">
        <f t="shared" si="17"/>
        <v>420</v>
      </c>
      <c r="AF84" s="93">
        <f t="shared" si="17"/>
        <v>415</v>
      </c>
      <c r="AG84" s="92"/>
      <c r="AH84" s="20">
        <f t="shared" si="9"/>
        <v>438.2</v>
      </c>
      <c r="AI84" s="19">
        <f t="shared" si="14"/>
        <v>290</v>
      </c>
    </row>
    <row r="85" spans="1:37" x14ac:dyDescent="0.25">
      <c r="A85" s="91" t="s">
        <v>152</v>
      </c>
      <c r="B85" s="93">
        <f t="shared" ref="B85:AF85" si="18">IF(B61&lt;0,B61*-1,0)</f>
        <v>0</v>
      </c>
      <c r="C85" s="93">
        <f t="shared" si="18"/>
        <v>0</v>
      </c>
      <c r="D85" s="93">
        <f t="shared" si="18"/>
        <v>0</v>
      </c>
      <c r="E85" s="93">
        <f t="shared" si="18"/>
        <v>0</v>
      </c>
      <c r="F85" s="93">
        <f t="shared" si="18"/>
        <v>0</v>
      </c>
      <c r="G85" s="93">
        <f t="shared" si="18"/>
        <v>0</v>
      </c>
      <c r="H85" s="93">
        <f t="shared" si="18"/>
        <v>0</v>
      </c>
      <c r="I85" s="93">
        <f t="shared" si="18"/>
        <v>0</v>
      </c>
      <c r="J85" s="93">
        <f t="shared" si="18"/>
        <v>0</v>
      </c>
      <c r="K85" s="93">
        <f t="shared" si="18"/>
        <v>0</v>
      </c>
      <c r="L85" s="93">
        <f t="shared" si="18"/>
        <v>0</v>
      </c>
      <c r="M85" s="93">
        <f t="shared" si="18"/>
        <v>0</v>
      </c>
      <c r="N85" s="93">
        <f t="shared" si="18"/>
        <v>0</v>
      </c>
      <c r="O85" s="93">
        <f t="shared" si="18"/>
        <v>0</v>
      </c>
      <c r="P85" s="93">
        <f t="shared" si="18"/>
        <v>0</v>
      </c>
      <c r="Q85" s="93">
        <f t="shared" si="18"/>
        <v>0</v>
      </c>
      <c r="R85" s="93">
        <f t="shared" si="18"/>
        <v>0</v>
      </c>
      <c r="S85" s="93">
        <f t="shared" si="18"/>
        <v>0</v>
      </c>
      <c r="T85" s="93">
        <f t="shared" si="18"/>
        <v>0</v>
      </c>
      <c r="U85" s="93">
        <f t="shared" si="18"/>
        <v>0</v>
      </c>
      <c r="V85" s="93">
        <f t="shared" si="18"/>
        <v>0</v>
      </c>
      <c r="W85" s="93">
        <f t="shared" si="18"/>
        <v>0</v>
      </c>
      <c r="X85" s="93">
        <f t="shared" si="18"/>
        <v>0</v>
      </c>
      <c r="Y85" s="93">
        <f t="shared" si="18"/>
        <v>0</v>
      </c>
      <c r="Z85" s="93">
        <f t="shared" si="18"/>
        <v>0</v>
      </c>
      <c r="AA85" s="93">
        <f t="shared" si="18"/>
        <v>0</v>
      </c>
      <c r="AB85" s="93">
        <f t="shared" si="18"/>
        <v>0</v>
      </c>
      <c r="AC85" s="93">
        <f t="shared" si="18"/>
        <v>0</v>
      </c>
      <c r="AD85" s="93">
        <f t="shared" si="18"/>
        <v>0</v>
      </c>
      <c r="AE85" s="93">
        <f t="shared" si="18"/>
        <v>0</v>
      </c>
      <c r="AF85" s="93">
        <f t="shared" si="18"/>
        <v>0</v>
      </c>
      <c r="AG85" s="92"/>
      <c r="AH85" s="20">
        <f t="shared" si="9"/>
        <v>0</v>
      </c>
      <c r="AI85" s="19">
        <f t="shared" si="14"/>
        <v>0</v>
      </c>
    </row>
    <row r="86" spans="1:37" ht="15.75" thickBot="1" x14ac:dyDescent="0.3">
      <c r="A86" s="91" t="s">
        <v>151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>
        <v>0</v>
      </c>
      <c r="AA86" s="90">
        <v>0</v>
      </c>
      <c r="AB86" s="90">
        <v>0</v>
      </c>
      <c r="AC86" s="90"/>
      <c r="AD86" s="90"/>
      <c r="AE86" s="90"/>
      <c r="AF86" s="90"/>
      <c r="AG86" s="89"/>
      <c r="AH86" s="20">
        <f t="shared" si="9"/>
        <v>0</v>
      </c>
      <c r="AI86" s="19">
        <f t="shared" si="14"/>
        <v>0</v>
      </c>
    </row>
    <row r="87" spans="1:37" ht="15.75" thickBot="1" x14ac:dyDescent="0.3">
      <c r="A87" s="88" t="s">
        <v>150</v>
      </c>
      <c r="B87" s="86">
        <f t="shared" ref="B87:AF87" si="19">SUM(B81:B86)</f>
        <v>427.6</v>
      </c>
      <c r="C87" s="86">
        <f t="shared" si="19"/>
        <v>426.4</v>
      </c>
      <c r="D87" s="86">
        <f t="shared" si="19"/>
        <v>427</v>
      </c>
      <c r="E87" s="86">
        <f t="shared" si="19"/>
        <v>422</v>
      </c>
      <c r="F87" s="86">
        <f t="shared" si="19"/>
        <v>428</v>
      </c>
      <c r="G87" s="86">
        <f t="shared" si="19"/>
        <v>414</v>
      </c>
      <c r="H87" s="86">
        <f t="shared" si="19"/>
        <v>407</v>
      </c>
      <c r="I87" s="86">
        <f t="shared" si="19"/>
        <v>425</v>
      </c>
      <c r="J87" s="86">
        <f t="shared" si="19"/>
        <v>435</v>
      </c>
      <c r="K87" s="86">
        <f t="shared" si="19"/>
        <v>423</v>
      </c>
      <c r="L87" s="86">
        <f t="shared" si="19"/>
        <v>414.8</v>
      </c>
      <c r="M87" s="86">
        <f t="shared" si="19"/>
        <v>438.2</v>
      </c>
      <c r="N87" s="86">
        <f t="shared" si="19"/>
        <v>360.9</v>
      </c>
      <c r="O87" s="86">
        <f t="shared" si="19"/>
        <v>330.5</v>
      </c>
      <c r="P87" s="86">
        <f t="shared" si="19"/>
        <v>290</v>
      </c>
      <c r="Q87" s="86">
        <f t="shared" si="19"/>
        <v>340.9</v>
      </c>
      <c r="R87" s="86">
        <f t="shared" si="19"/>
        <v>320</v>
      </c>
      <c r="S87" s="86">
        <f t="shared" si="19"/>
        <v>290</v>
      </c>
      <c r="T87" s="86">
        <f t="shared" si="19"/>
        <v>370</v>
      </c>
      <c r="U87" s="86">
        <f t="shared" si="19"/>
        <v>421</v>
      </c>
      <c r="V87" s="86">
        <f t="shared" si="19"/>
        <v>421</v>
      </c>
      <c r="W87" s="86">
        <f t="shared" si="19"/>
        <v>404</v>
      </c>
      <c r="X87" s="86">
        <f t="shared" si="19"/>
        <v>362</v>
      </c>
      <c r="Y87" s="86">
        <f t="shared" si="19"/>
        <v>316</v>
      </c>
      <c r="Z87" s="86">
        <f t="shared" si="19"/>
        <v>304</v>
      </c>
      <c r="AA87" s="86">
        <f t="shared" si="19"/>
        <v>324</v>
      </c>
      <c r="AB87" s="86">
        <f t="shared" si="19"/>
        <v>379.1</v>
      </c>
      <c r="AC87" s="86">
        <f t="shared" si="19"/>
        <v>361.1</v>
      </c>
      <c r="AD87" s="86">
        <f t="shared" si="19"/>
        <v>378.4</v>
      </c>
      <c r="AE87" s="86">
        <f t="shared" si="19"/>
        <v>420</v>
      </c>
      <c r="AF87" s="86">
        <f t="shared" si="19"/>
        <v>415</v>
      </c>
      <c r="AG87" s="85"/>
      <c r="AH87" s="20">
        <f t="shared" si="9"/>
        <v>438.2</v>
      </c>
      <c r="AI87" s="19">
        <f t="shared" si="14"/>
        <v>290</v>
      </c>
      <c r="AK87" s="41"/>
    </row>
    <row r="88" spans="1:37" ht="15.75" thickBot="1" x14ac:dyDescent="0.3">
      <c r="A88" s="87" t="s">
        <v>149</v>
      </c>
      <c r="B88" s="86">
        <f t="shared" ref="B88:AF88" si="20">B72-B87</f>
        <v>-427.6</v>
      </c>
      <c r="C88" s="86">
        <f t="shared" si="20"/>
        <v>-426.4</v>
      </c>
      <c r="D88" s="86">
        <f t="shared" si="20"/>
        <v>-427</v>
      </c>
      <c r="E88" s="86">
        <f t="shared" si="20"/>
        <v>-422</v>
      </c>
      <c r="F88" s="86">
        <f t="shared" si="20"/>
        <v>-428</v>
      </c>
      <c r="G88" s="86">
        <f t="shared" si="20"/>
        <v>-414</v>
      </c>
      <c r="H88" s="86">
        <f t="shared" si="20"/>
        <v>-407</v>
      </c>
      <c r="I88" s="86">
        <f t="shared" si="20"/>
        <v>-425</v>
      </c>
      <c r="J88" s="86">
        <f t="shared" si="20"/>
        <v>-435</v>
      </c>
      <c r="K88" s="86">
        <f t="shared" si="20"/>
        <v>-423</v>
      </c>
      <c r="L88" s="86">
        <f t="shared" si="20"/>
        <v>-414.8</v>
      </c>
      <c r="M88" s="86">
        <f t="shared" si="20"/>
        <v>-438.2</v>
      </c>
      <c r="N88" s="86">
        <f t="shared" si="20"/>
        <v>-360.9</v>
      </c>
      <c r="O88" s="86">
        <f t="shared" si="20"/>
        <v>-330.5</v>
      </c>
      <c r="P88" s="86">
        <f t="shared" si="20"/>
        <v>-290</v>
      </c>
      <c r="Q88" s="86">
        <f t="shared" si="20"/>
        <v>-340.9</v>
      </c>
      <c r="R88" s="86">
        <f t="shared" si="20"/>
        <v>-320</v>
      </c>
      <c r="S88" s="86">
        <f t="shared" si="20"/>
        <v>-260</v>
      </c>
      <c r="T88" s="86">
        <f t="shared" si="20"/>
        <v>-339</v>
      </c>
      <c r="U88" s="86">
        <f t="shared" si="20"/>
        <v>-412</v>
      </c>
      <c r="V88" s="86">
        <f t="shared" si="20"/>
        <v>-412</v>
      </c>
      <c r="W88" s="86">
        <f t="shared" si="20"/>
        <v>-395</v>
      </c>
      <c r="X88" s="86">
        <f t="shared" si="20"/>
        <v>-331</v>
      </c>
      <c r="Y88" s="86">
        <f t="shared" si="20"/>
        <v>-289</v>
      </c>
      <c r="Z88" s="86">
        <f t="shared" si="20"/>
        <v>-261</v>
      </c>
      <c r="AA88" s="86">
        <f t="shared" si="20"/>
        <v>-297</v>
      </c>
      <c r="AB88" s="86">
        <f t="shared" si="20"/>
        <v>-313.45000000000005</v>
      </c>
      <c r="AC88" s="86">
        <f t="shared" si="20"/>
        <v>-361.1</v>
      </c>
      <c r="AD88" s="86">
        <f t="shared" si="20"/>
        <v>-374.4</v>
      </c>
      <c r="AE88" s="86">
        <f t="shared" si="20"/>
        <v>-416</v>
      </c>
      <c r="AF88" s="86">
        <f t="shared" si="20"/>
        <v>-411</v>
      </c>
      <c r="AG88" s="85"/>
      <c r="AH88" s="20">
        <f t="shared" si="9"/>
        <v>-260</v>
      </c>
      <c r="AI88" s="19">
        <f t="shared" si="14"/>
        <v>-438.2</v>
      </c>
    </row>
    <row r="89" spans="1:37" x14ac:dyDescent="0.25">
      <c r="A89" s="47" t="s">
        <v>148</v>
      </c>
      <c r="B89" s="84">
        <v>50.012</v>
      </c>
      <c r="C89" s="84">
        <v>49.987000000000002</v>
      </c>
      <c r="D89" s="84">
        <v>49.872</v>
      </c>
      <c r="E89" s="84">
        <v>49.843000000000004</v>
      </c>
      <c r="F89" s="84">
        <v>49.997</v>
      </c>
      <c r="G89" s="84">
        <v>49.97</v>
      </c>
      <c r="H89" s="84">
        <v>49.97</v>
      </c>
      <c r="I89" s="84">
        <v>50.039000000000001</v>
      </c>
      <c r="J89" s="84">
        <v>49.911999999999999</v>
      </c>
      <c r="K89" s="84">
        <v>49.914999999999999</v>
      </c>
      <c r="L89" s="84">
        <v>49.948</v>
      </c>
      <c r="M89" s="84">
        <v>50.002000000000002</v>
      </c>
      <c r="N89" s="84">
        <v>50.048000000000002</v>
      </c>
      <c r="O89" s="84">
        <v>50.04</v>
      </c>
      <c r="P89" s="84">
        <v>49.904000000000003</v>
      </c>
      <c r="Q89" s="84">
        <v>50.021000000000001</v>
      </c>
      <c r="R89" s="84">
        <v>50.037999999999997</v>
      </c>
      <c r="S89" s="84">
        <v>49.963000000000001</v>
      </c>
      <c r="T89" s="84">
        <v>49.99</v>
      </c>
      <c r="U89" s="84">
        <v>49.981000000000002</v>
      </c>
      <c r="V89" s="84">
        <v>49.981000000000002</v>
      </c>
      <c r="W89" s="84">
        <v>49.981000000000002</v>
      </c>
      <c r="X89" s="84">
        <v>49.978999999999999</v>
      </c>
      <c r="Y89" s="84">
        <v>50.002000000000002</v>
      </c>
      <c r="Z89" s="84">
        <v>49.878</v>
      </c>
      <c r="AA89" s="84">
        <v>49.878</v>
      </c>
      <c r="AB89" s="84">
        <v>50.119</v>
      </c>
      <c r="AC89" s="84">
        <v>50.034999999999997</v>
      </c>
      <c r="AD89" s="84">
        <v>49.997999999999998</v>
      </c>
      <c r="AE89" s="84">
        <v>49.997999999999998</v>
      </c>
      <c r="AF89" s="84">
        <v>50.048000000000002</v>
      </c>
      <c r="AG89" s="83"/>
      <c r="AH89" s="20">
        <f t="shared" si="9"/>
        <v>50.119</v>
      </c>
      <c r="AI89" s="19">
        <f t="shared" si="14"/>
        <v>49.843000000000004</v>
      </c>
    </row>
    <row r="90" spans="1:37" x14ac:dyDescent="0.25">
      <c r="A90" s="44" t="s">
        <v>147</v>
      </c>
      <c r="B90" s="80">
        <v>125.1</v>
      </c>
      <c r="C90" s="80">
        <v>124.6</v>
      </c>
      <c r="D90" s="80">
        <v>125.3</v>
      </c>
      <c r="E90" s="80">
        <v>125.4</v>
      </c>
      <c r="F90" s="80">
        <v>126.1</v>
      </c>
      <c r="G90" s="80">
        <v>125.2</v>
      </c>
      <c r="H90" s="80">
        <v>125.2</v>
      </c>
      <c r="I90" s="80">
        <v>126.5</v>
      </c>
      <c r="J90" s="80">
        <v>124.9</v>
      </c>
      <c r="K90" s="80">
        <v>124.7</v>
      </c>
      <c r="L90" s="80">
        <v>122</v>
      </c>
      <c r="M90" s="80">
        <v>122.9</v>
      </c>
      <c r="N90" s="80">
        <v>123.2</v>
      </c>
      <c r="O90" s="80">
        <v>122.6</v>
      </c>
      <c r="P90" s="80">
        <v>121.6</v>
      </c>
      <c r="Q90" s="80">
        <v>122.9</v>
      </c>
      <c r="R90" s="80">
        <v>121.3</v>
      </c>
      <c r="S90" s="80">
        <v>121.3</v>
      </c>
      <c r="T90" s="80">
        <v>123.6</v>
      </c>
      <c r="U90" s="80">
        <v>124</v>
      </c>
      <c r="V90" s="80">
        <v>124</v>
      </c>
      <c r="W90" s="80">
        <v>124</v>
      </c>
      <c r="X90" s="80">
        <v>124</v>
      </c>
      <c r="Y90" s="80">
        <v>125</v>
      </c>
      <c r="Z90" s="80">
        <v>125</v>
      </c>
      <c r="AA90" s="80">
        <v>125</v>
      </c>
      <c r="AB90" s="80">
        <v>123.2</v>
      </c>
      <c r="AC90" s="80">
        <v>123</v>
      </c>
      <c r="AD90" s="80">
        <v>124.7</v>
      </c>
      <c r="AE90" s="80">
        <v>124.7</v>
      </c>
      <c r="AF90" s="80">
        <v>124.3</v>
      </c>
      <c r="AG90" s="79"/>
      <c r="AH90" s="20">
        <f t="shared" si="9"/>
        <v>126.5</v>
      </c>
      <c r="AI90" s="19">
        <f t="shared" si="14"/>
        <v>121.3</v>
      </c>
    </row>
    <row r="91" spans="1:37" x14ac:dyDescent="0.25">
      <c r="A91" s="44" t="s">
        <v>146</v>
      </c>
      <c r="B91" s="80">
        <v>129.4</v>
      </c>
      <c r="C91" s="80">
        <v>129.4</v>
      </c>
      <c r="D91" s="80">
        <v>129.30000000000001</v>
      </c>
      <c r="E91" s="80">
        <v>129.5</v>
      </c>
      <c r="F91" s="80">
        <v>130.19999999999999</v>
      </c>
      <c r="G91" s="80">
        <v>128.9</v>
      </c>
      <c r="H91" s="80">
        <v>128.9</v>
      </c>
      <c r="I91" s="80">
        <v>129.6</v>
      </c>
      <c r="J91" s="80">
        <v>128</v>
      </c>
      <c r="K91" s="80">
        <v>127.8</v>
      </c>
      <c r="L91" s="80">
        <v>125.4</v>
      </c>
      <c r="M91" s="80">
        <v>125.7</v>
      </c>
      <c r="N91" s="80">
        <v>126.5</v>
      </c>
      <c r="O91" s="80">
        <v>125.3</v>
      </c>
      <c r="P91" s="80">
        <v>124.7</v>
      </c>
      <c r="Q91" s="80">
        <v>125.8</v>
      </c>
      <c r="R91" s="80">
        <v>124.6</v>
      </c>
      <c r="S91" s="80">
        <v>124.6</v>
      </c>
      <c r="T91" s="80">
        <v>126.4</v>
      </c>
      <c r="U91" s="80">
        <v>127</v>
      </c>
      <c r="V91" s="80">
        <v>127</v>
      </c>
      <c r="W91" s="80">
        <v>127</v>
      </c>
      <c r="X91" s="80">
        <v>127</v>
      </c>
      <c r="Y91" s="80">
        <v>127</v>
      </c>
      <c r="Z91" s="80">
        <v>127</v>
      </c>
      <c r="AA91" s="80">
        <v>127</v>
      </c>
      <c r="AB91" s="80">
        <v>127.2</v>
      </c>
      <c r="AC91" s="80">
        <v>127.7</v>
      </c>
      <c r="AD91" s="80">
        <v>128.5</v>
      </c>
      <c r="AE91" s="80">
        <v>128.5</v>
      </c>
      <c r="AF91" s="80">
        <v>129</v>
      </c>
      <c r="AG91" s="79"/>
      <c r="AH91" s="20">
        <f t="shared" si="9"/>
        <v>130.19999999999999</v>
      </c>
      <c r="AI91" s="19">
        <f t="shared" si="14"/>
        <v>124.6</v>
      </c>
    </row>
    <row r="92" spans="1:37" x14ac:dyDescent="0.25">
      <c r="A92" s="44" t="s">
        <v>145</v>
      </c>
      <c r="B92" s="80">
        <v>128.80000000000001</v>
      </c>
      <c r="C92" s="80">
        <v>130.19999999999999</v>
      </c>
      <c r="D92" s="80">
        <v>129.9</v>
      </c>
      <c r="E92" s="80">
        <v>130.5</v>
      </c>
      <c r="F92" s="80">
        <v>131.69999999999999</v>
      </c>
      <c r="G92" s="80">
        <v>130.69999999999999</v>
      </c>
      <c r="H92" s="80">
        <v>130.69999999999999</v>
      </c>
      <c r="I92" s="80">
        <v>131.4</v>
      </c>
      <c r="J92" s="80">
        <v>129.6</v>
      </c>
      <c r="K92" s="80">
        <v>129.6</v>
      </c>
      <c r="L92" s="80">
        <v>127.8</v>
      </c>
      <c r="M92" s="80">
        <v>128.9</v>
      </c>
      <c r="N92" s="80">
        <v>128.80000000000001</v>
      </c>
      <c r="O92" s="80">
        <v>128.4</v>
      </c>
      <c r="P92" s="80">
        <v>126.8</v>
      </c>
      <c r="Q92" s="80">
        <v>128.9</v>
      </c>
      <c r="R92" s="80">
        <v>132</v>
      </c>
      <c r="S92" s="80">
        <v>132</v>
      </c>
      <c r="T92" s="80">
        <v>130.4</v>
      </c>
      <c r="U92" s="80">
        <v>130</v>
      </c>
      <c r="V92" s="80">
        <v>130</v>
      </c>
      <c r="W92" s="80">
        <v>130</v>
      </c>
      <c r="X92" s="80">
        <v>130</v>
      </c>
      <c r="Y92" s="80">
        <v>128</v>
      </c>
      <c r="Z92" s="80">
        <v>128</v>
      </c>
      <c r="AA92" s="80">
        <v>128</v>
      </c>
      <c r="AB92" s="80">
        <v>130.9</v>
      </c>
      <c r="AC92" s="80">
        <v>129.80000000000001</v>
      </c>
      <c r="AD92" s="80">
        <v>130.30000000000001</v>
      </c>
      <c r="AE92" s="80">
        <v>130.30000000000001</v>
      </c>
      <c r="AF92" s="80">
        <v>130.19999999999999</v>
      </c>
      <c r="AG92" s="79"/>
      <c r="AH92" s="20">
        <f t="shared" si="9"/>
        <v>132</v>
      </c>
      <c r="AI92" s="19">
        <f t="shared" si="14"/>
        <v>126.8</v>
      </c>
    </row>
    <row r="93" spans="1:37" x14ac:dyDescent="0.25">
      <c r="A93" s="82" t="s">
        <v>144</v>
      </c>
      <c r="B93" s="80">
        <v>132.1</v>
      </c>
      <c r="C93" s="80">
        <v>133.5</v>
      </c>
      <c r="D93" s="80">
        <v>133.1</v>
      </c>
      <c r="E93" s="80">
        <v>134</v>
      </c>
      <c r="F93" s="80">
        <v>134.80000000000001</v>
      </c>
      <c r="G93" s="80">
        <v>132.5</v>
      </c>
      <c r="H93" s="80">
        <v>132.5</v>
      </c>
      <c r="I93" s="80">
        <v>132.9</v>
      </c>
      <c r="J93" s="80">
        <v>130.9</v>
      </c>
      <c r="K93" s="80">
        <v>132.19999999999999</v>
      </c>
      <c r="L93" s="80">
        <v>130.19999999999999</v>
      </c>
      <c r="M93" s="80">
        <v>131.5</v>
      </c>
      <c r="N93" s="80">
        <v>131.1</v>
      </c>
      <c r="O93" s="80">
        <v>130.19999999999999</v>
      </c>
      <c r="P93" s="80">
        <v>128.9</v>
      </c>
      <c r="Q93" s="80">
        <v>130.69999999999999</v>
      </c>
      <c r="R93" s="80">
        <v>134.1</v>
      </c>
      <c r="S93" s="80">
        <v>134.1</v>
      </c>
      <c r="T93" s="80">
        <v>131</v>
      </c>
      <c r="U93" s="80">
        <v>131</v>
      </c>
      <c r="V93" s="80">
        <v>131</v>
      </c>
      <c r="W93" s="80">
        <v>131</v>
      </c>
      <c r="X93" s="80">
        <v>132</v>
      </c>
      <c r="Y93" s="80">
        <v>130</v>
      </c>
      <c r="Z93" s="80">
        <v>130</v>
      </c>
      <c r="AA93" s="80">
        <v>130</v>
      </c>
      <c r="AB93" s="80">
        <v>133.6</v>
      </c>
      <c r="AC93" s="80">
        <v>132.30000000000001</v>
      </c>
      <c r="AD93" s="80">
        <v>132.9</v>
      </c>
      <c r="AE93" s="80">
        <v>132</v>
      </c>
      <c r="AF93" s="80">
        <v>134.1</v>
      </c>
      <c r="AG93" s="79"/>
      <c r="AH93" s="20">
        <f t="shared" si="9"/>
        <v>134.80000000000001</v>
      </c>
      <c r="AI93" s="19">
        <f t="shared" si="14"/>
        <v>128.9</v>
      </c>
    </row>
    <row r="94" spans="1:37" x14ac:dyDescent="0.25">
      <c r="A94" s="82" t="s">
        <v>143</v>
      </c>
      <c r="B94" s="66">
        <v>133.80000000000001</v>
      </c>
      <c r="C94" s="66">
        <v>133.30000000000001</v>
      </c>
      <c r="D94" s="66">
        <v>131.69999999999999</v>
      </c>
      <c r="E94" s="66">
        <v>132.6</v>
      </c>
      <c r="F94" s="66">
        <v>134.30000000000001</v>
      </c>
      <c r="G94" s="66">
        <v>129.80000000000001</v>
      </c>
      <c r="H94" s="66">
        <v>129.80000000000001</v>
      </c>
      <c r="I94" s="66">
        <v>134.6</v>
      </c>
      <c r="J94" s="66">
        <v>133.1</v>
      </c>
      <c r="K94" s="66">
        <v>134.30000000000001</v>
      </c>
      <c r="L94" s="66">
        <v>132.19999999999999</v>
      </c>
      <c r="M94" s="66">
        <v>132.9</v>
      </c>
      <c r="N94" s="66">
        <v>133.30000000000001</v>
      </c>
      <c r="O94" s="66">
        <v>134.1</v>
      </c>
      <c r="P94" s="66">
        <v>133.30000000000001</v>
      </c>
      <c r="Q94" s="66">
        <v>135.4</v>
      </c>
      <c r="R94" s="66">
        <v>134.30000000000001</v>
      </c>
      <c r="S94" s="66">
        <v>134.30000000000001</v>
      </c>
      <c r="T94" s="66">
        <v>132</v>
      </c>
      <c r="U94" s="66">
        <v>131</v>
      </c>
      <c r="V94" s="66">
        <v>131</v>
      </c>
      <c r="W94" s="66">
        <v>131</v>
      </c>
      <c r="X94" s="66">
        <v>132</v>
      </c>
      <c r="Y94" s="66">
        <v>133</v>
      </c>
      <c r="Z94" s="66">
        <v>133</v>
      </c>
      <c r="AA94" s="66">
        <v>133</v>
      </c>
      <c r="AB94" s="66">
        <v>131.6</v>
      </c>
      <c r="AC94" s="66">
        <v>132.4</v>
      </c>
      <c r="AD94" s="66">
        <v>133.5</v>
      </c>
      <c r="AE94" s="66">
        <v>133.5</v>
      </c>
      <c r="AF94" s="66">
        <v>131.6</v>
      </c>
      <c r="AG94" s="81"/>
      <c r="AH94" s="20">
        <f t="shared" si="9"/>
        <v>135.4</v>
      </c>
      <c r="AI94" s="19">
        <f t="shared" si="14"/>
        <v>129.80000000000001</v>
      </c>
    </row>
    <row r="95" spans="1:37" x14ac:dyDescent="0.25">
      <c r="A95" s="44" t="s">
        <v>142</v>
      </c>
      <c r="B95" s="80">
        <v>132.80000000000001</v>
      </c>
      <c r="C95" s="80">
        <v>132.30000000000001</v>
      </c>
      <c r="D95" s="80">
        <v>131.80000000000001</v>
      </c>
      <c r="E95" s="80">
        <v>132.9</v>
      </c>
      <c r="F95" s="80">
        <v>135.6</v>
      </c>
      <c r="G95" s="80">
        <v>131.5</v>
      </c>
      <c r="H95" s="80">
        <v>131.5</v>
      </c>
      <c r="I95" s="80">
        <v>134.6</v>
      </c>
      <c r="J95" s="80">
        <v>132.69999999999999</v>
      </c>
      <c r="K95" s="80">
        <v>132.6</v>
      </c>
      <c r="L95" s="80">
        <v>130.19999999999999</v>
      </c>
      <c r="M95" s="80">
        <v>128.19999999999999</v>
      </c>
      <c r="N95" s="80">
        <v>130.1</v>
      </c>
      <c r="O95" s="80">
        <v>131.69999999999999</v>
      </c>
      <c r="P95" s="80">
        <v>130.9</v>
      </c>
      <c r="Q95" s="80">
        <v>132.19999999999999</v>
      </c>
      <c r="R95" s="80">
        <v>132.4</v>
      </c>
      <c r="S95" s="80">
        <v>132.4</v>
      </c>
      <c r="T95" s="80">
        <v>133</v>
      </c>
      <c r="U95" s="80">
        <v>130</v>
      </c>
      <c r="V95" s="80">
        <v>130</v>
      </c>
      <c r="W95" s="80">
        <v>130</v>
      </c>
      <c r="X95" s="80">
        <v>137</v>
      </c>
      <c r="Y95" s="80">
        <v>128</v>
      </c>
      <c r="Z95" s="80">
        <v>128</v>
      </c>
      <c r="AA95" s="80">
        <v>128</v>
      </c>
      <c r="AB95" s="80">
        <v>129.69999999999999</v>
      </c>
      <c r="AC95" s="80">
        <v>133.6</v>
      </c>
      <c r="AD95" s="80">
        <v>132.1</v>
      </c>
      <c r="AE95" s="80">
        <v>132.1</v>
      </c>
      <c r="AF95" s="80">
        <v>134.19999999999999</v>
      </c>
      <c r="AG95" s="79"/>
      <c r="AH95" s="20">
        <f t="shared" si="9"/>
        <v>137</v>
      </c>
      <c r="AI95" s="19">
        <f t="shared" si="14"/>
        <v>128</v>
      </c>
    </row>
    <row r="96" spans="1:37" ht="15.75" thickBot="1" x14ac:dyDescent="0.3">
      <c r="A96" s="44" t="s">
        <v>141</v>
      </c>
      <c r="B96" s="77">
        <v>65.400000000000006</v>
      </c>
      <c r="C96" s="77">
        <v>65.2</v>
      </c>
      <c r="D96" s="77">
        <v>65.3</v>
      </c>
      <c r="E96" s="77">
        <v>65.5</v>
      </c>
      <c r="F96" s="77">
        <v>65.8</v>
      </c>
      <c r="G96" s="77">
        <v>65.2</v>
      </c>
      <c r="H96" s="77">
        <v>65.2</v>
      </c>
      <c r="I96" s="77">
        <v>65.3</v>
      </c>
      <c r="J96" s="77">
        <v>64.5</v>
      </c>
      <c r="K96" s="77">
        <v>64.400000000000006</v>
      </c>
      <c r="L96" s="77">
        <v>63</v>
      </c>
      <c r="M96" s="77">
        <v>63.5</v>
      </c>
      <c r="N96" s="77">
        <v>63.9</v>
      </c>
      <c r="O96" s="77">
        <v>62.8</v>
      </c>
      <c r="P96" s="77">
        <v>62.7</v>
      </c>
      <c r="Q96" s="77">
        <v>63.2</v>
      </c>
      <c r="R96" s="77">
        <v>63.5</v>
      </c>
      <c r="S96" s="77">
        <v>63.5</v>
      </c>
      <c r="T96" s="77">
        <v>63.8</v>
      </c>
      <c r="U96" s="77">
        <v>63.8</v>
      </c>
      <c r="V96" s="77">
        <v>63.8</v>
      </c>
      <c r="W96" s="77">
        <v>63.8</v>
      </c>
      <c r="X96" s="77">
        <v>64.400000000000006</v>
      </c>
      <c r="Y96" s="77">
        <v>65</v>
      </c>
      <c r="Z96" s="77">
        <v>65</v>
      </c>
      <c r="AA96" s="77">
        <v>65</v>
      </c>
      <c r="AB96" s="77">
        <v>64.3</v>
      </c>
      <c r="AC96" s="77">
        <v>64.5</v>
      </c>
      <c r="AD96" s="77">
        <v>64.900000000000006</v>
      </c>
      <c r="AE96" s="77">
        <v>64.900000000000006</v>
      </c>
      <c r="AF96" s="77">
        <v>65.099999999999994</v>
      </c>
      <c r="AG96" s="76"/>
      <c r="AH96" s="20">
        <f t="shared" si="9"/>
        <v>65.8</v>
      </c>
      <c r="AI96" s="19">
        <f t="shared" si="14"/>
        <v>62.7</v>
      </c>
    </row>
    <row r="97" spans="1:37" ht="15.75" thickBot="1" x14ac:dyDescent="0.3">
      <c r="A97" s="78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6"/>
      <c r="AH97" s="20">
        <f t="shared" si="9"/>
        <v>0</v>
      </c>
      <c r="AI97" s="19">
        <f t="shared" si="14"/>
        <v>0</v>
      </c>
    </row>
    <row r="98" spans="1:37" ht="15.75" thickBot="1" x14ac:dyDescent="0.3">
      <c r="A98" s="75" t="s">
        <v>140</v>
      </c>
      <c r="B98" s="74">
        <f t="shared" ref="B98:AF98" si="21">SUM(B15,B18,B21:B22,B46,B48:B49,B51,B53,B99:B103,B125,B131,B137,B146,B148,B160,B167,B170:B171,B178,B180,B182,B186:B188,B190:B192,B197,B203:B204,B206:B208,B216,B221)</f>
        <v>57.499999999999979</v>
      </c>
      <c r="C98" s="74">
        <f t="shared" si="21"/>
        <v>49.839999999999975</v>
      </c>
      <c r="D98" s="74">
        <f t="shared" si="21"/>
        <v>41.639999999999993</v>
      </c>
      <c r="E98" s="74">
        <f t="shared" si="21"/>
        <v>32.440000000000005</v>
      </c>
      <c r="F98" s="74">
        <f t="shared" si="21"/>
        <v>34.239999999999974</v>
      </c>
      <c r="G98" s="74">
        <f t="shared" si="21"/>
        <v>51.140000000000029</v>
      </c>
      <c r="H98" s="74">
        <f t="shared" si="21"/>
        <v>51.140000000000029</v>
      </c>
      <c r="I98" s="74">
        <f t="shared" si="21"/>
        <v>98.240000000000009</v>
      </c>
      <c r="J98" s="74">
        <f t="shared" si="21"/>
        <v>125.34</v>
      </c>
      <c r="K98" s="74">
        <f t="shared" si="21"/>
        <v>181.44000000000003</v>
      </c>
      <c r="L98" s="74">
        <f t="shared" si="21"/>
        <v>206.23999999999998</v>
      </c>
      <c r="M98" s="74">
        <f t="shared" si="21"/>
        <v>213.14000000000004</v>
      </c>
      <c r="N98" s="74">
        <f t="shared" si="21"/>
        <v>186.04</v>
      </c>
      <c r="O98" s="74">
        <f t="shared" si="21"/>
        <v>196.74</v>
      </c>
      <c r="P98" s="74">
        <f t="shared" si="21"/>
        <v>182.54</v>
      </c>
      <c r="Q98" s="74">
        <f t="shared" si="21"/>
        <v>174.5</v>
      </c>
      <c r="R98" s="74">
        <f t="shared" si="21"/>
        <v>188.7</v>
      </c>
      <c r="S98" s="74">
        <f t="shared" si="21"/>
        <v>198.8</v>
      </c>
      <c r="T98" s="74">
        <f t="shared" si="21"/>
        <v>179.8</v>
      </c>
      <c r="U98" s="74">
        <f t="shared" si="21"/>
        <v>170.8</v>
      </c>
      <c r="V98" s="74">
        <f t="shared" si="21"/>
        <v>170.8</v>
      </c>
      <c r="W98" s="74">
        <f t="shared" si="21"/>
        <v>166.8</v>
      </c>
      <c r="X98" s="74">
        <f t="shared" si="21"/>
        <v>231.8</v>
      </c>
      <c r="Y98" s="74">
        <f t="shared" si="21"/>
        <v>247.8</v>
      </c>
      <c r="Z98" s="74">
        <f t="shared" si="21"/>
        <v>215.8</v>
      </c>
      <c r="AA98" s="74">
        <f t="shared" si="21"/>
        <v>193.8</v>
      </c>
      <c r="AB98" s="74">
        <f t="shared" si="21"/>
        <v>174.6</v>
      </c>
      <c r="AC98" s="74">
        <f t="shared" si="21"/>
        <v>154.59999999999997</v>
      </c>
      <c r="AD98" s="74">
        <f t="shared" si="21"/>
        <v>122.89999999999998</v>
      </c>
      <c r="AE98" s="74">
        <f t="shared" si="21"/>
        <v>108.59999999999998</v>
      </c>
      <c r="AF98" s="74">
        <f t="shared" si="21"/>
        <v>46.999999999999986</v>
      </c>
      <c r="AG98" s="73"/>
      <c r="AH98" s="20">
        <f>MAX(C98:AF98)</f>
        <v>247.8</v>
      </c>
      <c r="AI98" s="19">
        <f>MIN(C98:AF98)</f>
        <v>32.440000000000005</v>
      </c>
    </row>
    <row r="99" spans="1:37" x14ac:dyDescent="0.25">
      <c r="A99" s="47" t="s">
        <v>139</v>
      </c>
      <c r="B99" s="72">
        <v>16.7</v>
      </c>
      <c r="C99" s="72">
        <v>16.600000000000001</v>
      </c>
      <c r="D99" s="72">
        <v>12.7</v>
      </c>
      <c r="E99" s="72">
        <v>9</v>
      </c>
      <c r="F99" s="72">
        <v>11.2</v>
      </c>
      <c r="G99" s="72">
        <v>0</v>
      </c>
      <c r="H99" s="72">
        <v>0</v>
      </c>
      <c r="I99" s="72">
        <v>12.1</v>
      </c>
      <c r="J99" s="72">
        <v>20.9</v>
      </c>
      <c r="K99" s="72">
        <v>19.600000000000001</v>
      </c>
      <c r="L99" s="72">
        <v>30.2</v>
      </c>
      <c r="M99" s="72">
        <v>27.8</v>
      </c>
      <c r="N99" s="72">
        <v>20.100000000000001</v>
      </c>
      <c r="O99" s="72">
        <v>20</v>
      </c>
      <c r="P99" s="72">
        <v>18.5</v>
      </c>
      <c r="Q99" s="72">
        <v>23.6</v>
      </c>
      <c r="R99" s="72">
        <v>16.100000000000001</v>
      </c>
      <c r="S99" s="72">
        <v>24</v>
      </c>
      <c r="T99" s="72">
        <v>28</v>
      </c>
      <c r="U99" s="72">
        <v>35</v>
      </c>
      <c r="V99" s="72">
        <v>35</v>
      </c>
      <c r="W99" s="72">
        <v>26</v>
      </c>
      <c r="X99" s="72">
        <v>22</v>
      </c>
      <c r="Y99" s="72">
        <v>27</v>
      </c>
      <c r="Z99" s="72">
        <v>37</v>
      </c>
      <c r="AA99" s="72">
        <v>38</v>
      </c>
      <c r="AB99" s="72">
        <v>37.299999999999997</v>
      </c>
      <c r="AC99" s="72">
        <v>40.299999999999997</v>
      </c>
      <c r="AD99" s="72">
        <v>28.6</v>
      </c>
      <c r="AE99" s="72">
        <v>25.2</v>
      </c>
      <c r="AF99" s="72">
        <v>11.8</v>
      </c>
      <c r="AG99" s="70">
        <v>75</v>
      </c>
      <c r="AH99" s="20">
        <f t="shared" ref="AH99:AH107" si="22">IF(ABS(MAX(C99:AF99))&gt;ABS(MIN(C99:AF99)),MAX(C99:AF99),MIN(C99:AF99))</f>
        <v>40.299999999999997</v>
      </c>
      <c r="AI99" s="65">
        <f t="shared" ref="AI99:AI107" si="23">INDEX($C$9:$AF$9,1,MATCH(AH99,C99:AF99,0))</f>
        <v>0.85416666666666663</v>
      </c>
    </row>
    <row r="100" spans="1:37" x14ac:dyDescent="0.25">
      <c r="A100" s="44" t="s">
        <v>138</v>
      </c>
      <c r="B100" s="71">
        <v>33.799999999999997</v>
      </c>
      <c r="C100" s="71">
        <v>33.6</v>
      </c>
      <c r="D100" s="71">
        <v>30.3</v>
      </c>
      <c r="E100" s="71">
        <v>24.6</v>
      </c>
      <c r="F100" s="71">
        <v>27.2</v>
      </c>
      <c r="G100" s="71">
        <v>2.2999999999999998</v>
      </c>
      <c r="H100" s="71">
        <v>2.2999999999999998</v>
      </c>
      <c r="I100" s="71">
        <v>9.1</v>
      </c>
      <c r="J100" s="71">
        <v>27.2</v>
      </c>
      <c r="K100" s="71">
        <v>27.6</v>
      </c>
      <c r="L100" s="71">
        <v>43.5</v>
      </c>
      <c r="M100" s="71">
        <v>41.6</v>
      </c>
      <c r="N100" s="71">
        <v>30.3</v>
      </c>
      <c r="O100" s="71">
        <v>32.200000000000003</v>
      </c>
      <c r="P100" s="71">
        <v>29.5</v>
      </c>
      <c r="Q100" s="71">
        <v>36.4</v>
      </c>
      <c r="R100" s="71">
        <v>26.5</v>
      </c>
      <c r="S100" s="71">
        <v>36</v>
      </c>
      <c r="T100" s="71">
        <v>43</v>
      </c>
      <c r="U100" s="71">
        <v>53</v>
      </c>
      <c r="V100" s="71">
        <v>53</v>
      </c>
      <c r="W100" s="71">
        <v>40</v>
      </c>
      <c r="X100" s="71">
        <v>31</v>
      </c>
      <c r="Y100" s="71">
        <v>39</v>
      </c>
      <c r="Z100" s="71">
        <v>54</v>
      </c>
      <c r="AA100" s="71">
        <v>61</v>
      </c>
      <c r="AB100" s="71">
        <v>60.5</v>
      </c>
      <c r="AC100" s="71">
        <v>65.400000000000006</v>
      </c>
      <c r="AD100" s="71">
        <v>48.7</v>
      </c>
      <c r="AE100" s="71">
        <v>47</v>
      </c>
      <c r="AF100" s="71">
        <v>27.6</v>
      </c>
      <c r="AG100" s="70">
        <v>240</v>
      </c>
      <c r="AH100" s="20">
        <f t="shared" si="22"/>
        <v>65.400000000000006</v>
      </c>
      <c r="AI100" s="65">
        <f t="shared" si="23"/>
        <v>0.85416666666666663</v>
      </c>
    </row>
    <row r="101" spans="1:37" x14ac:dyDescent="0.25">
      <c r="A101" s="44" t="s">
        <v>137</v>
      </c>
      <c r="B101" s="71">
        <v>-139</v>
      </c>
      <c r="C101" s="71">
        <v>-148</v>
      </c>
      <c r="D101" s="71">
        <v>-150</v>
      </c>
      <c r="E101" s="71">
        <f>-69.3-73.2</f>
        <v>-142.5</v>
      </c>
      <c r="F101" s="71">
        <f>-70.2-72.1</f>
        <v>-142.30000000000001</v>
      </c>
      <c r="G101" s="71">
        <f>-56.2-59.4</f>
        <v>-115.6</v>
      </c>
      <c r="H101" s="71">
        <f>-56.2-59.4</f>
        <v>-115.6</v>
      </c>
      <c r="I101" s="71">
        <f>-45-48.5</f>
        <v>-93.5</v>
      </c>
      <c r="J101" s="71">
        <f>-47.4-49.5</f>
        <v>-96.9</v>
      </c>
      <c r="K101" s="71">
        <f>-36.4-38.3</f>
        <v>-74.699999999999989</v>
      </c>
      <c r="L101" s="71">
        <f>-37.4-39.5</f>
        <v>-76.900000000000006</v>
      </c>
      <c r="M101" s="71">
        <f>-32-35</f>
        <v>-67</v>
      </c>
      <c r="N101" s="71">
        <f>-44.8-47.8</f>
        <v>-92.6</v>
      </c>
      <c r="O101" s="71">
        <f>-42-45</f>
        <v>-87</v>
      </c>
      <c r="P101" s="71">
        <f>-46.4-50.3</f>
        <v>-96.699999999999989</v>
      </c>
      <c r="Q101" s="71">
        <f>-48-51</f>
        <v>-99</v>
      </c>
      <c r="R101" s="71">
        <f>-40-43.5</f>
        <v>-83.5</v>
      </c>
      <c r="S101" s="71">
        <v>-93</v>
      </c>
      <c r="T101" s="71">
        <v>-102</v>
      </c>
      <c r="U101" s="71">
        <v>-85</v>
      </c>
      <c r="V101" s="71">
        <v>-85</v>
      </c>
      <c r="W101" s="71">
        <v>-62</v>
      </c>
      <c r="X101" s="71">
        <v>-56</v>
      </c>
      <c r="Y101" s="71">
        <v>-60</v>
      </c>
      <c r="Z101" s="71">
        <v>-47</v>
      </c>
      <c r="AA101" s="71">
        <v>-95</v>
      </c>
      <c r="AB101" s="71">
        <f>-38.3-42.2</f>
        <v>-80.5</v>
      </c>
      <c r="AC101" s="71">
        <f>-51-55.6</f>
        <v>-106.6</v>
      </c>
      <c r="AD101" s="71">
        <f>-57-62</f>
        <v>-119</v>
      </c>
      <c r="AE101" s="71">
        <v>-125</v>
      </c>
      <c r="AF101" s="71">
        <f>-69-74</f>
        <v>-143</v>
      </c>
      <c r="AG101" s="70">
        <v>240</v>
      </c>
      <c r="AH101" s="20">
        <f t="shared" si="22"/>
        <v>-150</v>
      </c>
      <c r="AI101" s="65">
        <f t="shared" si="23"/>
        <v>8.3333333333333301E-2</v>
      </c>
    </row>
    <row r="102" spans="1:37" x14ac:dyDescent="0.25">
      <c r="A102" s="44" t="s">
        <v>136</v>
      </c>
      <c r="B102" s="71">
        <v>-8.4</v>
      </c>
      <c r="C102" s="71">
        <v>-7.5</v>
      </c>
      <c r="D102" s="71">
        <v>-6.4</v>
      </c>
      <c r="E102" s="71">
        <v>-5.4</v>
      </c>
      <c r="F102" s="71">
        <v>-6.1</v>
      </c>
      <c r="G102" s="71">
        <v>-1.7</v>
      </c>
      <c r="H102" s="71">
        <v>-1.7</v>
      </c>
      <c r="I102" s="71">
        <v>3.4</v>
      </c>
      <c r="J102" s="71">
        <v>7</v>
      </c>
      <c r="K102" s="71">
        <v>11.8</v>
      </c>
      <c r="L102" s="71">
        <v>12.3</v>
      </c>
      <c r="M102" s="71">
        <v>14.3</v>
      </c>
      <c r="N102" s="71">
        <v>9</v>
      </c>
      <c r="O102" s="71">
        <v>9.1</v>
      </c>
      <c r="P102" s="71">
        <v>8.6</v>
      </c>
      <c r="Q102" s="71">
        <v>8</v>
      </c>
      <c r="R102" s="71">
        <v>8.1</v>
      </c>
      <c r="S102" s="71">
        <v>10</v>
      </c>
      <c r="T102" s="71">
        <v>9</v>
      </c>
      <c r="U102" s="71">
        <v>7</v>
      </c>
      <c r="V102" s="71">
        <v>7</v>
      </c>
      <c r="W102" s="71">
        <v>10</v>
      </c>
      <c r="X102" s="71">
        <v>14</v>
      </c>
      <c r="Y102" s="71">
        <v>25</v>
      </c>
      <c r="Z102" s="71">
        <v>10</v>
      </c>
      <c r="AA102" s="71">
        <v>-6</v>
      </c>
      <c r="AB102" s="71">
        <v>-5.6</v>
      </c>
      <c r="AC102" s="71">
        <v>-9.1</v>
      </c>
      <c r="AD102" s="71">
        <v>0</v>
      </c>
      <c r="AE102" s="71">
        <v>-3.2</v>
      </c>
      <c r="AF102" s="71">
        <v>-5.7</v>
      </c>
      <c r="AG102" s="70">
        <v>60</v>
      </c>
      <c r="AH102" s="20">
        <f t="shared" si="22"/>
        <v>25</v>
      </c>
      <c r="AI102" s="65">
        <f t="shared" si="23"/>
        <v>0.77083333333333337</v>
      </c>
    </row>
    <row r="103" spans="1:37" x14ac:dyDescent="0.25">
      <c r="A103" s="40" t="s">
        <v>135</v>
      </c>
      <c r="B103" s="68">
        <v>0</v>
      </c>
      <c r="C103" s="68">
        <v>0</v>
      </c>
      <c r="D103" s="68">
        <v>0</v>
      </c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48</v>
      </c>
      <c r="O103" s="68">
        <v>51.2</v>
      </c>
      <c r="P103" s="68">
        <v>54</v>
      </c>
      <c r="Q103" s="68">
        <v>34.6</v>
      </c>
      <c r="R103" s="68">
        <v>60.7</v>
      </c>
      <c r="S103" s="68">
        <v>61</v>
      </c>
      <c r="T103" s="68">
        <v>41</v>
      </c>
      <c r="U103" s="68">
        <v>0</v>
      </c>
      <c r="V103" s="68">
        <v>0</v>
      </c>
      <c r="W103" s="68">
        <v>0</v>
      </c>
      <c r="X103" s="68">
        <v>68</v>
      </c>
      <c r="Y103" s="68">
        <v>64</v>
      </c>
      <c r="Z103" s="68">
        <v>9</v>
      </c>
      <c r="AA103" s="68">
        <v>43</v>
      </c>
      <c r="AB103" s="68">
        <v>0</v>
      </c>
      <c r="AC103" s="68">
        <v>0</v>
      </c>
      <c r="AD103" s="68">
        <v>0</v>
      </c>
      <c r="AE103" s="68">
        <v>0</v>
      </c>
      <c r="AF103" s="68">
        <v>0</v>
      </c>
      <c r="AG103" s="69">
        <v>120</v>
      </c>
      <c r="AH103" s="20">
        <f t="shared" si="22"/>
        <v>68</v>
      </c>
      <c r="AI103" s="65">
        <f t="shared" si="23"/>
        <v>0.75</v>
      </c>
    </row>
    <row r="104" spans="1:37" x14ac:dyDescent="0.25">
      <c r="A104" s="40" t="s">
        <v>134</v>
      </c>
      <c r="B104" s="68">
        <v>22.1</v>
      </c>
      <c r="C104" s="68">
        <v>19.7</v>
      </c>
      <c r="D104" s="68">
        <v>21</v>
      </c>
      <c r="E104" s="68">
        <v>17.399999999999999</v>
      </c>
      <c r="F104" s="68">
        <v>18.600000000000001</v>
      </c>
      <c r="G104" s="68">
        <v>36.700000000000003</v>
      </c>
      <c r="H104" s="68">
        <v>36.700000000000003</v>
      </c>
      <c r="I104" s="68">
        <v>45.3</v>
      </c>
      <c r="J104" s="68">
        <v>31</v>
      </c>
      <c r="K104" s="68">
        <v>56</v>
      </c>
      <c r="L104" s="68">
        <v>54.1</v>
      </c>
      <c r="M104" s="68">
        <v>55.5</v>
      </c>
      <c r="N104" s="68">
        <v>48.9</v>
      </c>
      <c r="O104" s="68">
        <v>54.4</v>
      </c>
      <c r="P104" s="68">
        <v>62.4</v>
      </c>
      <c r="Q104" s="68">
        <v>42.1</v>
      </c>
      <c r="R104" s="68">
        <v>59.9</v>
      </c>
      <c r="S104" s="68">
        <v>65</v>
      </c>
      <c r="T104" s="68">
        <v>42</v>
      </c>
      <c r="U104" s="68">
        <v>45</v>
      </c>
      <c r="V104" s="68">
        <v>45</v>
      </c>
      <c r="W104" s="68">
        <v>45</v>
      </c>
      <c r="X104" s="68">
        <v>70</v>
      </c>
      <c r="Y104" s="68">
        <v>51</v>
      </c>
      <c r="Z104" s="68">
        <v>70</v>
      </c>
      <c r="AA104" s="68">
        <v>41</v>
      </c>
      <c r="AB104" s="68">
        <v>55.2</v>
      </c>
      <c r="AC104" s="68">
        <v>43.3</v>
      </c>
      <c r="AD104" s="68">
        <v>35.299999999999997</v>
      </c>
      <c r="AE104" s="68">
        <v>19.5</v>
      </c>
      <c r="AF104" s="68">
        <v>19</v>
      </c>
      <c r="AG104" s="69"/>
      <c r="AH104" s="20">
        <f t="shared" si="22"/>
        <v>70</v>
      </c>
      <c r="AI104" s="65">
        <f t="shared" si="23"/>
        <v>0.75</v>
      </c>
    </row>
    <row r="105" spans="1:37" x14ac:dyDescent="0.25">
      <c r="A105" s="40" t="s">
        <v>133</v>
      </c>
      <c r="B105" s="68">
        <v>21.7</v>
      </c>
      <c r="C105" s="68">
        <v>17.100000000000001</v>
      </c>
      <c r="D105" s="68">
        <v>32.1</v>
      </c>
      <c r="E105" s="68">
        <v>37.299999999999997</v>
      </c>
      <c r="F105" s="68">
        <v>27.9</v>
      </c>
      <c r="G105" s="68">
        <v>-17.5</v>
      </c>
      <c r="H105" s="68">
        <v>-17.5</v>
      </c>
      <c r="I105" s="68">
        <v>-8.4</v>
      </c>
      <c r="J105" s="68">
        <v>19.100000000000001</v>
      </c>
      <c r="K105" s="68">
        <v>-16.600000000000001</v>
      </c>
      <c r="L105" s="68">
        <v>-17.100000000000001</v>
      </c>
      <c r="M105" s="68">
        <v>-14.1</v>
      </c>
      <c r="N105" s="68">
        <v>-2.4</v>
      </c>
      <c r="O105" s="68">
        <v>0.6</v>
      </c>
      <c r="P105" s="68">
        <v>7.6</v>
      </c>
      <c r="Q105" s="68">
        <v>-9.8000000000000007</v>
      </c>
      <c r="R105" s="68">
        <v>-19.5</v>
      </c>
      <c r="S105" s="68">
        <v>-24</v>
      </c>
      <c r="T105" s="68">
        <v>21.6</v>
      </c>
      <c r="U105" s="68">
        <v>6.5</v>
      </c>
      <c r="V105" s="68">
        <v>6.5</v>
      </c>
      <c r="W105" s="68">
        <v>7</v>
      </c>
      <c r="X105" s="68"/>
      <c r="Y105" s="68">
        <v>20</v>
      </c>
      <c r="Z105" s="68">
        <v>7.6</v>
      </c>
      <c r="AA105" s="68">
        <v>-13</v>
      </c>
      <c r="AB105" s="68">
        <v>3.1</v>
      </c>
      <c r="AC105" s="68">
        <v>-12.3</v>
      </c>
      <c r="AD105" s="68">
        <v>27.7</v>
      </c>
      <c r="AE105" s="68">
        <v>37.700000000000003</v>
      </c>
      <c r="AF105" s="68">
        <v>37.4</v>
      </c>
      <c r="AG105" s="48"/>
      <c r="AH105" s="20">
        <f t="shared" si="22"/>
        <v>37.700000000000003</v>
      </c>
      <c r="AI105" s="65">
        <f t="shared" si="23"/>
        <v>0.91666666666666696</v>
      </c>
    </row>
    <row r="106" spans="1:37" x14ac:dyDescent="0.25">
      <c r="A106" s="67" t="s">
        <v>132</v>
      </c>
      <c r="B106" s="66">
        <v>101.4</v>
      </c>
      <c r="C106" s="66">
        <v>104.7</v>
      </c>
      <c r="D106" s="66">
        <v>102.3</v>
      </c>
      <c r="E106" s="66">
        <v>105.7</v>
      </c>
      <c r="F106" s="66">
        <v>108.7</v>
      </c>
      <c r="G106" s="66">
        <v>110.5</v>
      </c>
      <c r="H106" s="66">
        <v>110.5</v>
      </c>
      <c r="I106" s="66">
        <v>110.7</v>
      </c>
      <c r="J106" s="66">
        <v>109.1</v>
      </c>
      <c r="K106" s="66">
        <v>105.2</v>
      </c>
      <c r="L106" s="66">
        <v>99.9</v>
      </c>
      <c r="M106" s="66">
        <v>93.9</v>
      </c>
      <c r="N106" s="66">
        <v>94.7</v>
      </c>
      <c r="O106" s="66">
        <v>88.1</v>
      </c>
      <c r="P106" s="66">
        <v>82.4</v>
      </c>
      <c r="Q106" s="66">
        <v>86.3</v>
      </c>
      <c r="R106" s="66">
        <v>89.6</v>
      </c>
      <c r="S106" s="66">
        <v>86</v>
      </c>
      <c r="T106" s="66">
        <v>94</v>
      </c>
      <c r="U106" s="66">
        <v>88</v>
      </c>
      <c r="V106" s="66">
        <v>88</v>
      </c>
      <c r="W106" s="66">
        <v>90</v>
      </c>
      <c r="X106" s="66">
        <v>80</v>
      </c>
      <c r="Y106" s="66">
        <v>75</v>
      </c>
      <c r="Z106" s="66">
        <v>81</v>
      </c>
      <c r="AA106" s="66">
        <v>84</v>
      </c>
      <c r="AB106" s="66">
        <v>85.3</v>
      </c>
      <c r="AC106" s="66">
        <v>86.2</v>
      </c>
      <c r="AD106" s="66">
        <v>88.9</v>
      </c>
      <c r="AE106" s="66">
        <v>101.1</v>
      </c>
      <c r="AF106" s="66">
        <v>100.9</v>
      </c>
      <c r="AG106" s="48"/>
      <c r="AH106" s="20">
        <f t="shared" si="22"/>
        <v>110.7</v>
      </c>
      <c r="AI106" s="65">
        <f t="shared" si="23"/>
        <v>0.25</v>
      </c>
    </row>
    <row r="107" spans="1:37" ht="15.75" thickBot="1" x14ac:dyDescent="0.3">
      <c r="A107" s="67" t="s">
        <v>131</v>
      </c>
      <c r="B107" s="66">
        <v>91.5</v>
      </c>
      <c r="C107" s="66">
        <v>98.9</v>
      </c>
      <c r="D107" s="66">
        <v>98.9</v>
      </c>
      <c r="E107" s="66">
        <v>92.1</v>
      </c>
      <c r="F107" s="66">
        <v>92.4</v>
      </c>
      <c r="G107" s="66">
        <v>71.7</v>
      </c>
      <c r="H107" s="66">
        <v>71.7</v>
      </c>
      <c r="I107" s="66">
        <v>64.099999999999994</v>
      </c>
      <c r="J107" s="66">
        <v>67.099999999999994</v>
      </c>
      <c r="K107" s="66">
        <v>51.5</v>
      </c>
      <c r="L107" s="66">
        <v>56.2</v>
      </c>
      <c r="M107" s="66">
        <v>43.4</v>
      </c>
      <c r="N107" s="66">
        <v>57.4</v>
      </c>
      <c r="O107" s="66">
        <v>58.4</v>
      </c>
      <c r="P107" s="66">
        <v>59.1</v>
      </c>
      <c r="Q107" s="66">
        <v>66.099999999999994</v>
      </c>
      <c r="R107" s="66">
        <v>50.2</v>
      </c>
      <c r="S107" s="66">
        <v>69</v>
      </c>
      <c r="T107" s="66">
        <v>70</v>
      </c>
      <c r="U107" s="66">
        <v>55</v>
      </c>
      <c r="V107" s="66">
        <v>55</v>
      </c>
      <c r="W107" s="66">
        <v>36</v>
      </c>
      <c r="X107" s="66">
        <v>34</v>
      </c>
      <c r="Y107" s="66">
        <v>4</v>
      </c>
      <c r="Z107" s="66">
        <v>35</v>
      </c>
      <c r="AA107" s="66">
        <v>65</v>
      </c>
      <c r="AB107" s="66">
        <v>58.1</v>
      </c>
      <c r="AC107" s="66">
        <v>72.7</v>
      </c>
      <c r="AD107" s="66">
        <v>77.599999999999994</v>
      </c>
      <c r="AE107" s="66">
        <v>92.2</v>
      </c>
      <c r="AF107" s="66">
        <v>91.2</v>
      </c>
      <c r="AG107" s="48"/>
      <c r="AH107" s="20">
        <f t="shared" si="22"/>
        <v>98.9</v>
      </c>
      <c r="AI107" s="65">
        <f t="shared" si="23"/>
        <v>4.1666666666666664E-2</v>
      </c>
    </row>
    <row r="108" spans="1:37" ht="15.75" thickBot="1" x14ac:dyDescent="0.3">
      <c r="A108" s="64" t="s">
        <v>130</v>
      </c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165" t="s">
        <v>241</v>
      </c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2"/>
      <c r="AH108" s="20"/>
      <c r="AI108" s="19"/>
      <c r="AK108" s="41"/>
    </row>
    <row r="109" spans="1:37" x14ac:dyDescent="0.25">
      <c r="A109" s="61" t="s">
        <v>129</v>
      </c>
      <c r="B109" s="60"/>
      <c r="C109" s="56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59">
        <v>9.94</v>
      </c>
      <c r="AH109" s="20"/>
      <c r="AI109" s="19"/>
      <c r="AK109" s="41"/>
    </row>
    <row r="110" spans="1:37" x14ac:dyDescent="0.25">
      <c r="A110" s="44" t="s">
        <v>128</v>
      </c>
      <c r="B110" s="60"/>
      <c r="C110" s="56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59"/>
      <c r="AH110" s="20"/>
      <c r="AI110" s="19"/>
      <c r="AK110" s="41"/>
    </row>
    <row r="111" spans="1:37" x14ac:dyDescent="0.25">
      <c r="A111" s="44" t="s">
        <v>127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/>
      <c r="AH111" s="20"/>
      <c r="AI111" s="19"/>
      <c r="AK111" s="41"/>
    </row>
    <row r="112" spans="1:37" x14ac:dyDescent="0.25">
      <c r="A112" s="44" t="s">
        <v>126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125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124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123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122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121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120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119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118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117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116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115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114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113</v>
      </c>
      <c r="B125" s="43"/>
      <c r="C125" s="57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58">
        <v>9.9</v>
      </c>
      <c r="AH125" s="20"/>
      <c r="AI125" s="19"/>
      <c r="AK125" s="41"/>
    </row>
    <row r="126" spans="1:37" x14ac:dyDescent="0.25">
      <c r="A126" s="40" t="s">
        <v>112</v>
      </c>
      <c r="B126" s="43"/>
      <c r="C126" s="57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54">
        <v>9.6579999999999995</v>
      </c>
      <c r="AH126" s="20"/>
      <c r="AI126" s="19"/>
      <c r="AK126" s="41"/>
    </row>
    <row r="127" spans="1:37" x14ac:dyDescent="0.25">
      <c r="A127" s="40" t="s">
        <v>111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4">
        <v>9.6</v>
      </c>
      <c r="AH127" s="20"/>
      <c r="AI127" s="19"/>
      <c r="AK127" s="41"/>
    </row>
    <row r="128" spans="1:37" x14ac:dyDescent="0.25">
      <c r="A128" s="40" t="s">
        <v>110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9.51</v>
      </c>
      <c r="AH128" s="20"/>
      <c r="AI128" s="19"/>
      <c r="AK128" s="41"/>
    </row>
    <row r="129" spans="1:37" x14ac:dyDescent="0.25">
      <c r="A129" s="40" t="s">
        <v>109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9.4</v>
      </c>
      <c r="AH129" s="20"/>
      <c r="AI129" s="19"/>
      <c r="AK129" s="41"/>
    </row>
    <row r="130" spans="1:37" x14ac:dyDescent="0.25">
      <c r="A130" s="40" t="s">
        <v>108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8.8000000000000007</v>
      </c>
      <c r="AH130" s="20"/>
      <c r="AI130" s="19"/>
      <c r="AK130" s="41"/>
    </row>
    <row r="131" spans="1:37" x14ac:dyDescent="0.25">
      <c r="A131" s="40" t="s">
        <v>107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8.5</v>
      </c>
      <c r="AH131" s="20"/>
      <c r="AI131" s="19"/>
      <c r="AK131" s="41"/>
    </row>
    <row r="132" spans="1:37" x14ac:dyDescent="0.25">
      <c r="A132" s="40" t="s">
        <v>106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8.5</v>
      </c>
      <c r="AH132" s="20"/>
      <c r="AI132" s="19"/>
      <c r="AK132" s="41"/>
    </row>
    <row r="133" spans="1:37" x14ac:dyDescent="0.25">
      <c r="A133" s="40" t="s">
        <v>105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8.4</v>
      </c>
      <c r="AH133" s="20"/>
      <c r="AI133" s="19"/>
      <c r="AK133" s="41"/>
    </row>
    <row r="134" spans="1:37" ht="13.5" customHeight="1" x14ac:dyDescent="0.25">
      <c r="A134" s="40" t="s">
        <v>104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</v>
      </c>
      <c r="AH134" s="20"/>
      <c r="AI134" s="19"/>
      <c r="AK134" s="41"/>
    </row>
    <row r="135" spans="1:37" x14ac:dyDescent="0.25">
      <c r="A135" s="40" t="s">
        <v>103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</v>
      </c>
      <c r="AH135" s="20"/>
      <c r="AI135" s="19"/>
      <c r="AK135" s="41"/>
    </row>
    <row r="136" spans="1:37" x14ac:dyDescent="0.25">
      <c r="A136" s="40" t="s">
        <v>102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101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7.8</v>
      </c>
      <c r="AH137" s="20"/>
      <c r="AI137" s="19"/>
      <c r="AK137" s="41"/>
    </row>
    <row r="138" spans="1:37" x14ac:dyDescent="0.25">
      <c r="A138" s="40" t="s">
        <v>100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7.6</v>
      </c>
      <c r="AH138" s="20"/>
      <c r="AI138" s="19"/>
      <c r="AK138" s="41"/>
    </row>
    <row r="139" spans="1:37" x14ac:dyDescent="0.25">
      <c r="A139" s="40" t="s">
        <v>99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7.5</v>
      </c>
      <c r="AH139" s="20"/>
      <c r="AI139" s="19"/>
      <c r="AK139" s="41"/>
    </row>
    <row r="140" spans="1:37" x14ac:dyDescent="0.25">
      <c r="A140" s="40" t="s">
        <v>98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7.5</v>
      </c>
      <c r="AH140" s="20"/>
      <c r="AI140" s="19"/>
      <c r="AK140" s="41"/>
    </row>
    <row r="141" spans="1:37" x14ac:dyDescent="0.25">
      <c r="A141" s="40" t="s">
        <v>97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</v>
      </c>
      <c r="AH141" s="20"/>
      <c r="AI141" s="19"/>
      <c r="AK141" s="41"/>
    </row>
    <row r="142" spans="1:37" x14ac:dyDescent="0.25">
      <c r="A142" s="40" t="s">
        <v>96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</v>
      </c>
      <c r="AH142" s="20"/>
      <c r="AI142" s="19"/>
      <c r="AK142" s="41"/>
    </row>
    <row r="143" spans="1:37" x14ac:dyDescent="0.25">
      <c r="A143" s="40" t="s">
        <v>95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94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93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6.6</v>
      </c>
      <c r="AH145" s="20"/>
      <c r="AI145" s="19"/>
      <c r="AK145" s="41"/>
    </row>
    <row r="146" spans="1:37" x14ac:dyDescent="0.25">
      <c r="A146" s="40" t="s">
        <v>92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6.6</v>
      </c>
      <c r="AH146" s="20"/>
      <c r="AI146" s="19"/>
      <c r="AK146" s="41"/>
    </row>
    <row r="147" spans="1:37" x14ac:dyDescent="0.25">
      <c r="A147" s="40" t="s">
        <v>91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6.4</v>
      </c>
      <c r="AH147" s="20"/>
      <c r="AI147" s="19"/>
      <c r="AK147" s="41"/>
    </row>
    <row r="148" spans="1:37" x14ac:dyDescent="0.25">
      <c r="A148" s="40" t="s">
        <v>90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</v>
      </c>
      <c r="AH148" s="20"/>
      <c r="AI148" s="19"/>
      <c r="AK148" s="41"/>
    </row>
    <row r="149" spans="1:37" x14ac:dyDescent="0.25">
      <c r="A149" s="40" t="s">
        <v>89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5.0999999999999996</v>
      </c>
      <c r="AH149" s="20"/>
      <c r="AI149" s="19"/>
      <c r="AK149" s="41"/>
    </row>
    <row r="150" spans="1:37" x14ac:dyDescent="0.25">
      <c r="A150" s="40" t="s">
        <v>88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5</v>
      </c>
      <c r="AH150" s="20"/>
      <c r="AI150" s="19"/>
      <c r="AK150" s="41"/>
    </row>
    <row r="151" spans="1:37" x14ac:dyDescent="0.25">
      <c r="A151" s="44" t="s">
        <v>87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8">
        <v>5</v>
      </c>
      <c r="AH151" s="20"/>
      <c r="AI151" s="19"/>
      <c r="AK151" s="41"/>
    </row>
    <row r="152" spans="1:37" x14ac:dyDescent="0.25">
      <c r="A152" s="40" t="s">
        <v>86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0" t="s">
        <v>85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4">
        <v>5</v>
      </c>
      <c r="AH153" s="20"/>
      <c r="AI153" s="19"/>
      <c r="AK153" s="41"/>
    </row>
    <row r="154" spans="1:37" x14ac:dyDescent="0.25">
      <c r="A154" s="40" t="s">
        <v>84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83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82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81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4.9930000000000003</v>
      </c>
      <c r="AH157" s="20"/>
      <c r="AI157" s="19"/>
      <c r="AK157" s="41"/>
    </row>
    <row r="158" spans="1:37" x14ac:dyDescent="0.25">
      <c r="A158" s="40" t="s">
        <v>80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4.9800000000000004</v>
      </c>
      <c r="AH158" s="20"/>
      <c r="AI158" s="19"/>
      <c r="AK158" s="41"/>
    </row>
    <row r="159" spans="1:37" x14ac:dyDescent="0.25">
      <c r="A159" s="40" t="s">
        <v>79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4.95</v>
      </c>
      <c r="AH159" s="20"/>
      <c r="AI159" s="19"/>
      <c r="AK159" s="41"/>
    </row>
    <row r="160" spans="1:37" x14ac:dyDescent="0.25">
      <c r="A160" s="40" t="s">
        <v>78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4.95</v>
      </c>
      <c r="AH160" s="20"/>
      <c r="AI160" s="19"/>
      <c r="AK160" s="41"/>
    </row>
    <row r="161" spans="1:37" x14ac:dyDescent="0.25">
      <c r="A161" s="40" t="s">
        <v>77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4.8</v>
      </c>
      <c r="AH161" s="20"/>
      <c r="AI161" s="19"/>
      <c r="AK161" s="41"/>
    </row>
    <row r="162" spans="1:37" x14ac:dyDescent="0.25">
      <c r="A162" s="40" t="s">
        <v>76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4.8</v>
      </c>
      <c r="AH162" s="20"/>
      <c r="AI162" s="19"/>
      <c r="AK162" s="41"/>
    </row>
    <row r="163" spans="1:37" x14ac:dyDescent="0.25">
      <c r="A163" s="40" t="s">
        <v>75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74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4.5</v>
      </c>
      <c r="AH164" s="20"/>
      <c r="AI164" s="19"/>
      <c r="AK164" s="41"/>
    </row>
    <row r="165" spans="1:37" x14ac:dyDescent="0.25">
      <c r="A165" s="40" t="s">
        <v>73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4.5</v>
      </c>
      <c r="AH165" s="20"/>
      <c r="AI165" s="19"/>
      <c r="AK165" s="41"/>
    </row>
    <row r="166" spans="1:37" x14ac:dyDescent="0.25">
      <c r="A166" s="40" t="s">
        <v>72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4.4550000000000001</v>
      </c>
      <c r="AH166" s="20"/>
      <c r="AI166" s="19"/>
      <c r="AK166" s="41"/>
    </row>
    <row r="167" spans="1:37" x14ac:dyDescent="0.25">
      <c r="A167" s="40" t="s">
        <v>71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4.41</v>
      </c>
      <c r="AH167" s="20"/>
      <c r="AI167" s="19"/>
      <c r="AK167" s="41"/>
    </row>
    <row r="168" spans="1:37" x14ac:dyDescent="0.25">
      <c r="A168" s="40" t="s">
        <v>70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4.4000000000000004</v>
      </c>
      <c r="AH168" s="20"/>
      <c r="AI168" s="19"/>
      <c r="AK168" s="41"/>
    </row>
    <row r="169" spans="1:37" x14ac:dyDescent="0.25">
      <c r="A169" s="40" t="s">
        <v>69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4.3600000000000003</v>
      </c>
      <c r="AH169" s="20"/>
      <c r="AI169" s="19"/>
      <c r="AK169" s="41"/>
    </row>
    <row r="170" spans="1:37" x14ac:dyDescent="0.25">
      <c r="A170" s="40" t="s">
        <v>68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4.2</v>
      </c>
      <c r="AH170" s="20"/>
      <c r="AI170" s="19"/>
      <c r="AK170" s="41"/>
    </row>
    <row r="171" spans="1:37" x14ac:dyDescent="0.25">
      <c r="A171" s="40" t="s">
        <v>67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</v>
      </c>
      <c r="AH171" s="20"/>
      <c r="AI171" s="19"/>
      <c r="AK171" s="41"/>
    </row>
    <row r="172" spans="1:37" x14ac:dyDescent="0.25">
      <c r="A172" s="40" t="s">
        <v>66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</v>
      </c>
      <c r="AH172" s="20"/>
      <c r="AI172" s="19"/>
      <c r="AK172" s="41"/>
    </row>
    <row r="173" spans="1:37" x14ac:dyDescent="0.25">
      <c r="A173" s="40" t="s">
        <v>65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64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63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62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61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60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59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3.75</v>
      </c>
      <c r="AH179" s="20"/>
      <c r="AI179" s="19"/>
      <c r="AK179" s="41"/>
    </row>
    <row r="180" spans="1:37" x14ac:dyDescent="0.25">
      <c r="A180" s="40" t="s">
        <v>58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3.52</v>
      </c>
      <c r="AH180" s="20"/>
      <c r="AI180" s="19"/>
      <c r="AK180" s="41"/>
    </row>
    <row r="181" spans="1:37" x14ac:dyDescent="0.25">
      <c r="A181" s="40" t="s">
        <v>57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3.33</v>
      </c>
      <c r="AH181" s="20"/>
      <c r="AI181" s="19"/>
      <c r="AK181" s="41"/>
    </row>
    <row r="182" spans="1:37" x14ac:dyDescent="0.25">
      <c r="A182" s="40" t="s">
        <v>56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3.2</v>
      </c>
      <c r="AH182" s="20"/>
      <c r="AI182" s="19"/>
      <c r="AK182" s="41"/>
    </row>
    <row r="183" spans="1:37" x14ac:dyDescent="0.25">
      <c r="A183" s="40" t="s">
        <v>55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</v>
      </c>
      <c r="AH183" s="20"/>
      <c r="AI183" s="19"/>
      <c r="AK183" s="41"/>
    </row>
    <row r="184" spans="1:37" x14ac:dyDescent="0.25">
      <c r="A184" s="40" t="s">
        <v>54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</v>
      </c>
      <c r="AH184" s="20"/>
      <c r="AI184" s="19"/>
      <c r="AK184" s="41"/>
    </row>
    <row r="185" spans="1:37" x14ac:dyDescent="0.25">
      <c r="A185" s="40" t="s">
        <v>53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52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51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50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49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48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47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2.83</v>
      </c>
      <c r="AH191" s="20"/>
      <c r="AI191" s="19"/>
      <c r="AK191" s="41"/>
    </row>
    <row r="192" spans="1:37" x14ac:dyDescent="0.25">
      <c r="A192" s="40" t="s">
        <v>46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2.5</v>
      </c>
      <c r="AH192" s="20"/>
      <c r="AI192" s="19"/>
      <c r="AK192" s="41"/>
    </row>
    <row r="193" spans="1:37" x14ac:dyDescent="0.25">
      <c r="A193" s="40" t="s">
        <v>45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2.5</v>
      </c>
      <c r="AH193" s="20"/>
      <c r="AI193" s="19"/>
      <c r="AK193" s="41"/>
    </row>
    <row r="194" spans="1:37" x14ac:dyDescent="0.25">
      <c r="A194" s="40" t="s">
        <v>44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2.4</v>
      </c>
      <c r="AH194" s="20"/>
      <c r="AI194" s="19"/>
      <c r="AK194" s="41"/>
    </row>
    <row r="195" spans="1:37" x14ac:dyDescent="0.25">
      <c r="A195" s="40" t="s">
        <v>43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2.4</v>
      </c>
      <c r="AH195" s="20"/>
      <c r="AI195" s="19"/>
      <c r="AK195" s="41"/>
    </row>
    <row r="196" spans="1:37" x14ac:dyDescent="0.25">
      <c r="A196" s="40" t="s">
        <v>42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2.2000000000000002</v>
      </c>
      <c r="AH196" s="20"/>
      <c r="AI196" s="19"/>
      <c r="AK196" s="41"/>
    </row>
    <row r="197" spans="1:37" x14ac:dyDescent="0.25">
      <c r="A197" s="40" t="s">
        <v>41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</v>
      </c>
      <c r="AH197" s="20"/>
      <c r="AI197" s="19"/>
      <c r="AK197" s="41"/>
    </row>
    <row r="198" spans="1:37" x14ac:dyDescent="0.25">
      <c r="A198" s="40" t="s">
        <v>40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</v>
      </c>
      <c r="AH198" s="20"/>
      <c r="AI198" s="19"/>
      <c r="AK198" s="41"/>
    </row>
    <row r="199" spans="1:37" x14ac:dyDescent="0.25">
      <c r="A199" s="40" t="s">
        <v>39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38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1.8</v>
      </c>
      <c r="AH200" s="20"/>
      <c r="AI200" s="19"/>
      <c r="AK200" s="41"/>
    </row>
    <row r="201" spans="1:37" x14ac:dyDescent="0.25">
      <c r="A201" s="40" t="s">
        <v>37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1.8</v>
      </c>
      <c r="AH201" s="20"/>
      <c r="AI201" s="19"/>
      <c r="AK201" s="41"/>
    </row>
    <row r="202" spans="1:37" x14ac:dyDescent="0.25">
      <c r="A202" s="40" t="s">
        <v>36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1.65</v>
      </c>
      <c r="AH202" s="20"/>
      <c r="AI202" s="19"/>
      <c r="AK202" s="41"/>
    </row>
    <row r="203" spans="1:37" x14ac:dyDescent="0.25">
      <c r="A203" s="40" t="s">
        <v>35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1.5</v>
      </c>
      <c r="AH203" s="20"/>
      <c r="AI203" s="19"/>
      <c r="AK203" s="41"/>
    </row>
    <row r="204" spans="1:37" x14ac:dyDescent="0.25">
      <c r="A204" s="40" t="s">
        <v>34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0.998</v>
      </c>
      <c r="AH204" s="20"/>
      <c r="AI204" s="19"/>
      <c r="AK204" s="41"/>
    </row>
    <row r="205" spans="1:37" x14ac:dyDescent="0.25">
      <c r="A205" s="40" t="s">
        <v>33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0.997</v>
      </c>
      <c r="AH205" s="20"/>
      <c r="AI205" s="19"/>
      <c r="AK205" s="41"/>
    </row>
    <row r="206" spans="1:37" x14ac:dyDescent="0.25">
      <c r="A206" s="40" t="s">
        <v>32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0.997</v>
      </c>
      <c r="AH206" s="20"/>
      <c r="AI206" s="19"/>
      <c r="AK206" s="41"/>
    </row>
    <row r="207" spans="1:37" x14ac:dyDescent="0.25">
      <c r="A207" s="40" t="s">
        <v>31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0.996</v>
      </c>
      <c r="AH207" s="20"/>
      <c r="AI207" s="19"/>
      <c r="AK207" s="41"/>
    </row>
    <row r="208" spans="1:37" x14ac:dyDescent="0.25">
      <c r="A208" s="40" t="s">
        <v>30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0.996</v>
      </c>
      <c r="AH208" s="20"/>
      <c r="AI208" s="19"/>
      <c r="AK208" s="41"/>
    </row>
    <row r="209" spans="1:37" x14ac:dyDescent="0.25">
      <c r="A209" s="40" t="s">
        <v>29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28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0.995</v>
      </c>
      <c r="AH210" s="20"/>
      <c r="AI210" s="19"/>
      <c r="AK210" s="41"/>
    </row>
    <row r="211" spans="1:37" x14ac:dyDescent="0.25">
      <c r="A211" s="40" t="s">
        <v>27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0.99299999999999999</v>
      </c>
      <c r="AH211" s="20"/>
      <c r="AI211" s="19"/>
      <c r="AK211" s="41"/>
    </row>
    <row r="212" spans="1:37" x14ac:dyDescent="0.25">
      <c r="A212" s="40" t="s">
        <v>26</v>
      </c>
      <c r="B212" s="43"/>
      <c r="C212" s="56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</v>
      </c>
      <c r="AH212" s="20"/>
      <c r="AI212" s="19"/>
      <c r="AK212" s="41"/>
    </row>
    <row r="213" spans="1:37" ht="15.75" thickBot="1" x14ac:dyDescent="0.3">
      <c r="A213" s="40" t="s">
        <v>25</v>
      </c>
      <c r="B213" s="39"/>
      <c r="C213" s="55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54">
        <v>0.97899999999999998</v>
      </c>
      <c r="AH213" s="20"/>
      <c r="AI213" s="19"/>
      <c r="AK213" s="41"/>
    </row>
    <row r="214" spans="1:37" ht="15.75" thickBot="1" x14ac:dyDescent="0.3">
      <c r="A214" s="53" t="s">
        <v>24</v>
      </c>
      <c r="B214" s="52">
        <f t="shared" ref="B214:AG214" si="24">SUM(B109:B213)</f>
        <v>0</v>
      </c>
      <c r="C214" s="36">
        <f t="shared" si="24"/>
        <v>0</v>
      </c>
      <c r="D214" s="36">
        <f t="shared" si="24"/>
        <v>0</v>
      </c>
      <c r="E214" s="36">
        <f t="shared" si="24"/>
        <v>0</v>
      </c>
      <c r="F214" s="36">
        <f t="shared" si="24"/>
        <v>0</v>
      </c>
      <c r="G214" s="36">
        <f t="shared" si="24"/>
        <v>0</v>
      </c>
      <c r="H214" s="36">
        <f t="shared" si="24"/>
        <v>0</v>
      </c>
      <c r="I214" s="36">
        <f t="shared" si="24"/>
        <v>0</v>
      </c>
      <c r="J214" s="36">
        <f t="shared" si="24"/>
        <v>0</v>
      </c>
      <c r="K214" s="36">
        <f t="shared" si="24"/>
        <v>0</v>
      </c>
      <c r="L214" s="36">
        <f t="shared" si="24"/>
        <v>0</v>
      </c>
      <c r="M214" s="36">
        <f t="shared" si="24"/>
        <v>0</v>
      </c>
      <c r="N214" s="36">
        <f t="shared" si="24"/>
        <v>0</v>
      </c>
      <c r="O214" s="36">
        <f t="shared" si="24"/>
        <v>0</v>
      </c>
      <c r="P214" s="36">
        <f t="shared" si="24"/>
        <v>0</v>
      </c>
      <c r="Q214" s="36">
        <f t="shared" si="24"/>
        <v>0</v>
      </c>
      <c r="R214" s="36">
        <f t="shared" si="24"/>
        <v>0</v>
      </c>
      <c r="S214" s="36">
        <f t="shared" si="24"/>
        <v>0</v>
      </c>
      <c r="T214" s="36">
        <f t="shared" si="24"/>
        <v>0</v>
      </c>
      <c r="U214" s="36">
        <f t="shared" si="24"/>
        <v>0</v>
      </c>
      <c r="V214" s="36">
        <f t="shared" si="24"/>
        <v>0</v>
      </c>
      <c r="W214" s="36">
        <f t="shared" si="24"/>
        <v>0</v>
      </c>
      <c r="X214" s="36">
        <f t="shared" si="24"/>
        <v>0</v>
      </c>
      <c r="Y214" s="36">
        <f t="shared" si="24"/>
        <v>0</v>
      </c>
      <c r="Z214" s="36">
        <f t="shared" si="24"/>
        <v>0</v>
      </c>
      <c r="AA214" s="36">
        <f t="shared" si="24"/>
        <v>0</v>
      </c>
      <c r="AB214" s="36">
        <f t="shared" si="24"/>
        <v>0</v>
      </c>
      <c r="AC214" s="36">
        <f t="shared" si="24"/>
        <v>0</v>
      </c>
      <c r="AD214" s="36">
        <f t="shared" si="24"/>
        <v>0</v>
      </c>
      <c r="AE214" s="36">
        <f t="shared" si="24"/>
        <v>0</v>
      </c>
      <c r="AF214" s="51">
        <f t="shared" si="24"/>
        <v>0</v>
      </c>
      <c r="AG214" s="50">
        <f t="shared" si="24"/>
        <v>412.72299999999984</v>
      </c>
      <c r="AH214" s="20"/>
      <c r="AI214" s="19"/>
      <c r="AK214" s="41"/>
    </row>
    <row r="215" spans="1:37" ht="15.75" thickBot="1" x14ac:dyDescent="0.3">
      <c r="A215" s="49" t="s">
        <v>17</v>
      </c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48"/>
      <c r="AH215" s="20"/>
      <c r="AI215" s="19"/>
      <c r="AK215" s="41"/>
    </row>
    <row r="216" spans="1:37" x14ac:dyDescent="0.25">
      <c r="A216" s="47" t="s">
        <v>23</v>
      </c>
      <c r="B216" s="46">
        <f t="shared" ref="B216:B221" si="25">AF216</f>
        <v>0</v>
      </c>
      <c r="C216" s="46">
        <v>0.3</v>
      </c>
      <c r="D216" s="46">
        <f t="shared" ref="D216:P221" si="26">C216</f>
        <v>0.3</v>
      </c>
      <c r="E216" s="46">
        <f t="shared" si="26"/>
        <v>0.3</v>
      </c>
      <c r="F216" s="46">
        <f t="shared" si="26"/>
        <v>0.3</v>
      </c>
      <c r="G216" s="46">
        <f t="shared" si="26"/>
        <v>0.3</v>
      </c>
      <c r="H216" s="46">
        <f t="shared" si="26"/>
        <v>0.3</v>
      </c>
      <c r="I216" s="46">
        <f t="shared" si="26"/>
        <v>0.3</v>
      </c>
      <c r="J216" s="46">
        <f t="shared" si="26"/>
        <v>0.3</v>
      </c>
      <c r="K216" s="46">
        <f t="shared" si="26"/>
        <v>0.3</v>
      </c>
      <c r="L216" s="46">
        <f t="shared" si="26"/>
        <v>0.3</v>
      </c>
      <c r="M216" s="46">
        <f t="shared" si="26"/>
        <v>0.3</v>
      </c>
      <c r="N216" s="46">
        <f t="shared" si="26"/>
        <v>0.3</v>
      </c>
      <c r="O216" s="46">
        <f t="shared" si="26"/>
        <v>0.3</v>
      </c>
      <c r="P216" s="46">
        <f t="shared" si="26"/>
        <v>0.3</v>
      </c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5">
        <v>2.4</v>
      </c>
      <c r="AH216" s="20"/>
      <c r="AI216" s="19"/>
      <c r="AK216" s="41"/>
    </row>
    <row r="217" spans="1:37" x14ac:dyDescent="0.25">
      <c r="A217" s="44" t="s">
        <v>22</v>
      </c>
      <c r="B217" s="43">
        <f t="shared" si="25"/>
        <v>0</v>
      </c>
      <c r="C217" s="43">
        <v>0.4</v>
      </c>
      <c r="D217" s="43">
        <f t="shared" si="26"/>
        <v>0.4</v>
      </c>
      <c r="E217" s="43">
        <f t="shared" si="26"/>
        <v>0.4</v>
      </c>
      <c r="F217" s="43">
        <f t="shared" si="26"/>
        <v>0.4</v>
      </c>
      <c r="G217" s="43">
        <f t="shared" si="26"/>
        <v>0.4</v>
      </c>
      <c r="H217" s="43">
        <f t="shared" si="26"/>
        <v>0.4</v>
      </c>
      <c r="I217" s="43">
        <f t="shared" si="26"/>
        <v>0.4</v>
      </c>
      <c r="J217" s="43">
        <f t="shared" si="26"/>
        <v>0.4</v>
      </c>
      <c r="K217" s="43">
        <f t="shared" si="26"/>
        <v>0.4</v>
      </c>
      <c r="L217" s="43">
        <f t="shared" si="26"/>
        <v>0.4</v>
      </c>
      <c r="M217" s="43">
        <f t="shared" si="26"/>
        <v>0.4</v>
      </c>
      <c r="N217" s="43">
        <f t="shared" si="26"/>
        <v>0.4</v>
      </c>
      <c r="O217" s="43">
        <f t="shared" si="26"/>
        <v>0.4</v>
      </c>
      <c r="P217" s="43">
        <f t="shared" si="26"/>
        <v>0.4</v>
      </c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2">
        <v>2</v>
      </c>
      <c r="AH217" s="20"/>
      <c r="AI217" s="19"/>
      <c r="AK217" s="41"/>
    </row>
    <row r="218" spans="1:37" x14ac:dyDescent="0.25">
      <c r="A218" s="44" t="s">
        <v>21</v>
      </c>
      <c r="B218" s="43">
        <f t="shared" si="25"/>
        <v>0</v>
      </c>
      <c r="C218" s="43">
        <v>1.5</v>
      </c>
      <c r="D218" s="43">
        <f t="shared" si="26"/>
        <v>1.5</v>
      </c>
      <c r="E218" s="43">
        <f t="shared" si="26"/>
        <v>1.5</v>
      </c>
      <c r="F218" s="43">
        <f t="shared" si="26"/>
        <v>1.5</v>
      </c>
      <c r="G218" s="43">
        <f t="shared" si="26"/>
        <v>1.5</v>
      </c>
      <c r="H218" s="43">
        <f t="shared" si="26"/>
        <v>1.5</v>
      </c>
      <c r="I218" s="43">
        <f t="shared" si="26"/>
        <v>1.5</v>
      </c>
      <c r="J218" s="43">
        <f t="shared" si="26"/>
        <v>1.5</v>
      </c>
      <c r="K218" s="43">
        <f t="shared" si="26"/>
        <v>1.5</v>
      </c>
      <c r="L218" s="43">
        <f t="shared" si="26"/>
        <v>1.5</v>
      </c>
      <c r="M218" s="43">
        <f t="shared" si="26"/>
        <v>1.5</v>
      </c>
      <c r="N218" s="43">
        <f t="shared" si="26"/>
        <v>1.5</v>
      </c>
      <c r="O218" s="43">
        <f t="shared" si="26"/>
        <v>1.5</v>
      </c>
      <c r="P218" s="43">
        <f t="shared" si="26"/>
        <v>1.5</v>
      </c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2">
        <v>1.5</v>
      </c>
      <c r="AH218" s="20"/>
      <c r="AI218" s="19"/>
      <c r="AK218" s="41"/>
    </row>
    <row r="219" spans="1:37" x14ac:dyDescent="0.25">
      <c r="A219" s="44" t="s">
        <v>20</v>
      </c>
      <c r="B219" s="43">
        <f t="shared" si="25"/>
        <v>0</v>
      </c>
      <c r="C219" s="43">
        <v>0.3</v>
      </c>
      <c r="D219" s="43">
        <f t="shared" si="26"/>
        <v>0.3</v>
      </c>
      <c r="E219" s="43">
        <f t="shared" si="26"/>
        <v>0.3</v>
      </c>
      <c r="F219" s="43">
        <f t="shared" si="26"/>
        <v>0.3</v>
      </c>
      <c r="G219" s="43">
        <f t="shared" si="26"/>
        <v>0.3</v>
      </c>
      <c r="H219" s="43">
        <f t="shared" si="26"/>
        <v>0.3</v>
      </c>
      <c r="I219" s="43">
        <f t="shared" si="26"/>
        <v>0.3</v>
      </c>
      <c r="J219" s="43">
        <f t="shared" si="26"/>
        <v>0.3</v>
      </c>
      <c r="K219" s="43">
        <f t="shared" si="26"/>
        <v>0.3</v>
      </c>
      <c r="L219" s="43">
        <f t="shared" si="26"/>
        <v>0.3</v>
      </c>
      <c r="M219" s="43">
        <f t="shared" si="26"/>
        <v>0.3</v>
      </c>
      <c r="N219" s="43">
        <f t="shared" si="26"/>
        <v>0.3</v>
      </c>
      <c r="O219" s="43">
        <f t="shared" si="26"/>
        <v>0.3</v>
      </c>
      <c r="P219" s="43">
        <f t="shared" si="26"/>
        <v>0.3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1</v>
      </c>
      <c r="AH219" s="20"/>
      <c r="AI219" s="19"/>
      <c r="AK219" s="41"/>
    </row>
    <row r="220" spans="1:37" x14ac:dyDescent="0.25">
      <c r="A220" s="44" t="s">
        <v>19</v>
      </c>
      <c r="B220" s="43">
        <f t="shared" si="25"/>
        <v>0</v>
      </c>
      <c r="C220" s="43">
        <v>0.4</v>
      </c>
      <c r="D220" s="43">
        <f t="shared" si="26"/>
        <v>0.4</v>
      </c>
      <c r="E220" s="43">
        <f t="shared" si="26"/>
        <v>0.4</v>
      </c>
      <c r="F220" s="43">
        <f t="shared" si="26"/>
        <v>0.4</v>
      </c>
      <c r="G220" s="43">
        <f t="shared" si="26"/>
        <v>0.4</v>
      </c>
      <c r="H220" s="43">
        <f t="shared" si="26"/>
        <v>0.4</v>
      </c>
      <c r="I220" s="43">
        <f t="shared" si="26"/>
        <v>0.4</v>
      </c>
      <c r="J220" s="43">
        <f t="shared" si="26"/>
        <v>0.4</v>
      </c>
      <c r="K220" s="43">
        <f t="shared" si="26"/>
        <v>0.4</v>
      </c>
      <c r="L220" s="43">
        <f t="shared" si="26"/>
        <v>0.4</v>
      </c>
      <c r="M220" s="43">
        <f t="shared" si="26"/>
        <v>0.4</v>
      </c>
      <c r="N220" s="43">
        <f t="shared" si="26"/>
        <v>0.4</v>
      </c>
      <c r="O220" s="43">
        <f t="shared" si="26"/>
        <v>0.4</v>
      </c>
      <c r="P220" s="43">
        <f t="shared" si="26"/>
        <v>0.4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</v>
      </c>
      <c r="AH220" s="20"/>
      <c r="AI220" s="19"/>
      <c r="AK220" s="41"/>
    </row>
    <row r="221" spans="1:37" ht="15.75" thickBot="1" x14ac:dyDescent="0.3">
      <c r="A221" s="40" t="s">
        <v>18</v>
      </c>
      <c r="B221" s="39">
        <f t="shared" si="25"/>
        <v>0</v>
      </c>
      <c r="C221" s="39">
        <v>0.64</v>
      </c>
      <c r="D221" s="39">
        <f t="shared" si="26"/>
        <v>0.64</v>
      </c>
      <c r="E221" s="39">
        <f t="shared" si="26"/>
        <v>0.64</v>
      </c>
      <c r="F221" s="39">
        <f t="shared" si="26"/>
        <v>0.64</v>
      </c>
      <c r="G221" s="39">
        <f t="shared" si="26"/>
        <v>0.64</v>
      </c>
      <c r="H221" s="39">
        <f t="shared" si="26"/>
        <v>0.64</v>
      </c>
      <c r="I221" s="39">
        <f t="shared" si="26"/>
        <v>0.64</v>
      </c>
      <c r="J221" s="39">
        <f t="shared" si="26"/>
        <v>0.64</v>
      </c>
      <c r="K221" s="39">
        <f t="shared" si="26"/>
        <v>0.64</v>
      </c>
      <c r="L221" s="39">
        <f t="shared" si="26"/>
        <v>0.64</v>
      </c>
      <c r="M221" s="39">
        <f t="shared" si="26"/>
        <v>0.64</v>
      </c>
      <c r="N221" s="39">
        <f t="shared" si="26"/>
        <v>0.64</v>
      </c>
      <c r="O221" s="39">
        <f t="shared" si="26"/>
        <v>0.64</v>
      </c>
      <c r="P221" s="39">
        <f t="shared" si="26"/>
        <v>0.64</v>
      </c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8">
        <v>0.66</v>
      </c>
      <c r="AH221" s="20"/>
      <c r="AI221" s="19"/>
    </row>
    <row r="222" spans="1:37" ht="15.75" thickBot="1" x14ac:dyDescent="0.3">
      <c r="A222" s="37" t="s">
        <v>17</v>
      </c>
      <c r="B222" s="36">
        <f t="shared" ref="B222:AG222" si="27">SUM(B216:B221)</f>
        <v>0</v>
      </c>
      <c r="C222" s="36">
        <f t="shared" si="27"/>
        <v>3.54</v>
      </c>
      <c r="D222" s="36">
        <f t="shared" si="27"/>
        <v>3.54</v>
      </c>
      <c r="E222" s="36">
        <f t="shared" si="27"/>
        <v>3.54</v>
      </c>
      <c r="F222" s="36">
        <f t="shared" si="27"/>
        <v>3.54</v>
      </c>
      <c r="G222" s="36">
        <f t="shared" si="27"/>
        <v>3.54</v>
      </c>
      <c r="H222" s="36">
        <f t="shared" si="27"/>
        <v>3.54</v>
      </c>
      <c r="I222" s="36">
        <f t="shared" si="27"/>
        <v>3.54</v>
      </c>
      <c r="J222" s="36">
        <f t="shared" si="27"/>
        <v>3.54</v>
      </c>
      <c r="K222" s="36">
        <f t="shared" si="27"/>
        <v>3.54</v>
      </c>
      <c r="L222" s="36">
        <f t="shared" si="27"/>
        <v>3.54</v>
      </c>
      <c r="M222" s="36">
        <f t="shared" si="27"/>
        <v>3.54</v>
      </c>
      <c r="N222" s="36">
        <f t="shared" si="27"/>
        <v>3.54</v>
      </c>
      <c r="O222" s="36">
        <f t="shared" si="27"/>
        <v>3.54</v>
      </c>
      <c r="P222" s="36">
        <f t="shared" si="27"/>
        <v>3.54</v>
      </c>
      <c r="Q222" s="36">
        <f t="shared" si="27"/>
        <v>0</v>
      </c>
      <c r="R222" s="36">
        <f t="shared" si="27"/>
        <v>0</v>
      </c>
      <c r="S222" s="36">
        <f t="shared" si="27"/>
        <v>0</v>
      </c>
      <c r="T222" s="36">
        <f t="shared" si="27"/>
        <v>0</v>
      </c>
      <c r="U222" s="36">
        <f t="shared" si="27"/>
        <v>0</v>
      </c>
      <c r="V222" s="36">
        <f t="shared" si="27"/>
        <v>0</v>
      </c>
      <c r="W222" s="36">
        <f t="shared" si="27"/>
        <v>0</v>
      </c>
      <c r="X222" s="36">
        <f t="shared" si="27"/>
        <v>0</v>
      </c>
      <c r="Y222" s="36">
        <f t="shared" si="27"/>
        <v>0</v>
      </c>
      <c r="Z222" s="36">
        <f t="shared" si="27"/>
        <v>0</v>
      </c>
      <c r="AA222" s="36">
        <f t="shared" si="27"/>
        <v>0</v>
      </c>
      <c r="AB222" s="36">
        <f t="shared" si="27"/>
        <v>0</v>
      </c>
      <c r="AC222" s="36">
        <f t="shared" si="27"/>
        <v>0</v>
      </c>
      <c r="AD222" s="36">
        <f t="shared" si="27"/>
        <v>0</v>
      </c>
      <c r="AE222" s="36">
        <f t="shared" si="27"/>
        <v>0</v>
      </c>
      <c r="AF222" s="36">
        <f t="shared" si="27"/>
        <v>0</v>
      </c>
      <c r="AG222" s="35">
        <f t="shared" si="27"/>
        <v>8.56</v>
      </c>
      <c r="AH222" s="20"/>
      <c r="AI222" s="19"/>
    </row>
    <row r="223" spans="1:37" ht="15.75" thickBot="1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34"/>
      <c r="AH223" s="2"/>
    </row>
    <row r="224" spans="1:37" x14ac:dyDescent="0.25">
      <c r="A224" s="33" t="s">
        <v>0</v>
      </c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1"/>
      <c r="AG224" s="2"/>
      <c r="AH224" s="20"/>
      <c r="AI224" s="19"/>
    </row>
    <row r="225" spans="1:50" x14ac:dyDescent="0.25">
      <c r="A225" s="30" t="s">
        <v>16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8"/>
      <c r="AG225" s="21"/>
      <c r="AH225" s="20"/>
      <c r="AI225" s="19"/>
    </row>
    <row r="226" spans="1:50" x14ac:dyDescent="0.25">
      <c r="A226" s="27" t="s">
        <v>15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5"/>
      <c r="AG226" s="21"/>
      <c r="AH226" s="20"/>
      <c r="AI226" s="19"/>
    </row>
    <row r="227" spans="1:50" x14ac:dyDescent="0.25">
      <c r="A227" s="27" t="s">
        <v>14</v>
      </c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5"/>
      <c r="AG227" s="21"/>
      <c r="AH227" s="20"/>
      <c r="AI227" s="19"/>
    </row>
    <row r="228" spans="1:50" ht="15.75" thickBot="1" x14ac:dyDescent="0.3">
      <c r="A228" s="24" t="s">
        <v>13</v>
      </c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2"/>
      <c r="AG228" s="21"/>
      <c r="AH228" s="20"/>
      <c r="AI228" s="19"/>
    </row>
    <row r="229" spans="1:50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5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50" x14ac:dyDescent="0.25">
      <c r="A231" s="18" t="s">
        <v>12</v>
      </c>
      <c r="B231" s="17">
        <f>MAX(G79:N79)</f>
        <v>1736.2400000000002</v>
      </c>
      <c r="C231" s="16">
        <f>INDEX(G9:N9,1,MATCH(MAX(G79:N79),G79:N79,0))</f>
        <v>0.33333333333333331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15" t="str">
        <f ca="1">MID(CELL("filename",C7),FIND("]",CELL("filename",C7))+1,600)</f>
        <v>3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95" t="s">
        <v>11</v>
      </c>
      <c r="B233" s="195"/>
      <c r="C233" s="2"/>
      <c r="D233" s="15" t="str">
        <f ca="1">"Pie Chart of Daily Peak Demand(Inclusive of Export) of Nepal ("&amp;A4&amp;" "&amp;B4&amp;")"</f>
        <v>Pie Chart of Daily Peak Demand(Inclusive of Export) of Nepal (Nepali Date: 2079/06/3)</v>
      </c>
      <c r="E233" s="2"/>
      <c r="F233" s="2"/>
      <c r="G233" s="1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15" t="str">
        <f ca="1">"Daily Load Curve(Excluding of Export) of Nepal ("&amp;A4&amp;" "&amp;B4&amp;")"</f>
        <v>Daily Load Curve(Excluding of Export) of Nepal (Nepali Date: 2079/06/3)</v>
      </c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ht="12.75" customHeight="1" thickBot="1" x14ac:dyDescent="0.3">
      <c r="A234" s="7" t="s">
        <v>10</v>
      </c>
      <c r="B234" s="6"/>
      <c r="C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ht="15.75" thickTop="1" x14ac:dyDescent="0.25">
      <c r="A235" s="7" t="s">
        <v>9</v>
      </c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4" t="s">
        <v>8</v>
      </c>
      <c r="T235" s="13">
        <v>0</v>
      </c>
      <c r="U235" s="12">
        <v>4.1666666666666664E-2</v>
      </c>
      <c r="V235" s="10">
        <v>8.3333333333333301E-2</v>
      </c>
      <c r="W235" s="10">
        <v>0.125</v>
      </c>
      <c r="X235" s="10">
        <v>0.16666666666666699</v>
      </c>
      <c r="Y235" s="10">
        <v>0.20833333333333301</v>
      </c>
      <c r="Z235" s="10">
        <v>0.22916666666666666</v>
      </c>
      <c r="AA235" s="10">
        <v>0.25</v>
      </c>
      <c r="AB235" s="10">
        <v>0.27083333333333331</v>
      </c>
      <c r="AC235" s="10">
        <v>0.29166666666666669</v>
      </c>
      <c r="AD235" s="10">
        <v>0.3125</v>
      </c>
      <c r="AE235" s="11">
        <v>0.33333333333333331</v>
      </c>
      <c r="AF235" s="11">
        <v>0.375</v>
      </c>
      <c r="AG235" s="11">
        <v>0.41666666666666702</v>
      </c>
      <c r="AH235" s="11">
        <v>0.45833333333333298</v>
      </c>
      <c r="AI235" s="11">
        <v>0.5</v>
      </c>
      <c r="AJ235" s="11">
        <v>0.54166666666666696</v>
      </c>
      <c r="AK235" s="11">
        <v>0.58333333333333304</v>
      </c>
      <c r="AL235" s="11">
        <v>0.625</v>
      </c>
      <c r="AM235" s="11">
        <v>0.66666666666666696</v>
      </c>
      <c r="AN235" s="11">
        <v>0.70833333333333304</v>
      </c>
      <c r="AO235" s="11">
        <v>0.72916666666666663</v>
      </c>
      <c r="AP235" s="11">
        <v>0.75</v>
      </c>
      <c r="AQ235" s="11">
        <v>0.77083333333333337</v>
      </c>
      <c r="AR235" s="11">
        <v>0.79166666666666663</v>
      </c>
      <c r="AS235" s="11">
        <v>0.8125</v>
      </c>
      <c r="AT235" s="10">
        <v>0.83333333333333337</v>
      </c>
      <c r="AU235" s="10">
        <v>0.85416666666666663</v>
      </c>
      <c r="AV235" s="10">
        <v>0.875</v>
      </c>
      <c r="AW235" s="10">
        <v>0.91666666666666696</v>
      </c>
      <c r="AX235" s="10">
        <v>0.95833333333333304</v>
      </c>
    </row>
    <row r="236" spans="1:50" x14ac:dyDescent="0.25">
      <c r="A236" s="7" t="s">
        <v>7</v>
      </c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 t="s">
        <v>6</v>
      </c>
      <c r="T236" s="9">
        <f t="shared" ref="T236:AX236" si="28">B79</f>
        <v>1726.44</v>
      </c>
      <c r="U236" s="9">
        <f t="shared" si="28"/>
        <v>1711.2400000000002</v>
      </c>
      <c r="V236" s="9">
        <f t="shared" si="28"/>
        <v>1689.94</v>
      </c>
      <c r="W236" s="9">
        <f t="shared" si="28"/>
        <v>1667.14</v>
      </c>
      <c r="X236" s="9">
        <f t="shared" si="28"/>
        <v>1670.8400000000001</v>
      </c>
      <c r="Y236" s="9">
        <f t="shared" si="28"/>
        <v>1638.44</v>
      </c>
      <c r="Z236" s="9">
        <f t="shared" si="28"/>
        <v>1644.44</v>
      </c>
      <c r="AA236" s="9">
        <f t="shared" si="28"/>
        <v>1662.6399999999999</v>
      </c>
      <c r="AB236" s="9">
        <f t="shared" si="28"/>
        <v>1689.0400000000002</v>
      </c>
      <c r="AC236" s="9">
        <f t="shared" si="28"/>
        <v>1727.64</v>
      </c>
      <c r="AD236" s="9">
        <f t="shared" si="28"/>
        <v>1735.64</v>
      </c>
      <c r="AE236" s="9">
        <f t="shared" si="28"/>
        <v>1736.2400000000002</v>
      </c>
      <c r="AF236" s="9">
        <f t="shared" si="28"/>
        <v>1712.94</v>
      </c>
      <c r="AG236" s="9">
        <f t="shared" si="28"/>
        <v>1711.8400000000001</v>
      </c>
      <c r="AH236" s="9">
        <f t="shared" si="28"/>
        <v>1697.94</v>
      </c>
      <c r="AI236" s="9">
        <f t="shared" si="28"/>
        <v>1703.44</v>
      </c>
      <c r="AJ236" s="9">
        <f t="shared" si="28"/>
        <v>1693.1399999999999</v>
      </c>
      <c r="AK236" s="9">
        <f t="shared" si="28"/>
        <v>1711.8400000000001</v>
      </c>
      <c r="AL236" s="9">
        <f t="shared" si="28"/>
        <v>1712.8400000000001</v>
      </c>
      <c r="AM236" s="9">
        <f t="shared" si="28"/>
        <v>1690.8400000000001</v>
      </c>
      <c r="AN236" s="9">
        <f t="shared" si="28"/>
        <v>1744.8400000000001</v>
      </c>
      <c r="AO236" s="9">
        <f t="shared" si="28"/>
        <v>1726.8400000000001</v>
      </c>
      <c r="AP236" s="9">
        <f t="shared" si="28"/>
        <v>1710.04</v>
      </c>
      <c r="AQ236" s="9">
        <f t="shared" si="28"/>
        <v>1817.8400000000001</v>
      </c>
      <c r="AR236" s="9">
        <f t="shared" si="28"/>
        <v>1796.7399999999998</v>
      </c>
      <c r="AS236" s="9">
        <f t="shared" si="28"/>
        <v>1774.6399999999999</v>
      </c>
      <c r="AT236" s="9">
        <f t="shared" si="28"/>
        <v>1712.6900000000003</v>
      </c>
      <c r="AU236" s="9">
        <f t="shared" si="28"/>
        <v>1738.2400000000002</v>
      </c>
      <c r="AV236" s="9">
        <f t="shared" si="28"/>
        <v>1785.5400000000002</v>
      </c>
      <c r="AW236" s="9">
        <f t="shared" si="28"/>
        <v>1745.14</v>
      </c>
      <c r="AX236" s="9">
        <f t="shared" si="28"/>
        <v>1744.04</v>
      </c>
    </row>
    <row r="237" spans="1:50" x14ac:dyDescent="0.25">
      <c r="A237" s="7" t="s">
        <v>5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50" x14ac:dyDescent="0.25">
      <c r="A238" s="7" t="s">
        <v>4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50" x14ac:dyDescent="0.25">
      <c r="A239" s="7" t="s">
        <v>3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2</v>
      </c>
      <c r="B240" s="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1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A257" s="5" t="s">
        <v>0</v>
      </c>
      <c r="B257" s="4">
        <f t="shared" ref="B257:AE257" si="29">C221</f>
        <v>0.64</v>
      </c>
      <c r="C257" s="4">
        <f t="shared" si="29"/>
        <v>0.64</v>
      </c>
      <c r="D257" s="4">
        <f t="shared" si="29"/>
        <v>0.64</v>
      </c>
      <c r="E257" s="4">
        <f t="shared" si="29"/>
        <v>0.64</v>
      </c>
      <c r="F257" s="4">
        <f t="shared" si="29"/>
        <v>0.64</v>
      </c>
      <c r="G257" s="4">
        <f t="shared" si="29"/>
        <v>0.64</v>
      </c>
      <c r="H257" s="4">
        <f t="shared" si="29"/>
        <v>0.64</v>
      </c>
      <c r="I257" s="4">
        <f t="shared" si="29"/>
        <v>0.64</v>
      </c>
      <c r="J257" s="4">
        <f t="shared" si="29"/>
        <v>0.64</v>
      </c>
      <c r="K257" s="4">
        <f t="shared" si="29"/>
        <v>0.64</v>
      </c>
      <c r="L257" s="4">
        <f t="shared" si="29"/>
        <v>0.64</v>
      </c>
      <c r="M257" s="4">
        <f t="shared" si="29"/>
        <v>0.64</v>
      </c>
      <c r="N257" s="4">
        <f t="shared" si="29"/>
        <v>0.64</v>
      </c>
      <c r="O257" s="4">
        <f t="shared" si="29"/>
        <v>0.64</v>
      </c>
      <c r="P257" s="4">
        <f t="shared" si="29"/>
        <v>0</v>
      </c>
      <c r="Q257" s="4">
        <f t="shared" si="29"/>
        <v>0</v>
      </c>
      <c r="R257" s="4">
        <f t="shared" si="29"/>
        <v>0</v>
      </c>
      <c r="S257" s="4">
        <f t="shared" si="29"/>
        <v>0</v>
      </c>
      <c r="T257" s="4">
        <f t="shared" si="29"/>
        <v>0</v>
      </c>
      <c r="U257" s="4">
        <f t="shared" si="29"/>
        <v>0</v>
      </c>
      <c r="V257" s="4">
        <f t="shared" si="29"/>
        <v>0</v>
      </c>
      <c r="W257" s="4">
        <f t="shared" si="29"/>
        <v>0</v>
      </c>
      <c r="X257" s="4">
        <f t="shared" si="29"/>
        <v>0</v>
      </c>
      <c r="Y257" s="4">
        <f t="shared" si="29"/>
        <v>0</v>
      </c>
      <c r="Z257" s="4">
        <f t="shared" si="29"/>
        <v>0</v>
      </c>
      <c r="AA257" s="4">
        <f t="shared" si="29"/>
        <v>0</v>
      </c>
      <c r="AB257" s="4">
        <f t="shared" si="29"/>
        <v>0</v>
      </c>
      <c r="AC257" s="4">
        <f t="shared" si="29"/>
        <v>0</v>
      </c>
      <c r="AD257" s="4">
        <f t="shared" si="29"/>
        <v>0</v>
      </c>
      <c r="AE257" s="4">
        <f t="shared" si="29"/>
        <v>0</v>
      </c>
      <c r="AF257" s="4">
        <f>B221</f>
        <v>0</v>
      </c>
      <c r="AG257" s="2"/>
      <c r="AH257" s="2"/>
    </row>
    <row r="258" spans="1:34" x14ac:dyDescent="0.25">
      <c r="A258" s="3" t="str">
        <f>A225</f>
        <v>KGA</v>
      </c>
      <c r="B258" s="3" t="str">
        <f t="shared" ref="B258:AF258" si="30">IF(B225&lt;100,"",B225-520)</f>
        <v/>
      </c>
      <c r="C258" s="3" t="str">
        <f t="shared" si="30"/>
        <v/>
      </c>
      <c r="D258" s="3" t="str">
        <f t="shared" si="30"/>
        <v/>
      </c>
      <c r="E258" s="3" t="str">
        <f t="shared" si="30"/>
        <v/>
      </c>
      <c r="F258" s="3" t="str">
        <f t="shared" si="30"/>
        <v/>
      </c>
      <c r="G258" s="3" t="str">
        <f t="shared" si="30"/>
        <v/>
      </c>
      <c r="H258" s="3" t="str">
        <f t="shared" si="30"/>
        <v/>
      </c>
      <c r="I258" s="3" t="str">
        <f t="shared" si="30"/>
        <v/>
      </c>
      <c r="J258" s="3" t="str">
        <f t="shared" si="30"/>
        <v/>
      </c>
      <c r="K258" s="3" t="str">
        <f t="shared" si="30"/>
        <v/>
      </c>
      <c r="L258" s="3" t="str">
        <f t="shared" si="30"/>
        <v/>
      </c>
      <c r="M258" s="3" t="str">
        <f t="shared" si="30"/>
        <v/>
      </c>
      <c r="N258" s="3" t="str">
        <f t="shared" si="30"/>
        <v/>
      </c>
      <c r="O258" s="3" t="str">
        <f t="shared" si="30"/>
        <v/>
      </c>
      <c r="P258" s="3" t="str">
        <f t="shared" si="30"/>
        <v/>
      </c>
      <c r="Q258" s="3" t="str">
        <f t="shared" si="30"/>
        <v/>
      </c>
      <c r="R258" s="3" t="str">
        <f t="shared" si="30"/>
        <v/>
      </c>
      <c r="S258" s="3" t="str">
        <f t="shared" si="30"/>
        <v/>
      </c>
      <c r="T258" s="3" t="str">
        <f t="shared" si="30"/>
        <v/>
      </c>
      <c r="U258" s="3" t="str">
        <f t="shared" si="30"/>
        <v/>
      </c>
      <c r="V258" s="3" t="str">
        <f t="shared" si="30"/>
        <v/>
      </c>
      <c r="W258" s="3" t="str">
        <f t="shared" si="30"/>
        <v/>
      </c>
      <c r="X258" s="3" t="str">
        <f t="shared" si="30"/>
        <v/>
      </c>
      <c r="Y258" s="3" t="str">
        <f t="shared" si="30"/>
        <v/>
      </c>
      <c r="Z258" s="3" t="str">
        <f t="shared" si="30"/>
        <v/>
      </c>
      <c r="AA258" s="3" t="str">
        <f t="shared" si="30"/>
        <v/>
      </c>
      <c r="AB258" s="3" t="str">
        <f t="shared" si="30"/>
        <v/>
      </c>
      <c r="AC258" s="3" t="str">
        <f t="shared" si="30"/>
        <v/>
      </c>
      <c r="AD258" s="3" t="str">
        <f t="shared" si="30"/>
        <v/>
      </c>
      <c r="AE258" s="3" t="str">
        <f t="shared" si="30"/>
        <v/>
      </c>
      <c r="AF258" s="3" t="str">
        <f t="shared" si="30"/>
        <v/>
      </c>
      <c r="AG258" s="2"/>
      <c r="AH258" s="2"/>
    </row>
    <row r="259" spans="1:34" x14ac:dyDescent="0.25">
      <c r="A259" s="3" t="str">
        <f>A226</f>
        <v>MMRS</v>
      </c>
      <c r="B259" s="3" t="str">
        <f t="shared" ref="B259:AF259" si="31">IF(B226&lt;100,"",B226-620)</f>
        <v/>
      </c>
      <c r="C259" s="3" t="str">
        <f t="shared" si="31"/>
        <v/>
      </c>
      <c r="D259" s="3" t="str">
        <f t="shared" si="31"/>
        <v/>
      </c>
      <c r="E259" s="3" t="str">
        <f t="shared" si="31"/>
        <v/>
      </c>
      <c r="F259" s="3" t="str">
        <f t="shared" si="31"/>
        <v/>
      </c>
      <c r="G259" s="3" t="str">
        <f t="shared" si="31"/>
        <v/>
      </c>
      <c r="H259" s="3" t="str">
        <f t="shared" si="31"/>
        <v/>
      </c>
      <c r="I259" s="3" t="str">
        <f t="shared" si="31"/>
        <v/>
      </c>
      <c r="J259" s="3" t="str">
        <f t="shared" si="31"/>
        <v/>
      </c>
      <c r="K259" s="3" t="str">
        <f t="shared" si="31"/>
        <v/>
      </c>
      <c r="L259" s="3" t="str">
        <f t="shared" si="31"/>
        <v/>
      </c>
      <c r="M259" s="3" t="str">
        <f t="shared" si="31"/>
        <v/>
      </c>
      <c r="N259" s="3" t="str">
        <f t="shared" si="31"/>
        <v/>
      </c>
      <c r="O259" s="3" t="str">
        <f t="shared" si="31"/>
        <v/>
      </c>
      <c r="P259" s="3" t="str">
        <f t="shared" si="31"/>
        <v/>
      </c>
      <c r="Q259" s="3" t="str">
        <f t="shared" si="31"/>
        <v/>
      </c>
      <c r="R259" s="3" t="str">
        <f t="shared" si="31"/>
        <v/>
      </c>
      <c r="S259" s="3" t="str">
        <f t="shared" si="31"/>
        <v/>
      </c>
      <c r="T259" s="3" t="str">
        <f t="shared" si="31"/>
        <v/>
      </c>
      <c r="U259" s="3" t="str">
        <f t="shared" si="31"/>
        <v/>
      </c>
      <c r="V259" s="3" t="str">
        <f t="shared" si="31"/>
        <v/>
      </c>
      <c r="W259" s="3" t="str">
        <f t="shared" si="31"/>
        <v/>
      </c>
      <c r="X259" s="3" t="str">
        <f t="shared" si="31"/>
        <v/>
      </c>
      <c r="Y259" s="3" t="str">
        <f t="shared" si="31"/>
        <v/>
      </c>
      <c r="Z259" s="3" t="str">
        <f t="shared" si="31"/>
        <v/>
      </c>
      <c r="AA259" s="3" t="str">
        <f t="shared" si="31"/>
        <v/>
      </c>
      <c r="AB259" s="3" t="str">
        <f t="shared" si="31"/>
        <v/>
      </c>
      <c r="AC259" s="3" t="str">
        <f t="shared" si="31"/>
        <v/>
      </c>
      <c r="AD259" s="3" t="str">
        <f t="shared" si="31"/>
        <v/>
      </c>
      <c r="AE259" s="3" t="str">
        <f t="shared" si="31"/>
        <v/>
      </c>
      <c r="AF259" s="3" t="str">
        <f t="shared" si="31"/>
        <v/>
      </c>
      <c r="AG259" s="2"/>
      <c r="AH259" s="2"/>
    </row>
    <row r="260" spans="1:34" x14ac:dyDescent="0.25">
      <c r="A260" s="3" t="str">
        <f>A227</f>
        <v>MRS</v>
      </c>
      <c r="B260" s="3" t="str">
        <f t="shared" ref="B260:AF260" si="32">IF(B227&lt;100,"",B227-330)</f>
        <v/>
      </c>
      <c r="C260" s="3" t="str">
        <f t="shared" si="32"/>
        <v/>
      </c>
      <c r="D260" s="3" t="str">
        <f t="shared" si="32"/>
        <v/>
      </c>
      <c r="E260" s="3" t="str">
        <f t="shared" si="32"/>
        <v/>
      </c>
      <c r="F260" s="3" t="str">
        <f t="shared" si="32"/>
        <v/>
      </c>
      <c r="G260" s="3" t="str">
        <f t="shared" si="32"/>
        <v/>
      </c>
      <c r="H260" s="3" t="str">
        <f t="shared" si="32"/>
        <v/>
      </c>
      <c r="I260" s="3" t="str">
        <f t="shared" si="32"/>
        <v/>
      </c>
      <c r="J260" s="3" t="str">
        <f t="shared" si="32"/>
        <v/>
      </c>
      <c r="K260" s="3" t="str">
        <f t="shared" si="32"/>
        <v/>
      </c>
      <c r="L260" s="3" t="str">
        <f t="shared" si="32"/>
        <v/>
      </c>
      <c r="M260" s="3" t="str">
        <f t="shared" si="32"/>
        <v/>
      </c>
      <c r="N260" s="3" t="str">
        <f t="shared" si="32"/>
        <v/>
      </c>
      <c r="O260" s="3" t="str">
        <f t="shared" si="32"/>
        <v/>
      </c>
      <c r="P260" s="3" t="str">
        <f t="shared" si="32"/>
        <v/>
      </c>
      <c r="Q260" s="3" t="str">
        <f t="shared" si="32"/>
        <v/>
      </c>
      <c r="R260" s="3" t="str">
        <f t="shared" si="32"/>
        <v/>
      </c>
      <c r="S260" s="3" t="str">
        <f t="shared" si="32"/>
        <v/>
      </c>
      <c r="T260" s="3" t="str">
        <f t="shared" si="32"/>
        <v/>
      </c>
      <c r="U260" s="3" t="str">
        <f t="shared" si="32"/>
        <v/>
      </c>
      <c r="V260" s="3" t="str">
        <f t="shared" si="32"/>
        <v/>
      </c>
      <c r="W260" s="3" t="str">
        <f t="shared" si="32"/>
        <v/>
      </c>
      <c r="X260" s="3" t="str">
        <f t="shared" si="32"/>
        <v/>
      </c>
      <c r="Y260" s="3" t="str">
        <f t="shared" si="32"/>
        <v/>
      </c>
      <c r="Z260" s="3" t="str">
        <f t="shared" si="32"/>
        <v/>
      </c>
      <c r="AA260" s="3" t="str">
        <f t="shared" si="32"/>
        <v/>
      </c>
      <c r="AB260" s="3" t="str">
        <f t="shared" si="32"/>
        <v/>
      </c>
      <c r="AC260" s="3" t="str">
        <f t="shared" si="32"/>
        <v/>
      </c>
      <c r="AD260" s="3" t="str">
        <f t="shared" si="32"/>
        <v/>
      </c>
      <c r="AE260" s="3" t="str">
        <f t="shared" si="32"/>
        <v/>
      </c>
      <c r="AF260" s="3" t="str">
        <f t="shared" si="32"/>
        <v/>
      </c>
      <c r="AG260" s="2"/>
      <c r="AH260" s="2"/>
    </row>
    <row r="261" spans="1:34" x14ac:dyDescent="0.25">
      <c r="A261" s="3" t="str">
        <f>A228</f>
        <v>KL 1</v>
      </c>
      <c r="B261" s="3" t="str">
        <f t="shared" ref="B261:AF261" si="33">IF(B228&lt;100,"",B228-1500)</f>
        <v/>
      </c>
      <c r="C261" s="3" t="str">
        <f t="shared" si="33"/>
        <v/>
      </c>
      <c r="D261" s="3" t="str">
        <f t="shared" si="33"/>
        <v/>
      </c>
      <c r="E261" s="3" t="str">
        <f t="shared" si="33"/>
        <v/>
      </c>
      <c r="F261" s="3" t="str">
        <f t="shared" si="33"/>
        <v/>
      </c>
      <c r="G261" s="3" t="str">
        <f t="shared" si="33"/>
        <v/>
      </c>
      <c r="H261" s="3" t="str">
        <f t="shared" si="33"/>
        <v/>
      </c>
      <c r="I261" s="3" t="str">
        <f t="shared" si="33"/>
        <v/>
      </c>
      <c r="J261" s="3" t="str">
        <f t="shared" si="33"/>
        <v/>
      </c>
      <c r="K261" s="3" t="str">
        <f t="shared" si="33"/>
        <v/>
      </c>
      <c r="L261" s="3" t="str">
        <f t="shared" si="33"/>
        <v/>
      </c>
      <c r="M261" s="3" t="str">
        <f t="shared" si="33"/>
        <v/>
      </c>
      <c r="N261" s="3" t="str">
        <f t="shared" si="33"/>
        <v/>
      </c>
      <c r="O261" s="3" t="str">
        <f t="shared" si="33"/>
        <v/>
      </c>
      <c r="P261" s="3" t="str">
        <f t="shared" si="33"/>
        <v/>
      </c>
      <c r="Q261" s="3" t="str">
        <f t="shared" si="33"/>
        <v/>
      </c>
      <c r="R261" s="3" t="str">
        <f t="shared" si="33"/>
        <v/>
      </c>
      <c r="S261" s="3" t="str">
        <f t="shared" si="33"/>
        <v/>
      </c>
      <c r="T261" s="3" t="str">
        <f t="shared" si="33"/>
        <v/>
      </c>
      <c r="U261" s="3" t="str">
        <f t="shared" si="33"/>
        <v/>
      </c>
      <c r="V261" s="3" t="str">
        <f t="shared" si="33"/>
        <v/>
      </c>
      <c r="W261" s="3" t="str">
        <f t="shared" si="33"/>
        <v/>
      </c>
      <c r="X261" s="3" t="str">
        <f t="shared" si="33"/>
        <v/>
      </c>
      <c r="Y261" s="3" t="str">
        <f t="shared" si="33"/>
        <v/>
      </c>
      <c r="Z261" s="3" t="str">
        <f t="shared" si="33"/>
        <v/>
      </c>
      <c r="AA261" s="3" t="str">
        <f t="shared" si="33"/>
        <v/>
      </c>
      <c r="AB261" s="3" t="str">
        <f t="shared" si="33"/>
        <v/>
      </c>
      <c r="AC261" s="3" t="str">
        <f t="shared" si="33"/>
        <v/>
      </c>
      <c r="AD261" s="3" t="str">
        <f t="shared" si="33"/>
        <v/>
      </c>
      <c r="AE261" s="3" t="str">
        <f t="shared" si="33"/>
        <v/>
      </c>
      <c r="AF261" s="3" t="str">
        <f t="shared" si="33"/>
        <v/>
      </c>
      <c r="AG261" s="2"/>
      <c r="AH261" s="2"/>
    </row>
    <row r="262" spans="1:34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</sheetData>
  <mergeCells count="48">
    <mergeCell ref="A233:B233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3">
    <cfRule type="expression" dxfId="697" priority="10">
      <formula>$AH11=0</formula>
    </cfRule>
  </conditionalFormatting>
  <conditionalFormatting sqref="B8 M8 S8 AB8">
    <cfRule type="expression" dxfId="696" priority="220">
      <formula>C$9&lt;8/24</formula>
    </cfRule>
    <cfRule type="expression" dxfId="695" priority="218">
      <formula>AND(C$9&gt;=14/24,C$9&lt;20/24)</formula>
    </cfRule>
    <cfRule type="expression" dxfId="694" priority="219">
      <formula>AND(C$9&gt;=8/24,C$9&lt;14/24)</formula>
    </cfRule>
  </conditionalFormatting>
  <conditionalFormatting sqref="B39:B42 C42:AG42">
    <cfRule type="expression" dxfId="693" priority="43">
      <formula>AND(B$9&gt;=8/24,B$9&lt;14/24)</formula>
    </cfRule>
    <cfRule type="expression" dxfId="692" priority="44">
      <formula>B$9&lt;8/24</formula>
    </cfRule>
    <cfRule type="expression" dxfId="691" priority="40">
      <formula>B39&gt;$AG39</formula>
    </cfRule>
    <cfRule type="expression" dxfId="690" priority="41">
      <formula>B$9&gt;=20/24</formula>
    </cfRule>
    <cfRule type="expression" dxfId="689" priority="42">
      <formula>AND(B$9&gt;=14/24,B$9&lt;20/24)</formula>
    </cfRule>
  </conditionalFormatting>
  <conditionalFormatting sqref="B43:D45">
    <cfRule type="expression" dxfId="688" priority="96">
      <formula>B$9&gt;=20/24</formula>
    </cfRule>
    <cfRule type="expression" dxfId="687" priority="99">
      <formula>B$9&lt;8/24</formula>
    </cfRule>
    <cfRule type="expression" dxfId="686" priority="98">
      <formula>AND(B$9&gt;=8/24,B$9&lt;14/24)</formula>
    </cfRule>
    <cfRule type="expression" dxfId="685" priority="97">
      <formula>AND(B$9&gt;=14/24,B$9&lt;20/24)</formula>
    </cfRule>
  </conditionalFormatting>
  <conditionalFormatting sqref="B9:AF11">
    <cfRule type="expression" dxfId="684" priority="113">
      <formula>B$9&gt;=20/24</formula>
    </cfRule>
    <cfRule type="expression" dxfId="683" priority="114">
      <formula>AND(B$9&gt;=14/24,B$9&lt;20/24)</formula>
    </cfRule>
    <cfRule type="expression" dxfId="682" priority="115">
      <formula>AND(B$9&gt;=8/24,B$9&lt;14/24)</formula>
    </cfRule>
    <cfRule type="expression" dxfId="681" priority="116">
      <formula>B$9&lt;8/24</formula>
    </cfRule>
  </conditionalFormatting>
  <conditionalFormatting sqref="B11:AF16">
    <cfRule type="expression" dxfId="680" priority="108">
      <formula>B11&gt;$AG11</formula>
    </cfRule>
  </conditionalFormatting>
  <conditionalFormatting sqref="B12:AF23">
    <cfRule type="expression" dxfId="679" priority="60">
      <formula>B$9&gt;=20/24</formula>
    </cfRule>
    <cfRule type="expression" dxfId="678" priority="61">
      <formula>AND(B$9&gt;=14/24,B$9&lt;20/24)</formula>
    </cfRule>
    <cfRule type="expression" dxfId="677" priority="62">
      <formula>AND(B$9&gt;=8/24,B$9&lt;14/24)</formula>
    </cfRule>
    <cfRule type="expression" dxfId="676" priority="63">
      <formula>B$9&lt;8/24</formula>
    </cfRule>
  </conditionalFormatting>
  <conditionalFormatting sqref="B17:AF23">
    <cfRule type="expression" dxfId="675" priority="59">
      <formula>B17&gt;$AG17</formula>
    </cfRule>
  </conditionalFormatting>
  <conditionalFormatting sqref="B24:AF26 C57:AF59 B57:B60 C60:AG60 B73:B77 C77:AG77 B78:AF79">
    <cfRule type="expression" dxfId="674" priority="93">
      <formula>AND(B$9&gt;=8/24,B$9&lt;14/24)</formula>
    </cfRule>
    <cfRule type="expression" dxfId="673" priority="92">
      <formula>AND(B$9&gt;=14/24,B$9&lt;20/24)</formula>
    </cfRule>
    <cfRule type="expression" dxfId="672" priority="94">
      <formula>B$9&lt;8/24</formula>
    </cfRule>
  </conditionalFormatting>
  <conditionalFormatting sqref="B24:AF34">
    <cfRule type="expression" dxfId="671" priority="73">
      <formula>B24&gt;$AG24</formula>
    </cfRule>
  </conditionalFormatting>
  <conditionalFormatting sqref="B27:AF27">
    <cfRule type="expression" dxfId="670" priority="65">
      <formula>AND(B$9&gt;=14/24,B$9&lt;20/24)</formula>
    </cfRule>
    <cfRule type="expression" dxfId="669" priority="66">
      <formula>AND(B$9&gt;=8/24,B$9&lt;14/24)</formula>
    </cfRule>
    <cfRule type="expression" dxfId="668" priority="67">
      <formula>B$9&lt;8/24</formula>
    </cfRule>
    <cfRule type="expression" dxfId="667" priority="64">
      <formula>B$9&gt;=20/24</formula>
    </cfRule>
  </conditionalFormatting>
  <conditionalFormatting sqref="B28:AF35">
    <cfRule type="expression" dxfId="666" priority="75">
      <formula>AND(B$9&gt;=14/24,B$9&lt;20/24)</formula>
    </cfRule>
    <cfRule type="expression" dxfId="665" priority="76">
      <formula>AND(B$9&gt;=8/24,B$9&lt;14/24)</formula>
    </cfRule>
    <cfRule type="expression" dxfId="664" priority="77">
      <formula>B$9&lt;8/24</formula>
    </cfRule>
    <cfRule type="expression" dxfId="663" priority="74">
      <formula>B$9&gt;=20/24</formula>
    </cfRule>
  </conditionalFormatting>
  <conditionalFormatting sqref="B35:AF37 B43:L45">
    <cfRule type="expression" dxfId="662" priority="95">
      <formula>B35&gt;$AG35</formula>
    </cfRule>
  </conditionalFormatting>
  <conditionalFormatting sqref="B36:AF37">
    <cfRule type="expression" dxfId="661" priority="100">
      <formula>B$9&gt;=20/24</formula>
    </cfRule>
    <cfRule type="expression" dxfId="660" priority="101">
      <formula>AND(B$9&gt;=14/24,B$9&lt;20/24)</formula>
    </cfRule>
    <cfRule type="expression" dxfId="659" priority="102">
      <formula>AND(B$9&gt;=8/24,B$9&lt;14/24)</formula>
    </cfRule>
    <cfRule type="expression" dxfId="658" priority="103">
      <formula>B$9&lt;8/24</formula>
    </cfRule>
  </conditionalFormatting>
  <conditionalFormatting sqref="B48:AF54">
    <cfRule type="expression" dxfId="657" priority="69">
      <formula>B$9&gt;=20/24</formula>
    </cfRule>
    <cfRule type="expression" dxfId="656" priority="68">
      <formula>B48&gt;$AG48</formula>
    </cfRule>
    <cfRule type="expression" dxfId="655" priority="72">
      <formula>B$9&lt;8/24</formula>
    </cfRule>
    <cfRule type="expression" dxfId="654" priority="71">
      <formula>AND(B$9&gt;=8/24,B$9&lt;14/24)</formula>
    </cfRule>
    <cfRule type="expression" dxfId="653" priority="70">
      <formula>AND(B$9&gt;=14/24,B$9&lt;20/24)</formula>
    </cfRule>
  </conditionalFormatting>
  <conditionalFormatting sqref="B61:AF72">
    <cfRule type="expression" dxfId="652" priority="54">
      <formula>B$9&gt;=20/24</formula>
    </cfRule>
    <cfRule type="expression" dxfId="651" priority="55">
      <formula>AND(B$9&gt;=14/24,B$9&lt;20/24)</formula>
    </cfRule>
    <cfRule type="expression" dxfId="650" priority="57">
      <formula>B$9&lt;8/24</formula>
    </cfRule>
    <cfRule type="expression" dxfId="649" priority="56">
      <formula>AND(B$9&gt;=8/24,B$9&lt;14/24)</formula>
    </cfRule>
  </conditionalFormatting>
  <conditionalFormatting sqref="B81:AF97">
    <cfRule type="expression" dxfId="644" priority="35">
      <formula>B$9&lt;8/24</formula>
    </cfRule>
    <cfRule type="expression" dxfId="643" priority="34">
      <formula>AND(B$9&gt;=8/24,B$9&lt;14/24)</formula>
    </cfRule>
    <cfRule type="expression" dxfId="642" priority="33">
      <formula>AND(B$9&gt;=14/24,B$9&lt;20/24)</formula>
    </cfRule>
    <cfRule type="expression" dxfId="641" priority="32">
      <formula>B$9&gt;=20/24</formula>
    </cfRule>
  </conditionalFormatting>
  <conditionalFormatting sqref="B99:AF106">
    <cfRule type="expression" dxfId="640" priority="6">
      <formula>B$9&gt;=20/24</formula>
    </cfRule>
    <cfRule type="expression" dxfId="639" priority="9">
      <formula>B$9&lt;8/24</formula>
    </cfRule>
    <cfRule type="expression" dxfId="638" priority="8">
      <formula>AND(B$9&gt;=8/24,B$9&lt;14/24)</formula>
    </cfRule>
    <cfRule type="expression" dxfId="637" priority="7">
      <formula>AND(B$9&gt;=14/24,B$9&lt;20/24)</formula>
    </cfRule>
  </conditionalFormatting>
  <conditionalFormatting sqref="B214:AF214 B216:B222 D216:AF222 U235:AF235">
    <cfRule type="expression" dxfId="632" priority="211">
      <formula>B$9&gt;=20/24</formula>
    </cfRule>
    <cfRule type="expression" dxfId="631" priority="212">
      <formula>AND(B$9&gt;=14/24,B$9&lt;20/24)</formula>
    </cfRule>
    <cfRule type="expression" dxfId="630" priority="213">
      <formula>AND(B$9&gt;=8/24,B$9&lt;14/24)</formula>
    </cfRule>
    <cfRule type="expression" dxfId="629" priority="214">
      <formula>B$9&lt;8/24</formula>
    </cfRule>
  </conditionalFormatting>
  <conditionalFormatting sqref="B38:AG38 B46:D47 E47:AF47 C55:AG56 B55:B60 C57:AF59 C60:AG60">
    <cfRule type="expression" dxfId="628" priority="86">
      <formula>B38&gt;$AG38</formula>
    </cfRule>
  </conditionalFormatting>
  <conditionalFormatting sqref="C39:AF41">
    <cfRule type="expression" dxfId="627" priority="45">
      <formula>C39&gt;$AG39</formula>
    </cfRule>
    <cfRule type="expression" dxfId="626" priority="46">
      <formula>C$9&gt;=20/24</formula>
    </cfRule>
    <cfRule type="expression" dxfId="625" priority="47">
      <formula>AND(C$9&gt;=14/24,C$9&lt;20/24)</formula>
    </cfRule>
    <cfRule type="expression" dxfId="624" priority="48">
      <formula>AND(C$9&gt;=8/24,C$9&lt;14/24)</formula>
    </cfRule>
    <cfRule type="expression" dxfId="623" priority="49">
      <formula>C$9&lt;8/24</formula>
    </cfRule>
  </conditionalFormatting>
  <conditionalFormatting sqref="C57:AF59 B57:B60 C60:AG60 B24:AF26 B73:B77 C77:AG77 B78:AF79">
    <cfRule type="expression" dxfId="622" priority="91">
      <formula>B$9&gt;=20/24</formula>
    </cfRule>
  </conditionalFormatting>
  <conditionalFormatting sqref="C73:AF76">
    <cfRule type="expression" dxfId="621" priority="168">
      <formula>C$9&gt;=20/24</formula>
    </cfRule>
    <cfRule type="expression" dxfId="620" priority="170">
      <formula>AND(C$9&gt;=8/24,C$9&lt;14/24)</formula>
    </cfRule>
    <cfRule type="expression" dxfId="619" priority="169">
      <formula>AND(C$9&gt;=14/24,C$9&lt;20/24)</formula>
    </cfRule>
    <cfRule type="expression" dxfId="618" priority="171">
      <formula>C$9&lt;8/24</formula>
    </cfRule>
  </conditionalFormatting>
  <conditionalFormatting sqref="E44:M45">
    <cfRule type="expression" dxfId="617" priority="177">
      <formula>E$9&gt;=20/24</formula>
    </cfRule>
    <cfRule type="expression" dxfId="616" priority="179">
      <formula>AND(E$9&gt;=8/24,E$9&lt;14/24)</formula>
    </cfRule>
    <cfRule type="expression" dxfId="615" priority="180">
      <formula>E$9&lt;8/24</formula>
    </cfRule>
    <cfRule type="expression" dxfId="614" priority="178">
      <formula>AND(E$9&gt;=14/24,E$9&lt;20/24)</formula>
    </cfRule>
  </conditionalFormatting>
  <conditionalFormatting sqref="E46:M46">
    <cfRule type="expression" dxfId="613" priority="163">
      <formula>E46&gt;$AG46</formula>
    </cfRule>
  </conditionalFormatting>
  <conditionalFormatting sqref="E43:N43 N44:N46 O43:W46 X46:AA46">
    <cfRule type="expression" dxfId="612" priority="141">
      <formula>E$9&gt;=20/24</formula>
    </cfRule>
  </conditionalFormatting>
  <conditionalFormatting sqref="E43:N43 O43:W46 N44:N46 X46:AA46">
    <cfRule type="expression" dxfId="611" priority="144">
      <formula>E$9&lt;8/24</formula>
    </cfRule>
    <cfRule type="expression" dxfId="610" priority="143">
      <formula>AND(E$9&gt;=8/24,E$9&lt;14/24)</formula>
    </cfRule>
    <cfRule type="expression" dxfId="609" priority="142">
      <formula>AND(E$9&gt;=14/24,E$9&lt;20/24)</formula>
    </cfRule>
  </conditionalFormatting>
  <conditionalFormatting sqref="M44:M45">
    <cfRule type="expression" dxfId="608" priority="172">
      <formula>M44&gt;$AG44</formula>
    </cfRule>
  </conditionalFormatting>
  <conditionalFormatting sqref="M43:N43 N44:N46">
    <cfRule type="expression" dxfId="607" priority="140">
      <formula>M43&gt;$AG43</formula>
    </cfRule>
  </conditionalFormatting>
  <conditionalFormatting sqref="O3:P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O43:AF46">
    <cfRule type="expression" dxfId="606" priority="117">
      <formula>O43&gt;$AG43</formula>
    </cfRule>
  </conditionalFormatting>
  <conditionalFormatting sqref="S8 AB8 B8 M8">
    <cfRule type="expression" dxfId="605" priority="217">
      <formula>C$9&gt;=20/24</formula>
    </cfRule>
  </conditionalFormatting>
  <conditionalFormatting sqref="S8">
    <cfRule type="expression" dxfId="604" priority="186">
      <formula>U$9&gt;=20/24</formula>
    </cfRule>
    <cfRule type="expression" dxfId="603" priority="189">
      <formula>U$9&lt;8/24</formula>
    </cfRule>
    <cfRule type="expression" dxfId="602" priority="187">
      <formula>AND(U$9&gt;=14/24,U$9&lt;20/24)</formula>
    </cfRule>
    <cfRule type="expression" dxfId="601" priority="188">
      <formula>AND(U$9&gt;=8/24,U$9&lt;14/24)</formula>
    </cfRule>
  </conditionalFormatting>
  <conditionalFormatting sqref="T235">
    <cfRule type="expression" dxfId="600" priority="233">
      <formula>AX$9&lt;8/24</formula>
    </cfRule>
    <cfRule type="expression" dxfId="599" priority="230">
      <formula>AX$9&gt;=20/24</formula>
    </cfRule>
    <cfRule type="expression" dxfId="598" priority="231">
      <formula>AND(AX$9&gt;=14/24,AX$9&lt;20/24)</formula>
    </cfRule>
    <cfRule type="expression" dxfId="597" priority="232">
      <formula>AND(AX$9&gt;=8/24,AX$9&lt;14/24)</formula>
    </cfRule>
  </conditionalFormatting>
  <conditionalFormatting sqref="V3 AB3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X43:AF45">
    <cfRule type="expression" dxfId="596" priority="119">
      <formula>AND(X$9&gt;=14/24,X$9&lt;20/24)</formula>
    </cfRule>
    <cfRule type="expression" dxfId="595" priority="118">
      <formula>X$9&gt;=20/24</formula>
    </cfRule>
    <cfRule type="expression" dxfId="594" priority="121">
      <formula>X$9&lt;8/24</formula>
    </cfRule>
    <cfRule type="expression" dxfId="593" priority="120">
      <formula>AND(X$9&gt;=8/24,X$9&lt;14/24)</formula>
    </cfRule>
  </conditionalFormatting>
  <conditionalFormatting sqref="AB8">
    <cfRule type="expression" dxfId="592" priority="182">
      <formula>AD$9&gt;=20/24</formula>
    </cfRule>
    <cfRule type="expression" dxfId="591" priority="185">
      <formula>AD$9&lt;8/24</formula>
    </cfRule>
    <cfRule type="expression" dxfId="590" priority="184">
      <formula>AND(AD$9&gt;=8/24,AD$9&lt;14/24)</formula>
    </cfRule>
    <cfRule type="expression" dxfId="589" priority="183">
      <formula>AND(AD$9&gt;=14/24,AD$9&lt;20/24)</formula>
    </cfRule>
  </conditionalFormatting>
  <conditionalFormatting sqref="AG235">
    <cfRule type="expression" dxfId="588" priority="222">
      <formula>B$9&gt;=20/24</formula>
    </cfRule>
    <cfRule type="expression" dxfId="587" priority="223">
      <formula>AND(B$9&gt;=14/24,B$9&lt;20/24)</formula>
    </cfRule>
    <cfRule type="expression" dxfId="586" priority="224">
      <formula>AND(B$9&gt;=8/24,B$9&lt;14/24)</formula>
    </cfRule>
    <cfRule type="expression" dxfId="585" priority="225">
      <formula>B$9&lt;8/24</formula>
    </cfRule>
  </conditionalFormatting>
  <conditionalFormatting sqref="AH235:AX235">
    <cfRule type="expression" dxfId="584" priority="226">
      <formula>AG$9&gt;=20/24</formula>
    </cfRule>
    <cfRule type="expression" dxfId="583" priority="227">
      <formula>AND(AG$9&gt;=14/24,AG$9&lt;20/24)</formula>
    </cfRule>
    <cfRule type="expression" dxfId="582" priority="228">
      <formula>AND(AG$9&gt;=8/24,AG$9&lt;14/24)</formula>
    </cfRule>
    <cfRule type="expression" dxfId="581" priority="229">
      <formula>AG$9&lt;8/24</formula>
    </cfRule>
  </conditionalFormatting>
  <conditionalFormatting sqref="AL4:AL6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AL31">
    <cfRule type="iconSet" priority="31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90">
      <iconSet iconSet="3TrafficLights2" reverse="1">
        <cfvo type="percent" val="0"/>
        <cfvo type="num" val="1"/>
        <cfvo type="num" val="1"/>
      </iconSet>
    </cfRule>
  </conditionalFormatting>
  <conditionalFormatting sqref="AL35 AL7:AL30 AL32">
    <cfRule type="iconSet" priority="234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" id="{E7352496-5232-4D8B-8409-0553A7F9B77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0" id="{D131362D-7FBA-4573-93F6-41C0841C2E0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29" id="{6C32C9E8-0EA0-41D5-9A28-38A892588D9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8" id="{03C4D8B4-E914-48D6-8653-D098A30C35E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16" id="{789BBD01-9EAF-4F7F-A4DC-C1483A261CD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9" id="{CE5E387E-1AE8-4DED-9F21-8049CEECF27F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" id="{546B7636-F731-4DBA-BCBD-51F0BB5315C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" id="{663E34AD-773B-4913-93CA-47D2B236D91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B107:AF107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J268"/>
  <sheetViews>
    <sheetView zoomScale="90" zoomScaleNormal="90" workbookViewId="0">
      <pane xSplit="1" ySplit="10" topLeftCell="Q11" activePane="bottomRight" state="frozen"/>
      <selection activeCell="AF88" sqref="AF88"/>
      <selection pane="topRight" activeCell="AF88" sqref="AF88"/>
      <selection pane="bottomLeft" activeCell="AF88" sqref="AF88"/>
      <selection pane="bottomRight" activeCell="X104" sqref="X104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AG38</f>
        <v>665.78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AG56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2079/06/4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("&amp;ROUND(B239,0)&amp;" MW)"&amp;"    IPP   = "&amp;ROUND(B234,0)&amp;" MW     NEA RoR = "&amp;ROUND(B235,0)&amp;" MWImport   = "&amp;ROUND(B237,0)&amp;" MW      KL1+KL2+K3 = "&amp;ROUND(B236,0) &amp;" MW    EXPORT = "&amp;ROUND(B238,0)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AG60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C72</f>
        <v>4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10</v>
      </c>
      <c r="K5" s="148">
        <f t="shared" si="0"/>
        <v>0</v>
      </c>
      <c r="L5" s="148">
        <f t="shared" si="0"/>
        <v>40.200000000000003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14</v>
      </c>
      <c r="S5" s="148">
        <f t="shared" si="0"/>
        <v>11</v>
      </c>
      <c r="T5" s="148">
        <f t="shared" si="0"/>
        <v>12</v>
      </c>
      <c r="U5" s="148">
        <f t="shared" si="0"/>
        <v>15</v>
      </c>
      <c r="V5" s="148">
        <f t="shared" si="0"/>
        <v>15</v>
      </c>
      <c r="W5" s="148">
        <f t="shared" si="0"/>
        <v>17</v>
      </c>
      <c r="X5" s="148">
        <f t="shared" si="0"/>
        <v>31</v>
      </c>
      <c r="Y5" s="148">
        <f t="shared" si="0"/>
        <v>44</v>
      </c>
      <c r="Z5" s="148">
        <f t="shared" si="0"/>
        <v>48</v>
      </c>
      <c r="AA5" s="148">
        <f t="shared" si="0"/>
        <v>49.9</v>
      </c>
      <c r="AB5" s="148">
        <f t="shared" si="0"/>
        <v>50.1</v>
      </c>
      <c r="AC5" s="148">
        <f t="shared" si="0"/>
        <v>52.8</v>
      </c>
      <c r="AD5" s="148">
        <f t="shared" si="0"/>
        <v>9.4</v>
      </c>
      <c r="AE5" s="148">
        <f t="shared" si="0"/>
        <v>0</v>
      </c>
      <c r="AF5" s="148">
        <f>B72</f>
        <v>4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"&amp;ROUND(B239,0)&amp;"MW at "&amp;TRUNC(B240*24,0)&amp;":"&amp;ROUND((B240*24-TRUNC(B240*24,0))*60,0)&amp;"hr at "&amp;ROUND(B241,1)&amp;"Hz     "&amp;A231&amp;" "&amp;ROUND(B231,0)&amp;"MW at "&amp;TRUNC(C231*24,0)&amp;":"&amp;ROUND((C231*24-TRUNC(C231*24,0))*6,0)&amp;"0hr"</f>
        <v>Evening Peak 0MW at 0:0hr at 0Hz     Morning Peak 1763MW at 8:00hr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1261.69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Load=4</v>
      </c>
      <c r="B7" s="137">
        <f t="shared" ref="B7:AF7" si="1">B79</f>
        <v>1740.94</v>
      </c>
      <c r="C7" s="137">
        <f t="shared" si="1"/>
        <v>1732.3400000000001</v>
      </c>
      <c r="D7" s="137">
        <f t="shared" si="1"/>
        <v>1702.3400000000001</v>
      </c>
      <c r="E7" s="137">
        <f t="shared" si="1"/>
        <v>1666.04</v>
      </c>
      <c r="F7" s="137">
        <f t="shared" si="1"/>
        <v>1671.04</v>
      </c>
      <c r="G7" s="137">
        <f t="shared" si="1"/>
        <v>1594.54</v>
      </c>
      <c r="H7" s="137">
        <f t="shared" si="1"/>
        <v>1654.54</v>
      </c>
      <c r="I7" s="137">
        <f t="shared" si="1"/>
        <v>1635.8400000000001</v>
      </c>
      <c r="J7" s="137">
        <f t="shared" si="1"/>
        <v>1701.8400000000001</v>
      </c>
      <c r="K7" s="137">
        <f t="shared" si="1"/>
        <v>1718.14</v>
      </c>
      <c r="L7" s="137">
        <f t="shared" si="1"/>
        <v>1716.04</v>
      </c>
      <c r="M7" s="137">
        <f t="shared" si="1"/>
        <v>1763.14</v>
      </c>
      <c r="N7" s="137">
        <f t="shared" si="1"/>
        <v>1727.14</v>
      </c>
      <c r="O7" s="137">
        <f t="shared" si="1"/>
        <v>1744.34</v>
      </c>
      <c r="P7" s="137">
        <f t="shared" si="1"/>
        <v>1763.04</v>
      </c>
      <c r="Q7" s="137">
        <f t="shared" si="1"/>
        <v>1763.04</v>
      </c>
      <c r="R7" s="137">
        <f t="shared" si="1"/>
        <v>1762.04</v>
      </c>
      <c r="S7" s="137">
        <f t="shared" si="1"/>
        <v>1772.5400000000002</v>
      </c>
      <c r="T7" s="137">
        <f t="shared" si="1"/>
        <v>1779.04</v>
      </c>
      <c r="U7" s="137">
        <f t="shared" si="1"/>
        <v>1785.04</v>
      </c>
      <c r="V7" s="137">
        <f t="shared" si="1"/>
        <v>1793.04</v>
      </c>
      <c r="W7" s="137">
        <f t="shared" si="1"/>
        <v>1793.04</v>
      </c>
      <c r="X7" s="137">
        <f t="shared" si="1"/>
        <v>1795.04</v>
      </c>
      <c r="Y7" s="137">
        <f t="shared" si="1"/>
        <v>1814.04</v>
      </c>
      <c r="Z7" s="137">
        <f t="shared" si="1"/>
        <v>1861.04</v>
      </c>
      <c r="AA7" s="137">
        <f t="shared" si="1"/>
        <v>1821.04</v>
      </c>
      <c r="AB7" s="137">
        <f t="shared" si="1"/>
        <v>1848.1399999999999</v>
      </c>
      <c r="AC7" s="137">
        <f t="shared" si="1"/>
        <v>1848.2399999999998</v>
      </c>
      <c r="AD7" s="137">
        <f t="shared" si="1"/>
        <v>1847.34</v>
      </c>
      <c r="AE7" s="137">
        <f t="shared" si="1"/>
        <v>1789.94</v>
      </c>
      <c r="AF7" s="137">
        <f t="shared" si="1"/>
        <v>3.54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54</v>
      </c>
      <c r="C11" s="105">
        <v>54</v>
      </c>
      <c r="D11" s="105">
        <v>54</v>
      </c>
      <c r="E11" s="105">
        <v>54</v>
      </c>
      <c r="F11" s="105">
        <v>54</v>
      </c>
      <c r="G11" s="105">
        <v>54</v>
      </c>
      <c r="H11" s="105">
        <v>54</v>
      </c>
      <c r="I11" s="105">
        <v>54</v>
      </c>
      <c r="J11" s="105">
        <v>54</v>
      </c>
      <c r="K11" s="105">
        <v>54</v>
      </c>
      <c r="L11" s="105">
        <v>54</v>
      </c>
      <c r="M11" s="105">
        <v>54</v>
      </c>
      <c r="N11" s="105">
        <v>54</v>
      </c>
      <c r="O11" s="105">
        <v>54</v>
      </c>
      <c r="P11" s="105">
        <v>54</v>
      </c>
      <c r="Q11" s="105">
        <v>54</v>
      </c>
      <c r="R11" s="105">
        <v>54</v>
      </c>
      <c r="S11" s="105">
        <v>54</v>
      </c>
      <c r="T11" s="105">
        <v>54</v>
      </c>
      <c r="U11" s="105">
        <v>54</v>
      </c>
      <c r="V11" s="105">
        <v>54</v>
      </c>
      <c r="W11" s="105">
        <v>54</v>
      </c>
      <c r="X11" s="105">
        <v>54</v>
      </c>
      <c r="Y11" s="105">
        <v>54</v>
      </c>
      <c r="Z11" s="105">
        <v>54</v>
      </c>
      <c r="AA11" s="105">
        <v>54</v>
      </c>
      <c r="AB11" s="128">
        <v>53.9</v>
      </c>
      <c r="AC11" s="128">
        <v>53.9</v>
      </c>
      <c r="AD11" s="128">
        <v>53.9</v>
      </c>
      <c r="AE11" s="128">
        <v>53.9</v>
      </c>
      <c r="AF11" s="128" t="s">
        <v>255</v>
      </c>
      <c r="AG11" s="127">
        <v>52.4</v>
      </c>
      <c r="AH11" s="20">
        <f t="shared" ref="AH11:AH74" si="2">MAX(B11:AF11)</f>
        <v>54</v>
      </c>
      <c r="AI11" s="19">
        <f t="shared" ref="AI11:AI74" si="3">MIN(B11:AF11)</f>
        <v>53.9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50.5</v>
      </c>
      <c r="C12" s="105">
        <v>50.5</v>
      </c>
      <c r="D12" s="105">
        <v>50.5</v>
      </c>
      <c r="E12" s="105">
        <v>50.5</v>
      </c>
      <c r="F12" s="105">
        <v>50.5</v>
      </c>
      <c r="G12" s="105">
        <v>50.5</v>
      </c>
      <c r="H12" s="105">
        <v>50.5</v>
      </c>
      <c r="I12" s="105">
        <v>50.5</v>
      </c>
      <c r="J12" s="105">
        <v>50.5</v>
      </c>
      <c r="K12" s="105">
        <v>50.5</v>
      </c>
      <c r="L12" s="105">
        <v>50.5</v>
      </c>
      <c r="M12" s="105">
        <v>50.5</v>
      </c>
      <c r="N12" s="105">
        <v>50.5</v>
      </c>
      <c r="O12" s="105">
        <v>50.5</v>
      </c>
      <c r="P12" s="105">
        <v>50.5</v>
      </c>
      <c r="Q12" s="105">
        <v>50.5</v>
      </c>
      <c r="R12" s="105">
        <v>50.5</v>
      </c>
      <c r="S12" s="105">
        <v>50.5</v>
      </c>
      <c r="T12" s="105">
        <v>50.5</v>
      </c>
      <c r="U12" s="105">
        <v>50.5</v>
      </c>
      <c r="V12" s="105">
        <v>50.5</v>
      </c>
      <c r="W12" s="105">
        <v>50.5</v>
      </c>
      <c r="X12" s="105">
        <v>50.5</v>
      </c>
      <c r="Y12" s="105">
        <v>50.5</v>
      </c>
      <c r="Z12" s="105">
        <v>50.5</v>
      </c>
      <c r="AA12" s="105">
        <v>50.5</v>
      </c>
      <c r="AB12" s="105">
        <v>50.5</v>
      </c>
      <c r="AC12" s="105">
        <v>50.5</v>
      </c>
      <c r="AD12" s="105">
        <v>50.5</v>
      </c>
      <c r="AE12" s="105">
        <v>50.5</v>
      </c>
      <c r="AF12" s="105" t="s">
        <v>256</v>
      </c>
      <c r="AG12" s="126">
        <v>50</v>
      </c>
      <c r="AH12" s="20">
        <f t="shared" si="2"/>
        <v>50.5</v>
      </c>
      <c r="AI12" s="19">
        <f t="shared" si="3"/>
        <v>50.5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46</v>
      </c>
      <c r="C13" s="105">
        <v>46</v>
      </c>
      <c r="D13" s="105">
        <v>46</v>
      </c>
      <c r="E13" s="105">
        <v>46</v>
      </c>
      <c r="F13" s="105">
        <v>46</v>
      </c>
      <c r="G13" s="105">
        <v>46</v>
      </c>
      <c r="H13" s="105">
        <v>46</v>
      </c>
      <c r="I13" s="105">
        <v>46</v>
      </c>
      <c r="J13" s="105">
        <v>46</v>
      </c>
      <c r="K13" s="105">
        <v>46</v>
      </c>
      <c r="L13" s="105">
        <v>46</v>
      </c>
      <c r="M13" s="105">
        <v>46</v>
      </c>
      <c r="N13" s="105">
        <v>46</v>
      </c>
      <c r="O13" s="105">
        <v>46</v>
      </c>
      <c r="P13" s="105">
        <v>46</v>
      </c>
      <c r="Q13" s="105">
        <v>46</v>
      </c>
      <c r="R13" s="105">
        <v>46</v>
      </c>
      <c r="S13" s="105">
        <v>46</v>
      </c>
      <c r="T13" s="105">
        <v>46</v>
      </c>
      <c r="U13" s="105">
        <v>46</v>
      </c>
      <c r="V13" s="105">
        <v>46</v>
      </c>
      <c r="W13" s="105">
        <v>46</v>
      </c>
      <c r="X13" s="105">
        <v>46</v>
      </c>
      <c r="Y13" s="105">
        <v>46</v>
      </c>
      <c r="Z13" s="105">
        <v>46</v>
      </c>
      <c r="AA13" s="105">
        <v>46</v>
      </c>
      <c r="AB13" s="105">
        <v>46</v>
      </c>
      <c r="AC13" s="105">
        <v>46</v>
      </c>
      <c r="AD13" s="105">
        <v>46</v>
      </c>
      <c r="AE13" s="105">
        <v>46</v>
      </c>
      <c r="AF13" s="105" t="s">
        <v>255</v>
      </c>
      <c r="AG13" s="126">
        <v>45</v>
      </c>
      <c r="AH13" s="20">
        <f t="shared" si="2"/>
        <v>46</v>
      </c>
      <c r="AI13" s="19">
        <f t="shared" si="3"/>
        <v>46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28</v>
      </c>
      <c r="C14" s="105">
        <v>28</v>
      </c>
      <c r="D14" s="105">
        <v>28</v>
      </c>
      <c r="E14" s="105">
        <v>28</v>
      </c>
      <c r="F14" s="105">
        <v>28</v>
      </c>
      <c r="G14" s="105">
        <v>28</v>
      </c>
      <c r="H14" s="105">
        <v>28</v>
      </c>
      <c r="I14" s="105">
        <v>28</v>
      </c>
      <c r="J14" s="105">
        <v>28</v>
      </c>
      <c r="K14" s="105">
        <v>0</v>
      </c>
      <c r="L14" s="105">
        <v>0</v>
      </c>
      <c r="M14" s="105">
        <v>0</v>
      </c>
      <c r="N14" s="105">
        <v>26</v>
      </c>
      <c r="O14" s="105">
        <v>26</v>
      </c>
      <c r="P14" s="105">
        <v>30</v>
      </c>
      <c r="Q14" s="105">
        <v>30</v>
      </c>
      <c r="R14" s="105">
        <v>30</v>
      </c>
      <c r="S14" s="105">
        <v>30</v>
      </c>
      <c r="T14" s="105">
        <v>30</v>
      </c>
      <c r="U14" s="105">
        <v>30</v>
      </c>
      <c r="V14" s="105">
        <v>30</v>
      </c>
      <c r="W14" s="105">
        <v>35</v>
      </c>
      <c r="X14" s="105">
        <v>35</v>
      </c>
      <c r="Y14" s="105">
        <v>35</v>
      </c>
      <c r="Z14" s="105">
        <v>25</v>
      </c>
      <c r="AA14" s="105">
        <v>25</v>
      </c>
      <c r="AB14" s="105">
        <v>35</v>
      </c>
      <c r="AC14" s="105">
        <v>35</v>
      </c>
      <c r="AD14" s="105">
        <v>32</v>
      </c>
      <c r="AE14" s="105">
        <v>28</v>
      </c>
      <c r="AF14" s="105" t="s">
        <v>257</v>
      </c>
      <c r="AG14" s="126">
        <v>42</v>
      </c>
      <c r="AH14" s="20">
        <f t="shared" si="2"/>
        <v>35</v>
      </c>
      <c r="AI14" s="19">
        <f t="shared" si="3"/>
        <v>0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15</v>
      </c>
      <c r="L15" s="105">
        <v>20</v>
      </c>
      <c r="M15" s="105">
        <v>20</v>
      </c>
      <c r="N15" s="105">
        <v>0</v>
      </c>
      <c r="O15" s="105">
        <v>10.3</v>
      </c>
      <c r="P15" s="105">
        <v>15</v>
      </c>
      <c r="Q15" s="105">
        <v>15</v>
      </c>
      <c r="R15" s="105">
        <v>24</v>
      </c>
      <c r="S15" s="105">
        <v>10.9</v>
      </c>
      <c r="T15" s="105">
        <v>30</v>
      </c>
      <c r="U15" s="105">
        <v>30</v>
      </c>
      <c r="V15" s="105">
        <v>30</v>
      </c>
      <c r="W15" s="105">
        <v>25</v>
      </c>
      <c r="X15" s="105">
        <v>25</v>
      </c>
      <c r="Y15" s="105">
        <v>30</v>
      </c>
      <c r="Z15" s="105">
        <v>30</v>
      </c>
      <c r="AA15" s="105">
        <v>30</v>
      </c>
      <c r="AB15" s="105">
        <v>30</v>
      </c>
      <c r="AC15" s="105">
        <v>30</v>
      </c>
      <c r="AD15" s="105">
        <v>30</v>
      </c>
      <c r="AE15" s="105">
        <v>30</v>
      </c>
      <c r="AF15" s="105" t="s">
        <v>258</v>
      </c>
      <c r="AG15" s="96">
        <v>30</v>
      </c>
      <c r="AH15" s="20">
        <f t="shared" si="2"/>
        <v>30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217</v>
      </c>
      <c r="B16" s="105">
        <v>25.2</v>
      </c>
      <c r="C16" s="105">
        <v>25.2</v>
      </c>
      <c r="D16" s="105">
        <v>25.2</v>
      </c>
      <c r="E16" s="105">
        <v>25.2</v>
      </c>
      <c r="F16" s="105">
        <v>25.2</v>
      </c>
      <c r="G16" s="105">
        <v>25.2</v>
      </c>
      <c r="H16" s="105">
        <v>25.2</v>
      </c>
      <c r="I16" s="105">
        <v>25.2</v>
      </c>
      <c r="J16" s="105">
        <v>25.2</v>
      </c>
      <c r="K16" s="105">
        <v>25.2</v>
      </c>
      <c r="L16" s="105">
        <v>25.2</v>
      </c>
      <c r="M16" s="105">
        <v>25.2</v>
      </c>
      <c r="N16" s="105">
        <v>26.3</v>
      </c>
      <c r="O16" s="105">
        <v>26.3</v>
      </c>
      <c r="P16" s="105">
        <v>26.3</v>
      </c>
      <c r="Q16" s="105">
        <v>26.3</v>
      </c>
      <c r="R16" s="105">
        <v>26.3</v>
      </c>
      <c r="S16" s="105">
        <v>26.3</v>
      </c>
      <c r="T16" s="105">
        <v>26.3</v>
      </c>
      <c r="U16" s="105">
        <v>26.3</v>
      </c>
      <c r="V16" s="105">
        <v>26.3</v>
      </c>
      <c r="W16" s="105">
        <v>26.3</v>
      </c>
      <c r="X16" s="105">
        <v>26.3</v>
      </c>
      <c r="Y16" s="105">
        <v>26.3</v>
      </c>
      <c r="Z16" s="105">
        <v>26.3</v>
      </c>
      <c r="AA16" s="105">
        <v>26.3</v>
      </c>
      <c r="AB16" s="105">
        <v>26.3</v>
      </c>
      <c r="AC16" s="105">
        <v>26.3</v>
      </c>
      <c r="AD16" s="105">
        <v>26.3</v>
      </c>
      <c r="AE16" s="105">
        <v>26.3</v>
      </c>
      <c r="AF16" s="105" t="s">
        <v>259</v>
      </c>
      <c r="AG16" s="126">
        <v>25</v>
      </c>
      <c r="AH16" s="20">
        <f t="shared" si="2"/>
        <v>26.3</v>
      </c>
      <c r="AI16" s="19">
        <f t="shared" si="3"/>
        <v>25.2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216</v>
      </c>
      <c r="B17" s="105">
        <v>25</v>
      </c>
      <c r="C17" s="105">
        <v>25</v>
      </c>
      <c r="D17" s="105">
        <v>25</v>
      </c>
      <c r="E17" s="105">
        <v>25</v>
      </c>
      <c r="F17" s="105">
        <v>25</v>
      </c>
      <c r="G17" s="105">
        <v>25</v>
      </c>
      <c r="H17" s="105">
        <v>25</v>
      </c>
      <c r="I17" s="105">
        <v>25</v>
      </c>
      <c r="J17" s="105">
        <v>25</v>
      </c>
      <c r="K17" s="105">
        <v>25</v>
      </c>
      <c r="L17" s="105">
        <v>25</v>
      </c>
      <c r="M17" s="105">
        <v>25</v>
      </c>
      <c r="N17" s="105">
        <v>25</v>
      </c>
      <c r="O17" s="105">
        <v>25</v>
      </c>
      <c r="P17" s="105">
        <v>25</v>
      </c>
      <c r="Q17" s="105">
        <v>25</v>
      </c>
      <c r="R17" s="105">
        <v>25</v>
      </c>
      <c r="S17" s="105">
        <v>25</v>
      </c>
      <c r="T17" s="105">
        <v>25</v>
      </c>
      <c r="U17" s="105">
        <v>25</v>
      </c>
      <c r="V17" s="105">
        <v>25</v>
      </c>
      <c r="W17" s="105">
        <v>25</v>
      </c>
      <c r="X17" s="105">
        <v>25</v>
      </c>
      <c r="Y17" s="105">
        <v>25</v>
      </c>
      <c r="Z17" s="105">
        <v>25</v>
      </c>
      <c r="AA17" s="105">
        <v>25</v>
      </c>
      <c r="AB17" s="105">
        <v>25</v>
      </c>
      <c r="AC17" s="105">
        <v>25</v>
      </c>
      <c r="AD17" s="105">
        <v>25</v>
      </c>
      <c r="AE17" s="105">
        <v>25</v>
      </c>
      <c r="AF17" s="105"/>
      <c r="AG17" s="126">
        <v>25</v>
      </c>
      <c r="AH17" s="20">
        <f t="shared" si="2"/>
        <v>25</v>
      </c>
      <c r="AI17" s="19">
        <f t="shared" si="3"/>
        <v>25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215</v>
      </c>
      <c r="B18" s="105">
        <v>22</v>
      </c>
      <c r="C18" s="105">
        <v>22</v>
      </c>
      <c r="D18" s="105">
        <v>22</v>
      </c>
      <c r="E18" s="105">
        <v>22</v>
      </c>
      <c r="F18" s="105">
        <v>22</v>
      </c>
      <c r="G18" s="105">
        <v>22</v>
      </c>
      <c r="H18" s="105">
        <v>22</v>
      </c>
      <c r="I18" s="105">
        <v>22</v>
      </c>
      <c r="J18" s="105">
        <v>22</v>
      </c>
      <c r="K18" s="105">
        <v>22</v>
      </c>
      <c r="L18" s="105">
        <v>22</v>
      </c>
      <c r="M18" s="105">
        <v>22</v>
      </c>
      <c r="N18" s="105">
        <v>22</v>
      </c>
      <c r="O18" s="105">
        <v>22</v>
      </c>
      <c r="P18" s="105">
        <v>22</v>
      </c>
      <c r="Q18" s="105">
        <v>22</v>
      </c>
      <c r="R18" s="105">
        <v>22</v>
      </c>
      <c r="S18" s="105">
        <v>22</v>
      </c>
      <c r="T18" s="105">
        <v>22</v>
      </c>
      <c r="U18" s="105">
        <v>22</v>
      </c>
      <c r="V18" s="105">
        <v>22</v>
      </c>
      <c r="W18" s="105">
        <v>22</v>
      </c>
      <c r="X18" s="105">
        <v>22</v>
      </c>
      <c r="Y18" s="105">
        <v>22</v>
      </c>
      <c r="Z18" s="105">
        <v>22</v>
      </c>
      <c r="AA18" s="105">
        <v>22</v>
      </c>
      <c r="AB18" s="105">
        <v>25</v>
      </c>
      <c r="AC18" s="105">
        <v>25</v>
      </c>
      <c r="AD18" s="105">
        <v>25</v>
      </c>
      <c r="AE18" s="105">
        <v>25</v>
      </c>
      <c r="AF18" s="105" t="s">
        <v>260</v>
      </c>
      <c r="AG18" s="126">
        <v>25</v>
      </c>
      <c r="AH18" s="20">
        <f t="shared" si="2"/>
        <v>25</v>
      </c>
      <c r="AI18" s="19">
        <f t="shared" si="3"/>
        <v>22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214</v>
      </c>
      <c r="B19" s="105">
        <v>24</v>
      </c>
      <c r="C19" s="105">
        <v>24</v>
      </c>
      <c r="D19" s="105">
        <v>24</v>
      </c>
      <c r="E19" s="105">
        <v>24</v>
      </c>
      <c r="F19" s="105">
        <v>24</v>
      </c>
      <c r="G19" s="105">
        <v>24</v>
      </c>
      <c r="H19" s="105">
        <v>24</v>
      </c>
      <c r="I19" s="105">
        <v>24</v>
      </c>
      <c r="J19" s="105">
        <v>24</v>
      </c>
      <c r="K19" s="105">
        <v>33</v>
      </c>
      <c r="L19" s="105">
        <v>33</v>
      </c>
      <c r="M19" s="105">
        <v>33</v>
      </c>
      <c r="N19" s="105">
        <v>26.1</v>
      </c>
      <c r="O19" s="105">
        <v>26.1</v>
      </c>
      <c r="P19" s="105">
        <v>26.1</v>
      </c>
      <c r="Q19" s="105">
        <v>26.1</v>
      </c>
      <c r="R19" s="105">
        <v>26.1</v>
      </c>
      <c r="S19" s="105">
        <v>26.1</v>
      </c>
      <c r="T19" s="105">
        <v>26.1</v>
      </c>
      <c r="U19" s="105">
        <v>26.1</v>
      </c>
      <c r="V19" s="105">
        <v>26.1</v>
      </c>
      <c r="W19" s="105">
        <v>26.1</v>
      </c>
      <c r="X19" s="105">
        <v>26.1</v>
      </c>
      <c r="Y19" s="105">
        <v>26.1</v>
      </c>
      <c r="Z19" s="105">
        <v>26.1</v>
      </c>
      <c r="AA19" s="105">
        <v>26.1</v>
      </c>
      <c r="AB19" s="105">
        <v>26.1</v>
      </c>
      <c r="AC19" s="105">
        <v>26.1</v>
      </c>
      <c r="AD19" s="105">
        <v>26.1</v>
      </c>
      <c r="AE19" s="105">
        <v>26.1</v>
      </c>
      <c r="AF19" s="105" t="s">
        <v>261</v>
      </c>
      <c r="AG19" s="126">
        <v>24.2</v>
      </c>
      <c r="AH19" s="20">
        <f t="shared" si="2"/>
        <v>33</v>
      </c>
      <c r="AI19" s="19">
        <f t="shared" si="3"/>
        <v>24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213</v>
      </c>
      <c r="B20" s="105">
        <v>23.5</v>
      </c>
      <c r="C20" s="105">
        <v>23.5</v>
      </c>
      <c r="D20" s="105">
        <v>23.5</v>
      </c>
      <c r="E20" s="105">
        <v>23.5</v>
      </c>
      <c r="F20" s="105">
        <v>23.5</v>
      </c>
      <c r="G20" s="105">
        <v>23.5</v>
      </c>
      <c r="H20" s="105">
        <v>23.5</v>
      </c>
      <c r="I20" s="105">
        <v>23.5</v>
      </c>
      <c r="J20" s="105">
        <v>23.5</v>
      </c>
      <c r="K20" s="105">
        <v>23.5</v>
      </c>
      <c r="L20" s="105">
        <v>23.5</v>
      </c>
      <c r="M20" s="105">
        <v>23.5</v>
      </c>
      <c r="N20" s="105">
        <v>23.5</v>
      </c>
      <c r="O20" s="105">
        <v>23.5</v>
      </c>
      <c r="P20" s="105">
        <v>23.5</v>
      </c>
      <c r="Q20" s="105">
        <v>23.5</v>
      </c>
      <c r="R20" s="105">
        <v>23.5</v>
      </c>
      <c r="S20" s="105">
        <v>23.5</v>
      </c>
      <c r="T20" s="105">
        <v>23.5</v>
      </c>
      <c r="U20" s="105">
        <v>23.5</v>
      </c>
      <c r="V20" s="105">
        <v>23.5</v>
      </c>
      <c r="W20" s="105">
        <v>23.5</v>
      </c>
      <c r="X20" s="105">
        <v>23.5</v>
      </c>
      <c r="Y20" s="105">
        <v>23.5</v>
      </c>
      <c r="Z20" s="105">
        <v>23.5</v>
      </c>
      <c r="AA20" s="105">
        <v>23.5</v>
      </c>
      <c r="AB20" s="105">
        <v>23.5</v>
      </c>
      <c r="AC20" s="105">
        <v>23.5</v>
      </c>
      <c r="AD20" s="105">
        <v>23.5</v>
      </c>
      <c r="AE20" s="105">
        <v>23.5</v>
      </c>
      <c r="AF20" s="105" t="s">
        <v>255</v>
      </c>
      <c r="AG20" s="126">
        <v>23.5</v>
      </c>
      <c r="AH20" s="20">
        <f t="shared" si="2"/>
        <v>23.5</v>
      </c>
      <c r="AI20" s="19">
        <f t="shared" si="3"/>
        <v>23.5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212</v>
      </c>
      <c r="B21" s="105">
        <v>22</v>
      </c>
      <c r="C21" s="105">
        <v>22</v>
      </c>
      <c r="D21" s="105">
        <v>22</v>
      </c>
      <c r="E21" s="105">
        <v>22</v>
      </c>
      <c r="F21" s="105">
        <v>22</v>
      </c>
      <c r="G21" s="105">
        <v>22</v>
      </c>
      <c r="H21" s="105">
        <v>22</v>
      </c>
      <c r="I21" s="105">
        <v>22</v>
      </c>
      <c r="J21" s="105">
        <v>22</v>
      </c>
      <c r="K21" s="105">
        <v>22</v>
      </c>
      <c r="L21" s="105">
        <v>22</v>
      </c>
      <c r="M21" s="105">
        <v>22</v>
      </c>
      <c r="N21" s="105">
        <v>22</v>
      </c>
      <c r="O21" s="105">
        <v>22</v>
      </c>
      <c r="P21" s="105">
        <v>22</v>
      </c>
      <c r="Q21" s="105">
        <v>22</v>
      </c>
      <c r="R21" s="105">
        <v>22</v>
      </c>
      <c r="S21" s="105">
        <v>22</v>
      </c>
      <c r="T21" s="105">
        <v>22</v>
      </c>
      <c r="U21" s="105">
        <v>22</v>
      </c>
      <c r="V21" s="105">
        <v>22</v>
      </c>
      <c r="W21" s="105">
        <v>22</v>
      </c>
      <c r="X21" s="105">
        <v>22</v>
      </c>
      <c r="Y21" s="105">
        <v>22</v>
      </c>
      <c r="Z21" s="105">
        <v>22</v>
      </c>
      <c r="AA21" s="105">
        <v>22</v>
      </c>
      <c r="AB21" s="105">
        <v>22</v>
      </c>
      <c r="AC21" s="105">
        <v>22</v>
      </c>
      <c r="AD21" s="105">
        <v>22</v>
      </c>
      <c r="AE21" s="105">
        <v>22</v>
      </c>
      <c r="AF21" s="105" t="s">
        <v>257</v>
      </c>
      <c r="AG21" s="126">
        <v>22.2</v>
      </c>
      <c r="AH21" s="20">
        <f t="shared" si="2"/>
        <v>22</v>
      </c>
      <c r="AI21" s="19">
        <f t="shared" si="3"/>
        <v>22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211</v>
      </c>
      <c r="B22" s="105">
        <v>22</v>
      </c>
      <c r="C22" s="105">
        <v>22</v>
      </c>
      <c r="D22" s="105">
        <v>22</v>
      </c>
      <c r="E22" s="105">
        <v>22</v>
      </c>
      <c r="F22" s="105">
        <v>22</v>
      </c>
      <c r="G22" s="105">
        <v>22</v>
      </c>
      <c r="H22" s="105">
        <v>22</v>
      </c>
      <c r="I22" s="105">
        <v>22</v>
      </c>
      <c r="J22" s="105">
        <v>22</v>
      </c>
      <c r="K22" s="105">
        <v>22</v>
      </c>
      <c r="L22" s="105">
        <v>22</v>
      </c>
      <c r="M22" s="105">
        <v>22</v>
      </c>
      <c r="N22" s="105">
        <v>22</v>
      </c>
      <c r="O22" s="105">
        <v>22</v>
      </c>
      <c r="P22" s="105">
        <v>22</v>
      </c>
      <c r="Q22" s="105">
        <v>22</v>
      </c>
      <c r="R22" s="105">
        <v>22</v>
      </c>
      <c r="S22" s="105">
        <v>22</v>
      </c>
      <c r="T22" s="105">
        <v>22</v>
      </c>
      <c r="U22" s="105">
        <v>22</v>
      </c>
      <c r="V22" s="105">
        <v>22</v>
      </c>
      <c r="W22" s="105">
        <v>22</v>
      </c>
      <c r="X22" s="105">
        <v>22</v>
      </c>
      <c r="Y22" s="105">
        <v>22</v>
      </c>
      <c r="Z22" s="105">
        <v>22</v>
      </c>
      <c r="AA22" s="105">
        <v>22</v>
      </c>
      <c r="AB22" s="105">
        <v>22</v>
      </c>
      <c r="AC22" s="105">
        <v>22</v>
      </c>
      <c r="AD22" s="105">
        <v>22</v>
      </c>
      <c r="AE22" s="105">
        <v>22</v>
      </c>
      <c r="AF22" s="105" t="s">
        <v>262</v>
      </c>
      <c r="AG22" s="126">
        <v>22.1</v>
      </c>
      <c r="AH22" s="20">
        <f t="shared" si="2"/>
        <v>22</v>
      </c>
      <c r="AI22" s="19">
        <f t="shared" si="3"/>
        <v>22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210</v>
      </c>
      <c r="B23" s="105">
        <v>22</v>
      </c>
      <c r="C23" s="105">
        <v>22</v>
      </c>
      <c r="D23" s="105">
        <v>22</v>
      </c>
      <c r="E23" s="105">
        <v>22</v>
      </c>
      <c r="F23" s="105">
        <v>22</v>
      </c>
      <c r="G23" s="105">
        <v>22</v>
      </c>
      <c r="H23" s="105">
        <v>22</v>
      </c>
      <c r="I23" s="105">
        <v>22</v>
      </c>
      <c r="J23" s="105">
        <v>22</v>
      </c>
      <c r="K23" s="105">
        <v>22</v>
      </c>
      <c r="L23" s="105">
        <v>22</v>
      </c>
      <c r="M23" s="105">
        <v>22</v>
      </c>
      <c r="N23" s="105">
        <v>22</v>
      </c>
      <c r="O23" s="105">
        <v>22</v>
      </c>
      <c r="P23" s="105">
        <v>22</v>
      </c>
      <c r="Q23" s="105">
        <v>22</v>
      </c>
      <c r="R23" s="105">
        <v>22</v>
      </c>
      <c r="S23" s="105">
        <v>22</v>
      </c>
      <c r="T23" s="105">
        <v>22</v>
      </c>
      <c r="U23" s="105">
        <v>22</v>
      </c>
      <c r="V23" s="105">
        <v>22</v>
      </c>
      <c r="W23" s="105">
        <v>22</v>
      </c>
      <c r="X23" s="105">
        <v>22</v>
      </c>
      <c r="Y23" s="105">
        <v>22</v>
      </c>
      <c r="Z23" s="105">
        <v>22</v>
      </c>
      <c r="AA23" s="105">
        <v>22</v>
      </c>
      <c r="AB23" s="105">
        <v>22</v>
      </c>
      <c r="AC23" s="105">
        <v>22</v>
      </c>
      <c r="AD23" s="105">
        <v>22</v>
      </c>
      <c r="AE23" s="105">
        <v>22</v>
      </c>
      <c r="AF23" s="105" t="s">
        <v>264</v>
      </c>
      <c r="AG23" s="126">
        <v>22</v>
      </c>
      <c r="AH23" s="20">
        <f t="shared" si="2"/>
        <v>22</v>
      </c>
      <c r="AI23" s="19">
        <f t="shared" si="3"/>
        <v>22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209</v>
      </c>
      <c r="B24" s="105">
        <v>20</v>
      </c>
      <c r="C24" s="105">
        <v>20</v>
      </c>
      <c r="D24" s="105">
        <v>20</v>
      </c>
      <c r="E24" s="105">
        <v>20</v>
      </c>
      <c r="F24" s="105">
        <v>20</v>
      </c>
      <c r="G24" s="105">
        <v>20</v>
      </c>
      <c r="H24" s="105">
        <v>20</v>
      </c>
      <c r="I24" s="105">
        <v>20</v>
      </c>
      <c r="J24" s="105">
        <v>20</v>
      </c>
      <c r="K24" s="105">
        <v>20</v>
      </c>
      <c r="L24" s="105">
        <v>20</v>
      </c>
      <c r="M24" s="105">
        <v>20</v>
      </c>
      <c r="N24" s="105">
        <v>20</v>
      </c>
      <c r="O24" s="105">
        <v>20</v>
      </c>
      <c r="P24" s="105">
        <v>20</v>
      </c>
      <c r="Q24" s="105">
        <v>20</v>
      </c>
      <c r="R24" s="105">
        <v>20</v>
      </c>
      <c r="S24" s="105">
        <v>20</v>
      </c>
      <c r="T24" s="105">
        <v>20</v>
      </c>
      <c r="U24" s="105">
        <v>20</v>
      </c>
      <c r="V24" s="105">
        <v>20</v>
      </c>
      <c r="W24" s="105">
        <v>20</v>
      </c>
      <c r="X24" s="105">
        <v>20</v>
      </c>
      <c r="Y24" s="105">
        <v>20</v>
      </c>
      <c r="Z24" s="105">
        <v>20</v>
      </c>
      <c r="AA24" s="105">
        <v>20</v>
      </c>
      <c r="AB24" s="105">
        <v>22</v>
      </c>
      <c r="AC24" s="105">
        <v>22</v>
      </c>
      <c r="AD24" s="105">
        <v>22</v>
      </c>
      <c r="AE24" s="105">
        <v>22</v>
      </c>
      <c r="AF24" s="105" t="s">
        <v>265</v>
      </c>
      <c r="AG24" s="126">
        <v>22</v>
      </c>
      <c r="AH24" s="20">
        <f t="shared" si="2"/>
        <v>22</v>
      </c>
      <c r="AI24" s="19">
        <f t="shared" si="3"/>
        <v>20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208</v>
      </c>
      <c r="B25" s="105">
        <v>0</v>
      </c>
      <c r="C25" s="105">
        <v>0</v>
      </c>
      <c r="D25" s="105">
        <v>0</v>
      </c>
      <c r="E25" s="105">
        <v>0</v>
      </c>
      <c r="F25" s="105">
        <v>0</v>
      </c>
      <c r="G25" s="105">
        <v>0</v>
      </c>
      <c r="H25" s="105">
        <v>0</v>
      </c>
      <c r="I25" s="105">
        <v>0</v>
      </c>
      <c r="J25" s="105">
        <v>0</v>
      </c>
      <c r="K25" s="105">
        <v>0</v>
      </c>
      <c r="L25" s="105">
        <v>0</v>
      </c>
      <c r="M25" s="105">
        <v>0</v>
      </c>
      <c r="N25" s="105">
        <v>0</v>
      </c>
      <c r="O25" s="105">
        <v>0</v>
      </c>
      <c r="P25" s="105">
        <v>10</v>
      </c>
      <c r="Q25" s="105">
        <v>10</v>
      </c>
      <c r="R25" s="105">
        <v>0</v>
      </c>
      <c r="S25" s="105">
        <v>0</v>
      </c>
      <c r="T25" s="105">
        <v>0</v>
      </c>
      <c r="U25" s="105">
        <v>5</v>
      </c>
      <c r="V25" s="105">
        <v>10</v>
      </c>
      <c r="W25" s="105">
        <v>10</v>
      </c>
      <c r="X25" s="105">
        <v>10</v>
      </c>
      <c r="Y25" s="105">
        <v>10</v>
      </c>
      <c r="Z25" s="105">
        <v>10</v>
      </c>
      <c r="AA25" s="105">
        <v>10</v>
      </c>
      <c r="AB25" s="105">
        <v>10</v>
      </c>
      <c r="AC25" s="105">
        <v>10</v>
      </c>
      <c r="AD25" s="105">
        <v>10</v>
      </c>
      <c r="AE25" s="105">
        <v>0</v>
      </c>
      <c r="AF25" s="105" t="s">
        <v>266</v>
      </c>
      <c r="AG25" s="126">
        <v>20</v>
      </c>
      <c r="AH25" s="20">
        <f t="shared" si="2"/>
        <v>10</v>
      </c>
      <c r="AI25" s="19">
        <f t="shared" si="3"/>
        <v>0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207</v>
      </c>
      <c r="B26" s="105">
        <v>14</v>
      </c>
      <c r="C26" s="105">
        <v>14</v>
      </c>
      <c r="D26" s="105">
        <v>14</v>
      </c>
      <c r="E26" s="105">
        <v>14</v>
      </c>
      <c r="F26" s="105">
        <v>14</v>
      </c>
      <c r="G26" s="105">
        <v>14</v>
      </c>
      <c r="H26" s="105">
        <v>14</v>
      </c>
      <c r="I26" s="105">
        <v>14</v>
      </c>
      <c r="J26" s="105">
        <v>14</v>
      </c>
      <c r="K26" s="105">
        <v>14</v>
      </c>
      <c r="L26" s="105">
        <v>14</v>
      </c>
      <c r="M26" s="105">
        <v>14</v>
      </c>
      <c r="N26" s="105">
        <v>14</v>
      </c>
      <c r="O26" s="105">
        <v>14</v>
      </c>
      <c r="P26" s="105">
        <v>14</v>
      </c>
      <c r="Q26" s="105">
        <v>14</v>
      </c>
      <c r="R26" s="105">
        <v>14</v>
      </c>
      <c r="S26" s="105">
        <v>14</v>
      </c>
      <c r="T26" s="105">
        <v>14</v>
      </c>
      <c r="U26" s="105">
        <v>14</v>
      </c>
      <c r="V26" s="105">
        <v>14</v>
      </c>
      <c r="W26" s="105">
        <v>14</v>
      </c>
      <c r="X26" s="105">
        <v>14</v>
      </c>
      <c r="Y26" s="105">
        <v>14</v>
      </c>
      <c r="Z26" s="105">
        <v>14</v>
      </c>
      <c r="AA26" s="105">
        <v>14</v>
      </c>
      <c r="AB26" s="105">
        <v>14</v>
      </c>
      <c r="AC26" s="105">
        <v>14</v>
      </c>
      <c r="AD26" s="105">
        <v>14</v>
      </c>
      <c r="AE26" s="105">
        <v>14</v>
      </c>
      <c r="AF26" s="105" t="s">
        <v>267</v>
      </c>
      <c r="AG26" s="126">
        <v>14.9</v>
      </c>
      <c r="AH26" s="20">
        <f t="shared" si="2"/>
        <v>14</v>
      </c>
      <c r="AI26" s="19">
        <f t="shared" si="3"/>
        <v>14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206</v>
      </c>
      <c r="B27" s="105">
        <v>13</v>
      </c>
      <c r="C27" s="105">
        <v>13</v>
      </c>
      <c r="D27" s="105">
        <v>13</v>
      </c>
      <c r="E27" s="105">
        <v>13</v>
      </c>
      <c r="F27" s="105">
        <v>13</v>
      </c>
      <c r="G27" s="105">
        <v>13</v>
      </c>
      <c r="H27" s="105">
        <v>13</v>
      </c>
      <c r="I27" s="105">
        <v>13</v>
      </c>
      <c r="J27" s="105">
        <v>13</v>
      </c>
      <c r="K27" s="105">
        <v>0</v>
      </c>
      <c r="L27" s="105">
        <v>0</v>
      </c>
      <c r="M27" s="105">
        <v>0</v>
      </c>
      <c r="N27" s="105">
        <v>8</v>
      </c>
      <c r="O27" s="105">
        <v>8</v>
      </c>
      <c r="P27" s="105">
        <v>8</v>
      </c>
      <c r="Q27" s="105">
        <v>8</v>
      </c>
      <c r="R27" s="105">
        <v>8</v>
      </c>
      <c r="S27" s="105">
        <v>8</v>
      </c>
      <c r="T27" s="105">
        <v>8</v>
      </c>
      <c r="U27" s="105">
        <v>8</v>
      </c>
      <c r="V27" s="105">
        <v>8</v>
      </c>
      <c r="W27" s="105">
        <v>8</v>
      </c>
      <c r="X27" s="105">
        <v>8</v>
      </c>
      <c r="Y27" s="105">
        <v>8</v>
      </c>
      <c r="Z27" s="105">
        <v>8</v>
      </c>
      <c r="AA27" s="105">
        <v>8</v>
      </c>
      <c r="AB27" s="105">
        <v>8</v>
      </c>
      <c r="AC27" s="105">
        <v>8</v>
      </c>
      <c r="AD27" s="105">
        <v>8</v>
      </c>
      <c r="AE27" s="105">
        <v>8</v>
      </c>
      <c r="AF27" s="105" t="s">
        <v>258</v>
      </c>
      <c r="AG27" s="126">
        <v>13.6</v>
      </c>
      <c r="AH27" s="20">
        <f t="shared" si="2"/>
        <v>13</v>
      </c>
      <c r="AI27" s="19">
        <f t="shared" si="3"/>
        <v>0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205</v>
      </c>
      <c r="B28" s="105">
        <v>11</v>
      </c>
      <c r="C28" s="105">
        <v>11</v>
      </c>
      <c r="D28" s="105">
        <v>11</v>
      </c>
      <c r="E28" s="105">
        <v>11</v>
      </c>
      <c r="F28" s="105">
        <v>11</v>
      </c>
      <c r="G28" s="105">
        <v>11</v>
      </c>
      <c r="H28" s="105">
        <v>11</v>
      </c>
      <c r="I28" s="105">
        <v>11</v>
      </c>
      <c r="J28" s="105">
        <v>11</v>
      </c>
      <c r="K28" s="105">
        <v>11</v>
      </c>
      <c r="L28" s="105">
        <v>11</v>
      </c>
      <c r="M28" s="105">
        <v>11</v>
      </c>
      <c r="N28" s="105">
        <v>11</v>
      </c>
      <c r="O28" s="105">
        <v>11</v>
      </c>
      <c r="P28" s="105">
        <v>11</v>
      </c>
      <c r="Q28" s="105">
        <v>11</v>
      </c>
      <c r="R28" s="105">
        <v>11</v>
      </c>
      <c r="S28" s="105">
        <v>11</v>
      </c>
      <c r="T28" s="105">
        <v>11</v>
      </c>
      <c r="U28" s="105">
        <v>11</v>
      </c>
      <c r="V28" s="105">
        <v>11</v>
      </c>
      <c r="W28" s="105">
        <v>11</v>
      </c>
      <c r="X28" s="105">
        <v>11</v>
      </c>
      <c r="Y28" s="105">
        <v>11</v>
      </c>
      <c r="Z28" s="105">
        <v>11</v>
      </c>
      <c r="AA28" s="105">
        <v>11</v>
      </c>
      <c r="AB28" s="105">
        <v>11</v>
      </c>
      <c r="AC28" s="105">
        <v>11</v>
      </c>
      <c r="AD28" s="105">
        <v>11</v>
      </c>
      <c r="AE28" s="105">
        <v>11</v>
      </c>
      <c r="AF28" s="105"/>
      <c r="AG28" s="126">
        <v>13</v>
      </c>
      <c r="AH28" s="20">
        <f t="shared" si="2"/>
        <v>11</v>
      </c>
      <c r="AI28" s="19">
        <f t="shared" si="3"/>
        <v>11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204</v>
      </c>
      <c r="B29" s="105">
        <v>12</v>
      </c>
      <c r="C29" s="105">
        <v>12</v>
      </c>
      <c r="D29" s="105">
        <v>12</v>
      </c>
      <c r="E29" s="105">
        <v>12</v>
      </c>
      <c r="F29" s="105">
        <v>12</v>
      </c>
      <c r="G29" s="105">
        <v>12</v>
      </c>
      <c r="H29" s="105">
        <v>12</v>
      </c>
      <c r="I29" s="105">
        <v>12</v>
      </c>
      <c r="J29" s="105">
        <v>12</v>
      </c>
      <c r="K29" s="105">
        <v>12</v>
      </c>
      <c r="L29" s="105">
        <v>12</v>
      </c>
      <c r="M29" s="105">
        <v>12</v>
      </c>
      <c r="N29" s="105">
        <v>12</v>
      </c>
      <c r="O29" s="105">
        <v>12</v>
      </c>
      <c r="P29" s="105">
        <v>12</v>
      </c>
      <c r="Q29" s="105">
        <v>12</v>
      </c>
      <c r="R29" s="105">
        <v>12</v>
      </c>
      <c r="S29" s="105">
        <v>12</v>
      </c>
      <c r="T29" s="105">
        <v>12</v>
      </c>
      <c r="U29" s="105">
        <v>12</v>
      </c>
      <c r="V29" s="105">
        <v>12</v>
      </c>
      <c r="W29" s="105">
        <v>12</v>
      </c>
      <c r="X29" s="105">
        <v>12</v>
      </c>
      <c r="Y29" s="105">
        <v>12</v>
      </c>
      <c r="Z29" s="105">
        <v>12</v>
      </c>
      <c r="AA29" s="105">
        <v>12</v>
      </c>
      <c r="AB29" s="105">
        <v>12</v>
      </c>
      <c r="AC29" s="105">
        <v>12</v>
      </c>
      <c r="AD29" s="105">
        <v>12</v>
      </c>
      <c r="AE29" s="105">
        <v>12</v>
      </c>
      <c r="AF29" s="105"/>
      <c r="AG29" s="126">
        <v>12</v>
      </c>
      <c r="AH29" s="20">
        <f t="shared" si="2"/>
        <v>12</v>
      </c>
      <c r="AI29" s="19">
        <f t="shared" si="3"/>
        <v>12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203</v>
      </c>
      <c r="B30" s="105">
        <v>2</v>
      </c>
      <c r="C30" s="105">
        <v>2</v>
      </c>
      <c r="D30" s="105">
        <v>2</v>
      </c>
      <c r="E30" s="105">
        <v>2</v>
      </c>
      <c r="F30" s="105">
        <v>2</v>
      </c>
      <c r="G30" s="105">
        <v>2</v>
      </c>
      <c r="H30" s="105">
        <v>2</v>
      </c>
      <c r="I30" s="105">
        <v>2</v>
      </c>
      <c r="J30" s="105">
        <v>2</v>
      </c>
      <c r="K30" s="105">
        <v>2</v>
      </c>
      <c r="L30" s="105">
        <v>2</v>
      </c>
      <c r="M30" s="105">
        <v>2</v>
      </c>
      <c r="N30" s="105">
        <v>2</v>
      </c>
      <c r="O30" s="105">
        <v>2</v>
      </c>
      <c r="P30" s="105">
        <v>2</v>
      </c>
      <c r="Q30" s="105">
        <v>2</v>
      </c>
      <c r="R30" s="105">
        <v>2</v>
      </c>
      <c r="S30" s="105">
        <v>2</v>
      </c>
      <c r="T30" s="105">
        <v>2</v>
      </c>
      <c r="U30" s="105">
        <v>2</v>
      </c>
      <c r="V30" s="105">
        <v>2</v>
      </c>
      <c r="W30" s="105">
        <v>2</v>
      </c>
      <c r="X30" s="105">
        <v>2</v>
      </c>
      <c r="Y30" s="105">
        <v>2</v>
      </c>
      <c r="Z30" s="105">
        <v>2</v>
      </c>
      <c r="AA30" s="105">
        <v>2</v>
      </c>
      <c r="AB30" s="105">
        <v>2</v>
      </c>
      <c r="AC30" s="105">
        <v>2</v>
      </c>
      <c r="AD30" s="105">
        <v>2</v>
      </c>
      <c r="AE30" s="105">
        <v>2</v>
      </c>
      <c r="AF30" s="105"/>
      <c r="AG30" s="126">
        <v>12</v>
      </c>
      <c r="AH30" s="20">
        <f t="shared" si="2"/>
        <v>2</v>
      </c>
      <c r="AI30" s="19">
        <f t="shared" si="3"/>
        <v>2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ht="14.25" customHeight="1" x14ac:dyDescent="0.25">
      <c r="A31" s="97" t="s">
        <v>202</v>
      </c>
      <c r="B31" s="105">
        <v>12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>
        <v>12</v>
      </c>
      <c r="AE31" s="105">
        <v>12</v>
      </c>
      <c r="AF31" s="105"/>
      <c r="AG31" s="125">
        <v>22</v>
      </c>
      <c r="AH31" s="20">
        <f t="shared" si="2"/>
        <v>12</v>
      </c>
      <c r="AI31" s="19">
        <f t="shared" si="3"/>
        <v>12</v>
      </c>
      <c r="AK31" s="41"/>
      <c r="AL31" s="124"/>
      <c r="AM31" s="121"/>
      <c r="AN31" s="121"/>
      <c r="AO31" s="121"/>
      <c r="AP31" s="121"/>
      <c r="AQ31" s="123"/>
      <c r="AR31" s="122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ht="14.25" customHeight="1" x14ac:dyDescent="0.25">
      <c r="A32" s="97" t="s">
        <v>201</v>
      </c>
      <c r="B32" s="105">
        <v>11</v>
      </c>
      <c r="C32" s="105">
        <v>11</v>
      </c>
      <c r="D32" s="105">
        <v>11</v>
      </c>
      <c r="E32" s="105">
        <v>11</v>
      </c>
      <c r="F32" s="105">
        <v>11</v>
      </c>
      <c r="G32" s="105">
        <v>11</v>
      </c>
      <c r="H32" s="105">
        <v>11</v>
      </c>
      <c r="I32" s="105">
        <v>11</v>
      </c>
      <c r="J32" s="105">
        <v>11</v>
      </c>
      <c r="K32" s="105">
        <v>11</v>
      </c>
      <c r="L32" s="105">
        <v>11</v>
      </c>
      <c r="M32" s="105">
        <v>11</v>
      </c>
      <c r="N32" s="105">
        <v>11</v>
      </c>
      <c r="O32" s="105">
        <v>11</v>
      </c>
      <c r="P32" s="105">
        <v>11</v>
      </c>
      <c r="Q32" s="105">
        <v>11</v>
      </c>
      <c r="R32" s="105">
        <v>11</v>
      </c>
      <c r="S32" s="105">
        <v>11</v>
      </c>
      <c r="T32" s="105">
        <v>11</v>
      </c>
      <c r="U32" s="105">
        <v>11</v>
      </c>
      <c r="V32" s="105">
        <v>11</v>
      </c>
      <c r="W32" s="105">
        <v>11</v>
      </c>
      <c r="X32" s="105">
        <v>11</v>
      </c>
      <c r="Y32" s="105">
        <v>11</v>
      </c>
      <c r="Z32" s="105">
        <v>11</v>
      </c>
      <c r="AA32" s="105">
        <v>11</v>
      </c>
      <c r="AB32" s="105">
        <v>11</v>
      </c>
      <c r="AC32" s="105">
        <v>11</v>
      </c>
      <c r="AD32" s="105">
        <v>11</v>
      </c>
      <c r="AE32" s="105">
        <v>11</v>
      </c>
      <c r="AF32" s="105"/>
      <c r="AG32" s="96">
        <v>11.88</v>
      </c>
      <c r="AH32" s="20">
        <f t="shared" si="2"/>
        <v>11</v>
      </c>
      <c r="AI32" s="19">
        <f t="shared" si="3"/>
        <v>11</v>
      </c>
      <c r="AK32" s="41"/>
      <c r="AL32" s="124"/>
      <c r="AM32" s="121"/>
      <c r="AN32" s="121"/>
      <c r="AO32" s="121"/>
      <c r="AP32" s="121"/>
      <c r="AQ32" s="123"/>
      <c r="AR32" s="122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5" t="s">
        <v>200</v>
      </c>
      <c r="B33" s="105">
        <v>10</v>
      </c>
      <c r="C33" s="105">
        <v>10</v>
      </c>
      <c r="D33" s="105">
        <v>10</v>
      </c>
      <c r="E33" s="105">
        <v>10</v>
      </c>
      <c r="F33" s="105">
        <v>10</v>
      </c>
      <c r="G33" s="105">
        <v>10</v>
      </c>
      <c r="H33" s="105">
        <v>10</v>
      </c>
      <c r="I33" s="105">
        <v>10</v>
      </c>
      <c r="J33" s="105">
        <v>10</v>
      </c>
      <c r="K33" s="105">
        <v>10</v>
      </c>
      <c r="L33" s="105">
        <v>10</v>
      </c>
      <c r="M33" s="105">
        <v>10</v>
      </c>
      <c r="N33" s="105">
        <v>10</v>
      </c>
      <c r="O33" s="105">
        <v>10</v>
      </c>
      <c r="P33" s="105">
        <v>10</v>
      </c>
      <c r="Q33" s="105">
        <v>10</v>
      </c>
      <c r="R33" s="105">
        <v>10</v>
      </c>
      <c r="S33" s="105">
        <v>10</v>
      </c>
      <c r="T33" s="105">
        <v>10</v>
      </c>
      <c r="U33" s="105">
        <v>10</v>
      </c>
      <c r="V33" s="105">
        <v>10</v>
      </c>
      <c r="W33" s="105">
        <v>10</v>
      </c>
      <c r="X33" s="105">
        <v>10</v>
      </c>
      <c r="Y33" s="105">
        <v>10</v>
      </c>
      <c r="Z33" s="105">
        <v>10</v>
      </c>
      <c r="AA33" s="105">
        <v>10</v>
      </c>
      <c r="AB33" s="105">
        <v>11</v>
      </c>
      <c r="AC33" s="105">
        <v>11</v>
      </c>
      <c r="AD33" s="105">
        <v>11</v>
      </c>
      <c r="AE33" s="105">
        <v>11</v>
      </c>
      <c r="AF33" s="105"/>
      <c r="AG33" s="94">
        <v>11</v>
      </c>
      <c r="AH33" s="20">
        <f t="shared" si="2"/>
        <v>11</v>
      </c>
      <c r="AI33" s="19">
        <f t="shared" si="3"/>
        <v>10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5" t="s">
        <v>199</v>
      </c>
      <c r="B34" s="105">
        <v>9.5</v>
      </c>
      <c r="C34" s="105">
        <v>9.5</v>
      </c>
      <c r="D34" s="105">
        <v>9.5</v>
      </c>
      <c r="E34" s="105">
        <v>9.5</v>
      </c>
      <c r="F34" s="105">
        <v>9.5</v>
      </c>
      <c r="G34" s="105">
        <v>9.5</v>
      </c>
      <c r="H34" s="105">
        <v>9.5</v>
      </c>
      <c r="I34" s="105">
        <v>9.5</v>
      </c>
      <c r="J34" s="105">
        <v>9.5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Z34" s="105">
        <v>0</v>
      </c>
      <c r="AA34" s="105">
        <v>0</v>
      </c>
      <c r="AB34" s="105">
        <v>8.8000000000000007</v>
      </c>
      <c r="AC34" s="105">
        <v>8.8000000000000007</v>
      </c>
      <c r="AD34" s="105">
        <v>8.8000000000000007</v>
      </c>
      <c r="AE34" s="105">
        <v>8.8000000000000007</v>
      </c>
      <c r="AF34" s="105"/>
      <c r="AG34" s="94">
        <v>10</v>
      </c>
      <c r="AH34" s="20">
        <f t="shared" si="2"/>
        <v>9.5</v>
      </c>
      <c r="AI34" s="19">
        <f t="shared" si="3"/>
        <v>0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x14ac:dyDescent="0.25">
      <c r="A35" s="95" t="s">
        <v>198</v>
      </c>
      <c r="B35" s="105">
        <v>0</v>
      </c>
      <c r="C35" s="105">
        <v>0</v>
      </c>
      <c r="D35" s="105">
        <v>0</v>
      </c>
      <c r="E35" s="105">
        <v>0</v>
      </c>
      <c r="F35" s="105">
        <v>0</v>
      </c>
      <c r="G35" s="105">
        <v>0</v>
      </c>
      <c r="H35" s="105">
        <v>0</v>
      </c>
      <c r="I35" s="105">
        <v>0</v>
      </c>
      <c r="J35" s="105">
        <v>0</v>
      </c>
      <c r="K35" s="105">
        <v>0</v>
      </c>
      <c r="L35" s="105">
        <v>0</v>
      </c>
      <c r="M35" s="105">
        <v>2</v>
      </c>
      <c r="N35" s="105">
        <v>2</v>
      </c>
      <c r="O35" s="105">
        <v>2</v>
      </c>
      <c r="P35" s="105">
        <v>2</v>
      </c>
      <c r="Q35" s="105">
        <v>2</v>
      </c>
      <c r="R35" s="105">
        <v>2</v>
      </c>
      <c r="S35" s="105">
        <v>2</v>
      </c>
      <c r="T35" s="105">
        <v>2</v>
      </c>
      <c r="U35" s="105">
        <v>2</v>
      </c>
      <c r="V35" s="105">
        <v>2</v>
      </c>
      <c r="W35" s="105">
        <v>2</v>
      </c>
      <c r="X35" s="105">
        <v>2</v>
      </c>
      <c r="Y35" s="105">
        <v>2</v>
      </c>
      <c r="Z35" s="105">
        <v>2</v>
      </c>
      <c r="AA35" s="105">
        <v>2</v>
      </c>
      <c r="AB35" s="105">
        <v>0</v>
      </c>
      <c r="AC35" s="105">
        <v>0</v>
      </c>
      <c r="AD35" s="105">
        <v>0</v>
      </c>
      <c r="AE35" s="105">
        <v>0</v>
      </c>
      <c r="AF35" s="105"/>
      <c r="AG35" s="94">
        <v>10</v>
      </c>
      <c r="AH35" s="20">
        <f t="shared" si="2"/>
        <v>2</v>
      </c>
      <c r="AI35" s="19">
        <f t="shared" si="3"/>
        <v>0</v>
      </c>
      <c r="AK35" s="41"/>
      <c r="AL35" s="124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x14ac:dyDescent="0.25">
      <c r="A36" s="111" t="s">
        <v>197</v>
      </c>
      <c r="B36" s="113">
        <v>300</v>
      </c>
      <c r="C36" s="113">
        <v>300</v>
      </c>
      <c r="D36" s="113">
        <v>300</v>
      </c>
      <c r="E36" s="113">
        <v>300</v>
      </c>
      <c r="F36" s="113">
        <v>300</v>
      </c>
      <c r="G36" s="113">
        <v>300</v>
      </c>
      <c r="H36" s="113">
        <v>300</v>
      </c>
      <c r="I36" s="113">
        <v>300</v>
      </c>
      <c r="J36" s="113">
        <v>300</v>
      </c>
      <c r="K36" s="113">
        <v>300</v>
      </c>
      <c r="L36" s="113">
        <v>300</v>
      </c>
      <c r="M36" s="113">
        <v>300</v>
      </c>
      <c r="N36" s="113">
        <v>300</v>
      </c>
      <c r="O36" s="113">
        <v>300</v>
      </c>
      <c r="P36" s="113">
        <v>300</v>
      </c>
      <c r="Q36" s="113">
        <v>300</v>
      </c>
      <c r="R36" s="113">
        <v>300</v>
      </c>
      <c r="S36" s="113">
        <v>300</v>
      </c>
      <c r="T36" s="113">
        <v>300</v>
      </c>
      <c r="U36" s="113">
        <v>300</v>
      </c>
      <c r="V36" s="113">
        <v>300</v>
      </c>
      <c r="W36" s="113">
        <v>300</v>
      </c>
      <c r="X36" s="113">
        <v>300</v>
      </c>
      <c r="Y36" s="113">
        <v>300</v>
      </c>
      <c r="Z36" s="113">
        <v>300</v>
      </c>
      <c r="AA36" s="113">
        <v>300</v>
      </c>
      <c r="AB36" s="113">
        <v>300</v>
      </c>
      <c r="AC36" s="113">
        <v>300</v>
      </c>
      <c r="AD36" s="113">
        <v>300</v>
      </c>
      <c r="AE36" s="113">
        <v>300</v>
      </c>
      <c r="AF36" s="113"/>
      <c r="AG36" s="94">
        <v>85</v>
      </c>
      <c r="AH36" s="20">
        <f t="shared" si="2"/>
        <v>300</v>
      </c>
      <c r="AI36" s="19">
        <f t="shared" si="3"/>
        <v>300</v>
      </c>
      <c r="AK36" s="41"/>
    </row>
    <row r="37" spans="1:88" ht="15.75" thickBot="1" x14ac:dyDescent="0.3">
      <c r="A37" s="120" t="s">
        <v>196</v>
      </c>
      <c r="B37" s="119">
        <v>170.9</v>
      </c>
      <c r="C37" s="119">
        <f>170.8</f>
        <v>170.8</v>
      </c>
      <c r="D37" s="119">
        <v>171</v>
      </c>
      <c r="E37" s="119">
        <v>171</v>
      </c>
      <c r="F37" s="119">
        <v>171</v>
      </c>
      <c r="G37" s="119">
        <v>171</v>
      </c>
      <c r="H37" s="119">
        <v>171</v>
      </c>
      <c r="I37" s="119">
        <v>166</v>
      </c>
      <c r="J37" s="119">
        <v>166</v>
      </c>
      <c r="K37" s="119">
        <v>162</v>
      </c>
      <c r="L37" s="113">
        <v>150</v>
      </c>
      <c r="M37" s="113">
        <f>67.7+99.5</f>
        <v>167.2</v>
      </c>
      <c r="N37" s="113">
        <f>69.5+100.3</f>
        <v>169.8</v>
      </c>
      <c r="O37" s="113">
        <f>70.7+99.9</f>
        <v>170.60000000000002</v>
      </c>
      <c r="P37" s="113">
        <f>70.9+100.5</f>
        <v>171.4</v>
      </c>
      <c r="Q37" s="113">
        <f>70.9+100.5</f>
        <v>171.4</v>
      </c>
      <c r="R37" s="113">
        <f>70.7+101.2</f>
        <v>171.9</v>
      </c>
      <c r="S37" s="119">
        <f>70.2+87.1</f>
        <v>157.30000000000001</v>
      </c>
      <c r="T37" s="119">
        <f>70.2+87.1</f>
        <v>157.30000000000001</v>
      </c>
      <c r="U37" s="119">
        <f>70.2+87.1</f>
        <v>157.30000000000001</v>
      </c>
      <c r="V37" s="119">
        <v>168</v>
      </c>
      <c r="W37" s="119">
        <v>168</v>
      </c>
      <c r="X37" s="119">
        <v>168</v>
      </c>
      <c r="Y37" s="119">
        <v>168</v>
      </c>
      <c r="Z37" s="119">
        <v>168</v>
      </c>
      <c r="AA37" s="119">
        <v>168</v>
      </c>
      <c r="AB37" s="119">
        <f>98.4+69.3</f>
        <v>167.7</v>
      </c>
      <c r="AC37" s="119">
        <f>98.4+69.3</f>
        <v>167.7</v>
      </c>
      <c r="AD37" s="119">
        <f>99+68.8</f>
        <v>167.8</v>
      </c>
      <c r="AE37" s="119">
        <v>170.4</v>
      </c>
      <c r="AF37" s="119"/>
      <c r="AG37" s="94">
        <v>240</v>
      </c>
      <c r="AH37" s="20">
        <f t="shared" si="2"/>
        <v>171.9</v>
      </c>
      <c r="AI37" s="19">
        <f t="shared" si="3"/>
        <v>150</v>
      </c>
      <c r="AK37" s="41"/>
    </row>
    <row r="38" spans="1:88" ht="15.75" thickBot="1" x14ac:dyDescent="0.3">
      <c r="A38" s="118" t="s">
        <v>195</v>
      </c>
      <c r="B38" s="86">
        <f>SUM(B11:B36)</f>
        <v>778.7</v>
      </c>
      <c r="C38" s="86">
        <f t="shared" ref="C38:AG38" si="4">SUM(C11:C36)</f>
        <v>778.7</v>
      </c>
      <c r="D38" s="86">
        <f t="shared" si="4"/>
        <v>778.7</v>
      </c>
      <c r="E38" s="86">
        <f t="shared" si="4"/>
        <v>778.7</v>
      </c>
      <c r="F38" s="86">
        <f t="shared" si="4"/>
        <v>778.7</v>
      </c>
      <c r="G38" s="86">
        <f t="shared" si="4"/>
        <v>778.7</v>
      </c>
      <c r="H38" s="86">
        <f t="shared" si="4"/>
        <v>778.7</v>
      </c>
      <c r="I38" s="86">
        <f t="shared" si="4"/>
        <v>778.7</v>
      </c>
      <c r="J38" s="86">
        <f t="shared" si="4"/>
        <v>778.7</v>
      </c>
      <c r="K38" s="86">
        <f t="shared" si="4"/>
        <v>752.2</v>
      </c>
      <c r="L38" s="86">
        <f t="shared" si="4"/>
        <v>757.2</v>
      </c>
      <c r="M38" s="86">
        <f t="shared" si="4"/>
        <v>759.2</v>
      </c>
      <c r="N38" s="86">
        <f t="shared" si="4"/>
        <v>767.40000000000009</v>
      </c>
      <c r="O38" s="86">
        <f t="shared" si="4"/>
        <v>777.7</v>
      </c>
      <c r="P38" s="86">
        <f t="shared" si="4"/>
        <v>796.40000000000009</v>
      </c>
      <c r="Q38" s="86">
        <f t="shared" si="4"/>
        <v>796.40000000000009</v>
      </c>
      <c r="R38" s="86">
        <f t="shared" si="4"/>
        <v>795.40000000000009</v>
      </c>
      <c r="S38" s="86">
        <f t="shared" si="4"/>
        <v>782.30000000000007</v>
      </c>
      <c r="T38" s="86">
        <f t="shared" si="4"/>
        <v>801.40000000000009</v>
      </c>
      <c r="U38" s="86">
        <f t="shared" si="4"/>
        <v>806.40000000000009</v>
      </c>
      <c r="V38" s="86">
        <f t="shared" si="4"/>
        <v>811.40000000000009</v>
      </c>
      <c r="W38" s="86">
        <f t="shared" si="4"/>
        <v>811.40000000000009</v>
      </c>
      <c r="X38" s="86">
        <f t="shared" si="4"/>
        <v>811.40000000000009</v>
      </c>
      <c r="Y38" s="86">
        <f t="shared" si="4"/>
        <v>816.40000000000009</v>
      </c>
      <c r="Z38" s="86">
        <f t="shared" si="4"/>
        <v>806.40000000000009</v>
      </c>
      <c r="AA38" s="86">
        <f t="shared" si="4"/>
        <v>806.40000000000009</v>
      </c>
      <c r="AB38" s="86">
        <f t="shared" si="4"/>
        <v>829.1</v>
      </c>
      <c r="AC38" s="86">
        <f t="shared" si="4"/>
        <v>829.1</v>
      </c>
      <c r="AD38" s="86">
        <f t="shared" si="4"/>
        <v>826.1</v>
      </c>
      <c r="AE38" s="86">
        <f t="shared" si="4"/>
        <v>812.1</v>
      </c>
      <c r="AF38" s="86">
        <f t="shared" si="4"/>
        <v>0</v>
      </c>
      <c r="AG38" s="101">
        <f t="shared" si="4"/>
        <v>665.78</v>
      </c>
      <c r="AH38" s="20">
        <f t="shared" si="2"/>
        <v>829.1</v>
      </c>
      <c r="AI38" s="19">
        <f t="shared" si="3"/>
        <v>0</v>
      </c>
      <c r="AK38" s="41"/>
    </row>
    <row r="39" spans="1:88" x14ac:dyDescent="0.25">
      <c r="A39" s="117" t="s">
        <v>194</v>
      </c>
      <c r="B39" s="105">
        <v>456</v>
      </c>
      <c r="C39" s="105">
        <v>456</v>
      </c>
      <c r="D39" s="105">
        <v>436</v>
      </c>
      <c r="E39" s="105">
        <v>436</v>
      </c>
      <c r="F39" s="105">
        <v>436</v>
      </c>
      <c r="G39" s="105">
        <v>380</v>
      </c>
      <c r="H39" s="105">
        <v>430</v>
      </c>
      <c r="I39" s="105">
        <v>430</v>
      </c>
      <c r="J39" s="105">
        <v>456</v>
      </c>
      <c r="K39" s="105">
        <v>456</v>
      </c>
      <c r="L39" s="105">
        <v>456</v>
      </c>
      <c r="M39" s="105">
        <v>456</v>
      </c>
      <c r="N39" s="105">
        <v>456</v>
      </c>
      <c r="O39" s="105">
        <v>456</v>
      </c>
      <c r="P39" s="105">
        <v>456</v>
      </c>
      <c r="Q39" s="105">
        <v>456</v>
      </c>
      <c r="R39" s="105">
        <v>456</v>
      </c>
      <c r="S39" s="105">
        <v>456</v>
      </c>
      <c r="T39" s="105">
        <v>456</v>
      </c>
      <c r="U39" s="105">
        <v>456</v>
      </c>
      <c r="V39" s="105">
        <v>456</v>
      </c>
      <c r="W39" s="105">
        <v>456</v>
      </c>
      <c r="X39" s="105">
        <v>456</v>
      </c>
      <c r="Y39" s="105">
        <v>456</v>
      </c>
      <c r="Z39" s="105">
        <v>456</v>
      </c>
      <c r="AA39" s="105">
        <v>456</v>
      </c>
      <c r="AB39" s="105">
        <v>456</v>
      </c>
      <c r="AC39" s="105">
        <v>456</v>
      </c>
      <c r="AD39" s="105">
        <v>456</v>
      </c>
      <c r="AE39" s="105">
        <v>456</v>
      </c>
      <c r="AF39" s="105"/>
      <c r="AG39" s="96">
        <v>456</v>
      </c>
      <c r="AH39" s="20">
        <f t="shared" si="2"/>
        <v>456</v>
      </c>
      <c r="AI39" s="19">
        <f t="shared" si="3"/>
        <v>380</v>
      </c>
      <c r="AK39" s="41"/>
    </row>
    <row r="40" spans="1:88" x14ac:dyDescent="0.25">
      <c r="A40" s="116" t="s">
        <v>193</v>
      </c>
      <c r="B40" s="80">
        <v>60</v>
      </c>
      <c r="C40" s="80">
        <v>60</v>
      </c>
      <c r="D40" s="80">
        <v>60</v>
      </c>
      <c r="E40" s="80">
        <v>60</v>
      </c>
      <c r="F40" s="80">
        <v>60</v>
      </c>
      <c r="G40" s="80">
        <v>60</v>
      </c>
      <c r="H40" s="80">
        <v>60</v>
      </c>
      <c r="I40" s="80">
        <v>60</v>
      </c>
      <c r="J40" s="80">
        <v>60</v>
      </c>
      <c r="K40" s="80">
        <v>60</v>
      </c>
      <c r="L40" s="80">
        <v>60</v>
      </c>
      <c r="M40" s="80">
        <v>60</v>
      </c>
      <c r="N40" s="80">
        <v>60</v>
      </c>
      <c r="O40" s="80">
        <v>60</v>
      </c>
      <c r="P40" s="80">
        <v>60</v>
      </c>
      <c r="Q40" s="80">
        <v>60</v>
      </c>
      <c r="R40" s="80">
        <v>60</v>
      </c>
      <c r="S40" s="80">
        <v>60</v>
      </c>
      <c r="T40" s="80">
        <v>60</v>
      </c>
      <c r="U40" s="80">
        <v>60</v>
      </c>
      <c r="V40" s="80">
        <v>60</v>
      </c>
      <c r="W40" s="80">
        <v>60</v>
      </c>
      <c r="X40" s="80">
        <v>60</v>
      </c>
      <c r="Y40" s="80">
        <v>60</v>
      </c>
      <c r="Z40" s="80">
        <v>60</v>
      </c>
      <c r="AA40" s="80">
        <v>60</v>
      </c>
      <c r="AB40" s="80">
        <v>60</v>
      </c>
      <c r="AC40" s="80">
        <v>60</v>
      </c>
      <c r="AD40" s="80">
        <v>60</v>
      </c>
      <c r="AE40" s="80">
        <v>60</v>
      </c>
      <c r="AF40" s="80"/>
      <c r="AG40" s="94">
        <v>60</v>
      </c>
      <c r="AH40" s="20">
        <f t="shared" si="2"/>
        <v>60</v>
      </c>
      <c r="AI40" s="19">
        <f t="shared" si="3"/>
        <v>60</v>
      </c>
      <c r="AK40" s="41"/>
    </row>
    <row r="41" spans="1:88" ht="15.75" thickBot="1" x14ac:dyDescent="0.3">
      <c r="A41" s="115" t="s">
        <v>192</v>
      </c>
      <c r="B41" s="107">
        <v>22</v>
      </c>
      <c r="C41" s="107">
        <v>22</v>
      </c>
      <c r="D41" s="107">
        <v>22</v>
      </c>
      <c r="E41" s="107">
        <v>22</v>
      </c>
      <c r="F41" s="107">
        <v>22</v>
      </c>
      <c r="G41" s="107">
        <v>22</v>
      </c>
      <c r="H41" s="107">
        <v>22</v>
      </c>
      <c r="I41" s="107">
        <v>22</v>
      </c>
      <c r="J41" s="107">
        <v>22</v>
      </c>
      <c r="K41" s="107">
        <v>22</v>
      </c>
      <c r="L41" s="107">
        <v>22</v>
      </c>
      <c r="M41" s="107">
        <v>22</v>
      </c>
      <c r="N41" s="107">
        <v>22</v>
      </c>
      <c r="O41" s="107">
        <v>22</v>
      </c>
      <c r="P41" s="107">
        <v>22</v>
      </c>
      <c r="Q41" s="107">
        <v>22</v>
      </c>
      <c r="R41" s="107">
        <v>22</v>
      </c>
      <c r="S41" s="107">
        <v>22</v>
      </c>
      <c r="T41" s="107">
        <v>22</v>
      </c>
      <c r="U41" s="107">
        <v>22</v>
      </c>
      <c r="V41" s="107">
        <v>22</v>
      </c>
      <c r="W41" s="107">
        <v>22</v>
      </c>
      <c r="X41" s="107">
        <v>22</v>
      </c>
      <c r="Y41" s="107">
        <v>22</v>
      </c>
      <c r="Z41" s="107">
        <v>22</v>
      </c>
      <c r="AA41" s="107">
        <v>22</v>
      </c>
      <c r="AB41" s="107">
        <v>22</v>
      </c>
      <c r="AC41" s="107">
        <v>22</v>
      </c>
      <c r="AD41" s="107">
        <v>22</v>
      </c>
      <c r="AE41" s="107">
        <v>22</v>
      </c>
      <c r="AF41" s="107"/>
      <c r="AG41" s="106">
        <v>22.1</v>
      </c>
      <c r="AH41" s="20">
        <f t="shared" si="2"/>
        <v>22</v>
      </c>
      <c r="AI41" s="19">
        <f t="shared" si="3"/>
        <v>22</v>
      </c>
      <c r="AK41" s="41"/>
    </row>
    <row r="42" spans="1:88" ht="15.75" thickBot="1" x14ac:dyDescent="0.3">
      <c r="A42" s="114" t="s">
        <v>191</v>
      </c>
      <c r="B42" s="86">
        <f>SUM(B39:B41)</f>
        <v>538</v>
      </c>
      <c r="C42" s="86">
        <f t="shared" ref="C42:AG42" si="5">SUM(C39:C41)</f>
        <v>538</v>
      </c>
      <c r="D42" s="86">
        <f t="shared" si="5"/>
        <v>518</v>
      </c>
      <c r="E42" s="86">
        <f t="shared" si="5"/>
        <v>518</v>
      </c>
      <c r="F42" s="86">
        <f t="shared" si="5"/>
        <v>518</v>
      </c>
      <c r="G42" s="86">
        <f t="shared" si="5"/>
        <v>462</v>
      </c>
      <c r="H42" s="86">
        <f t="shared" si="5"/>
        <v>512</v>
      </c>
      <c r="I42" s="86">
        <f t="shared" si="5"/>
        <v>512</v>
      </c>
      <c r="J42" s="86">
        <f t="shared" si="5"/>
        <v>538</v>
      </c>
      <c r="K42" s="86">
        <f t="shared" si="5"/>
        <v>538</v>
      </c>
      <c r="L42" s="86">
        <f t="shared" si="5"/>
        <v>538</v>
      </c>
      <c r="M42" s="86">
        <f t="shared" si="5"/>
        <v>538</v>
      </c>
      <c r="N42" s="86">
        <f t="shared" si="5"/>
        <v>538</v>
      </c>
      <c r="O42" s="86">
        <f t="shared" si="5"/>
        <v>538</v>
      </c>
      <c r="P42" s="86">
        <f t="shared" si="5"/>
        <v>538</v>
      </c>
      <c r="Q42" s="86">
        <f t="shared" si="5"/>
        <v>538</v>
      </c>
      <c r="R42" s="86">
        <f t="shared" si="5"/>
        <v>538</v>
      </c>
      <c r="S42" s="86">
        <f t="shared" si="5"/>
        <v>538</v>
      </c>
      <c r="T42" s="86">
        <f t="shared" si="5"/>
        <v>538</v>
      </c>
      <c r="U42" s="86">
        <f t="shared" si="5"/>
        <v>538</v>
      </c>
      <c r="V42" s="86">
        <f t="shared" si="5"/>
        <v>538</v>
      </c>
      <c r="W42" s="86">
        <f t="shared" si="5"/>
        <v>538</v>
      </c>
      <c r="X42" s="86">
        <f t="shared" si="5"/>
        <v>538</v>
      </c>
      <c r="Y42" s="86">
        <f t="shared" si="5"/>
        <v>538</v>
      </c>
      <c r="Z42" s="86">
        <f t="shared" si="5"/>
        <v>538</v>
      </c>
      <c r="AA42" s="86">
        <f t="shared" si="5"/>
        <v>538</v>
      </c>
      <c r="AB42" s="86">
        <f t="shared" si="5"/>
        <v>538</v>
      </c>
      <c r="AC42" s="86">
        <f t="shared" si="5"/>
        <v>538</v>
      </c>
      <c r="AD42" s="86">
        <f t="shared" si="5"/>
        <v>538</v>
      </c>
      <c r="AE42" s="86">
        <f t="shared" si="5"/>
        <v>538</v>
      </c>
      <c r="AF42" s="86">
        <f t="shared" si="5"/>
        <v>0</v>
      </c>
      <c r="AG42" s="101">
        <f t="shared" si="5"/>
        <v>538.1</v>
      </c>
      <c r="AH42" s="20">
        <f t="shared" si="2"/>
        <v>538</v>
      </c>
      <c r="AI42" s="19">
        <f t="shared" si="3"/>
        <v>0</v>
      </c>
      <c r="AK42" s="41"/>
    </row>
    <row r="43" spans="1:88" x14ac:dyDescent="0.25">
      <c r="A43" s="97" t="s">
        <v>190</v>
      </c>
      <c r="B43" s="105">
        <v>143</v>
      </c>
      <c r="C43" s="105">
        <v>142.4</v>
      </c>
      <c r="D43" s="105">
        <v>142.6</v>
      </c>
      <c r="E43" s="105">
        <v>130</v>
      </c>
      <c r="F43" s="105">
        <v>130</v>
      </c>
      <c r="G43" s="105">
        <v>120</v>
      </c>
      <c r="H43" s="105">
        <v>120</v>
      </c>
      <c r="I43" s="105">
        <v>111</v>
      </c>
      <c r="J43" s="105">
        <v>125</v>
      </c>
      <c r="K43" s="105">
        <v>141.4</v>
      </c>
      <c r="L43" s="105">
        <v>141.4</v>
      </c>
      <c r="M43" s="105">
        <v>141.4</v>
      </c>
      <c r="N43" s="105">
        <v>141.4</v>
      </c>
      <c r="O43" s="105">
        <v>142.5</v>
      </c>
      <c r="P43" s="105">
        <v>142.5</v>
      </c>
      <c r="Q43" s="105">
        <v>142.5</v>
      </c>
      <c r="R43" s="105">
        <v>142.5</v>
      </c>
      <c r="S43" s="105">
        <v>142.5</v>
      </c>
      <c r="T43" s="105">
        <v>142.5</v>
      </c>
      <c r="U43" s="105">
        <v>142.5</v>
      </c>
      <c r="V43" s="105">
        <v>142.5</v>
      </c>
      <c r="W43" s="105">
        <v>142.5</v>
      </c>
      <c r="X43" s="105">
        <v>142.5</v>
      </c>
      <c r="Y43" s="105">
        <v>142.5</v>
      </c>
      <c r="Z43" s="105">
        <v>142.5</v>
      </c>
      <c r="AA43" s="105">
        <v>142.5</v>
      </c>
      <c r="AB43" s="105">
        <v>142.5</v>
      </c>
      <c r="AC43" s="105">
        <v>142.6</v>
      </c>
      <c r="AD43" s="105">
        <v>142.30000000000001</v>
      </c>
      <c r="AE43" s="105">
        <v>142.30000000000001</v>
      </c>
      <c r="AF43" s="105"/>
      <c r="AG43" s="96">
        <v>144</v>
      </c>
      <c r="AH43" s="20">
        <f t="shared" si="2"/>
        <v>143</v>
      </c>
      <c r="AI43" s="19">
        <f t="shared" si="3"/>
        <v>111</v>
      </c>
      <c r="AK43" s="41"/>
    </row>
    <row r="44" spans="1:88" x14ac:dyDescent="0.25">
      <c r="A44" s="95" t="s">
        <v>189</v>
      </c>
      <c r="B44" s="80">
        <v>71.5</v>
      </c>
      <c r="C44" s="80">
        <v>63.7</v>
      </c>
      <c r="D44" s="80">
        <v>72.400000000000006</v>
      </c>
      <c r="E44" s="80">
        <v>60</v>
      </c>
      <c r="F44" s="80">
        <v>60</v>
      </c>
      <c r="G44" s="80">
        <v>61</v>
      </c>
      <c r="H44" s="80">
        <v>61</v>
      </c>
      <c r="I44" s="80">
        <v>50</v>
      </c>
      <c r="J44" s="80">
        <v>60</v>
      </c>
      <c r="K44" s="80">
        <v>73.400000000000006</v>
      </c>
      <c r="L44" s="80">
        <v>73.400000000000006</v>
      </c>
      <c r="M44" s="80">
        <v>72.3</v>
      </c>
      <c r="N44" s="80">
        <v>72.3</v>
      </c>
      <c r="O44" s="80">
        <v>70.3</v>
      </c>
      <c r="P44" s="80">
        <v>70.3</v>
      </c>
      <c r="Q44" s="80">
        <v>70.3</v>
      </c>
      <c r="R44" s="80">
        <v>70.3</v>
      </c>
      <c r="S44" s="80">
        <v>70.3</v>
      </c>
      <c r="T44" s="80">
        <v>70.3</v>
      </c>
      <c r="U44" s="80">
        <v>70.3</v>
      </c>
      <c r="V44" s="80">
        <v>70.3</v>
      </c>
      <c r="W44" s="80">
        <v>70.3</v>
      </c>
      <c r="X44" s="80">
        <v>70.3</v>
      </c>
      <c r="Y44" s="80">
        <v>70.3</v>
      </c>
      <c r="Z44" s="80">
        <v>70.3</v>
      </c>
      <c r="AA44" s="80">
        <v>70.3</v>
      </c>
      <c r="AB44" s="80">
        <v>71.3</v>
      </c>
      <c r="AC44" s="80">
        <v>71.599999999999994</v>
      </c>
      <c r="AD44" s="80">
        <v>71.3</v>
      </c>
      <c r="AE44" s="80">
        <v>71.3</v>
      </c>
      <c r="AF44" s="80"/>
      <c r="AG44" s="94">
        <v>70</v>
      </c>
      <c r="AH44" s="20">
        <f t="shared" si="2"/>
        <v>73.400000000000006</v>
      </c>
      <c r="AI44" s="19">
        <f t="shared" si="3"/>
        <v>50</v>
      </c>
      <c r="AK44" s="41"/>
    </row>
    <row r="45" spans="1:88" x14ac:dyDescent="0.25">
      <c r="A45" s="95" t="s">
        <v>188</v>
      </c>
      <c r="B45" s="80">
        <v>65</v>
      </c>
      <c r="C45" s="80">
        <v>64.8</v>
      </c>
      <c r="D45" s="80">
        <v>64.599999999999994</v>
      </c>
      <c r="E45" s="80">
        <v>64</v>
      </c>
      <c r="F45" s="80">
        <v>64</v>
      </c>
      <c r="G45" s="80">
        <v>54</v>
      </c>
      <c r="H45" s="80">
        <v>64</v>
      </c>
      <c r="I45" s="80">
        <v>60</v>
      </c>
      <c r="J45" s="80">
        <v>64</v>
      </c>
      <c r="K45" s="80">
        <v>65</v>
      </c>
      <c r="L45" s="80">
        <v>65</v>
      </c>
      <c r="M45" s="80">
        <v>65</v>
      </c>
      <c r="N45" s="80">
        <v>56.8</v>
      </c>
      <c r="O45" s="80">
        <v>64.599999999999994</v>
      </c>
      <c r="P45" s="80">
        <v>64.599999999999994</v>
      </c>
      <c r="Q45" s="80">
        <v>64.599999999999994</v>
      </c>
      <c r="R45" s="80">
        <v>64.599999999999994</v>
      </c>
      <c r="S45" s="80">
        <v>64.599999999999994</v>
      </c>
      <c r="T45" s="80">
        <v>64.599999999999994</v>
      </c>
      <c r="U45" s="80">
        <v>64.599999999999994</v>
      </c>
      <c r="V45" s="80">
        <v>64.599999999999994</v>
      </c>
      <c r="W45" s="80">
        <v>64.599999999999994</v>
      </c>
      <c r="X45" s="80">
        <v>64.599999999999994</v>
      </c>
      <c r="Y45" s="80">
        <v>64.599999999999994</v>
      </c>
      <c r="Z45" s="80">
        <v>64.599999999999994</v>
      </c>
      <c r="AA45" s="80">
        <v>64.599999999999994</v>
      </c>
      <c r="AB45" s="80">
        <v>64.099999999999994</v>
      </c>
      <c r="AC45" s="80">
        <v>64.7</v>
      </c>
      <c r="AD45" s="80">
        <v>64.7</v>
      </c>
      <c r="AE45" s="80">
        <v>64.7</v>
      </c>
      <c r="AF45" s="80"/>
      <c r="AG45" s="94">
        <v>69</v>
      </c>
      <c r="AH45" s="20">
        <f t="shared" si="2"/>
        <v>65</v>
      </c>
      <c r="AI45" s="19">
        <f t="shared" si="3"/>
        <v>54</v>
      </c>
      <c r="AK45" s="41"/>
    </row>
    <row r="46" spans="1:88" x14ac:dyDescent="0.25">
      <c r="A46" s="95" t="s">
        <v>187</v>
      </c>
      <c r="B46" s="113">
        <v>60.7</v>
      </c>
      <c r="C46" s="113">
        <v>60.7</v>
      </c>
      <c r="D46" s="113">
        <v>50.7</v>
      </c>
      <c r="E46" s="113">
        <v>40</v>
      </c>
      <c r="F46" s="113">
        <v>45</v>
      </c>
      <c r="G46" s="113">
        <v>50</v>
      </c>
      <c r="H46" s="113">
        <v>50</v>
      </c>
      <c r="I46" s="113">
        <v>50</v>
      </c>
      <c r="J46" s="113">
        <v>60</v>
      </c>
      <c r="K46" s="113">
        <v>60</v>
      </c>
      <c r="L46" s="113">
        <v>60</v>
      </c>
      <c r="M46" s="105">
        <v>60</v>
      </c>
      <c r="N46" s="105">
        <v>50.4</v>
      </c>
      <c r="O46" s="105">
        <v>50.4</v>
      </c>
      <c r="P46" s="105">
        <v>50.4</v>
      </c>
      <c r="Q46" s="105">
        <v>50.4</v>
      </c>
      <c r="R46" s="105">
        <v>50.4</v>
      </c>
      <c r="S46" s="105">
        <v>60</v>
      </c>
      <c r="T46" s="105">
        <v>50.4</v>
      </c>
      <c r="U46" s="105">
        <v>50.4</v>
      </c>
      <c r="V46" s="105">
        <v>50.4</v>
      </c>
      <c r="W46" s="105">
        <v>50.4</v>
      </c>
      <c r="X46" s="105">
        <v>50.4</v>
      </c>
      <c r="Y46" s="105">
        <v>50.4</v>
      </c>
      <c r="Z46" s="105">
        <v>50.4</v>
      </c>
      <c r="AA46" s="105">
        <v>50.4</v>
      </c>
      <c r="AB46" s="113">
        <v>60.9</v>
      </c>
      <c r="AC46" s="113">
        <v>60.9</v>
      </c>
      <c r="AD46" s="113">
        <v>60.9</v>
      </c>
      <c r="AE46" s="113">
        <v>60.9</v>
      </c>
      <c r="AF46" s="113"/>
      <c r="AG46" s="94">
        <v>60</v>
      </c>
      <c r="AH46" s="20">
        <f t="shared" si="2"/>
        <v>60.9</v>
      </c>
      <c r="AI46" s="19">
        <f t="shared" si="3"/>
        <v>40</v>
      </c>
      <c r="AK46" s="41"/>
    </row>
    <row r="47" spans="1:88" x14ac:dyDescent="0.25">
      <c r="A47" s="95" t="s">
        <v>186</v>
      </c>
      <c r="B47" s="113">
        <v>28.7</v>
      </c>
      <c r="C47" s="113">
        <v>28.7</v>
      </c>
      <c r="D47" s="113">
        <v>28.5</v>
      </c>
      <c r="E47" s="113">
        <v>28.5</v>
      </c>
      <c r="F47" s="113">
        <v>28.5</v>
      </c>
      <c r="G47" s="113">
        <v>22</v>
      </c>
      <c r="H47" s="113">
        <v>22</v>
      </c>
      <c r="I47" s="113">
        <v>22</v>
      </c>
      <c r="J47" s="113">
        <v>22</v>
      </c>
      <c r="K47" s="113">
        <v>30</v>
      </c>
      <c r="L47" s="113">
        <v>30</v>
      </c>
      <c r="M47" s="105">
        <v>30</v>
      </c>
      <c r="N47" s="105">
        <v>30</v>
      </c>
      <c r="O47" s="105">
        <v>30</v>
      </c>
      <c r="P47" s="105">
        <v>30</v>
      </c>
      <c r="Q47" s="105">
        <v>30</v>
      </c>
      <c r="R47" s="105">
        <v>30</v>
      </c>
      <c r="S47" s="105">
        <v>30</v>
      </c>
      <c r="T47" s="105">
        <v>30</v>
      </c>
      <c r="U47" s="105">
        <v>30</v>
      </c>
      <c r="V47" s="105">
        <v>30</v>
      </c>
      <c r="W47" s="105">
        <v>30</v>
      </c>
      <c r="X47" s="105">
        <v>30</v>
      </c>
      <c r="Y47" s="105">
        <v>30</v>
      </c>
      <c r="Z47" s="105">
        <v>30</v>
      </c>
      <c r="AA47" s="105">
        <v>30</v>
      </c>
      <c r="AB47" s="105">
        <v>30</v>
      </c>
      <c r="AC47" s="113">
        <v>28.6</v>
      </c>
      <c r="AD47" s="113">
        <v>28.6</v>
      </c>
      <c r="AE47" s="113">
        <v>28.6</v>
      </c>
      <c r="AF47" s="113"/>
      <c r="AG47" s="94">
        <v>30</v>
      </c>
      <c r="AH47" s="20">
        <f t="shared" si="2"/>
        <v>30</v>
      </c>
      <c r="AI47" s="19">
        <f t="shared" si="3"/>
        <v>22</v>
      </c>
      <c r="AK47" s="41"/>
    </row>
    <row r="48" spans="1:88" x14ac:dyDescent="0.25">
      <c r="A48" s="95" t="s">
        <v>185</v>
      </c>
      <c r="B48" s="80">
        <v>0</v>
      </c>
      <c r="C48" s="80">
        <v>0</v>
      </c>
      <c r="D48" s="80">
        <v>0</v>
      </c>
      <c r="E48" s="80">
        <v>0</v>
      </c>
      <c r="F48" s="80">
        <v>0</v>
      </c>
      <c r="G48" s="80">
        <v>0</v>
      </c>
      <c r="H48" s="80">
        <v>0</v>
      </c>
      <c r="I48" s="80">
        <v>0</v>
      </c>
      <c r="J48" s="80">
        <v>0</v>
      </c>
      <c r="K48" s="80">
        <v>0</v>
      </c>
      <c r="L48" s="80">
        <v>0</v>
      </c>
      <c r="M48" s="80">
        <v>6</v>
      </c>
      <c r="N48" s="80">
        <v>8</v>
      </c>
      <c r="O48" s="80">
        <v>8</v>
      </c>
      <c r="P48" s="80">
        <v>8</v>
      </c>
      <c r="Q48" s="80">
        <v>8</v>
      </c>
      <c r="R48" s="80">
        <v>8</v>
      </c>
      <c r="S48" s="80">
        <v>8</v>
      </c>
      <c r="T48" s="80">
        <v>8</v>
      </c>
      <c r="U48" s="80">
        <v>8</v>
      </c>
      <c r="V48" s="80">
        <v>8</v>
      </c>
      <c r="W48" s="80">
        <v>8</v>
      </c>
      <c r="X48" s="80">
        <v>8</v>
      </c>
      <c r="Y48" s="80">
        <v>8</v>
      </c>
      <c r="Z48" s="80">
        <v>8</v>
      </c>
      <c r="AA48" s="80">
        <v>8</v>
      </c>
      <c r="AB48" s="80">
        <v>0</v>
      </c>
      <c r="AC48" s="80">
        <v>0</v>
      </c>
      <c r="AD48" s="80">
        <v>0</v>
      </c>
      <c r="AE48" s="80">
        <v>0</v>
      </c>
      <c r="AF48" s="80"/>
      <c r="AG48" s="94">
        <v>25</v>
      </c>
      <c r="AH48" s="20">
        <f t="shared" si="2"/>
        <v>8</v>
      </c>
      <c r="AI48" s="19">
        <f t="shared" si="3"/>
        <v>0</v>
      </c>
      <c r="AK48" s="41"/>
    </row>
    <row r="49" spans="1:41" x14ac:dyDescent="0.25">
      <c r="A49" s="95" t="s">
        <v>184</v>
      </c>
      <c r="B49" s="80">
        <v>16</v>
      </c>
      <c r="C49" s="80">
        <v>16</v>
      </c>
      <c r="D49" s="80">
        <v>11.5</v>
      </c>
      <c r="E49" s="80">
        <v>11.5</v>
      </c>
      <c r="F49" s="80">
        <v>11.5</v>
      </c>
      <c r="G49" s="80">
        <v>11.5</v>
      </c>
      <c r="H49" s="80">
        <v>11.5</v>
      </c>
      <c r="I49" s="80">
        <v>14</v>
      </c>
      <c r="J49" s="80">
        <v>15</v>
      </c>
      <c r="K49" s="80">
        <v>16.399999999999999</v>
      </c>
      <c r="L49" s="80">
        <v>16.399999999999999</v>
      </c>
      <c r="M49" s="80">
        <v>16.399999999999999</v>
      </c>
      <c r="N49" s="80">
        <v>16.7</v>
      </c>
      <c r="O49" s="80">
        <v>16.7</v>
      </c>
      <c r="P49" s="80">
        <v>16.7</v>
      </c>
      <c r="Q49" s="80">
        <v>16.7</v>
      </c>
      <c r="R49" s="80">
        <v>16.7</v>
      </c>
      <c r="S49" s="80">
        <v>16.7</v>
      </c>
      <c r="T49" s="80">
        <v>16.7</v>
      </c>
      <c r="U49" s="80">
        <v>16.7</v>
      </c>
      <c r="V49" s="80">
        <v>16.7</v>
      </c>
      <c r="W49" s="80">
        <v>16.7</v>
      </c>
      <c r="X49" s="80">
        <v>16.7</v>
      </c>
      <c r="Y49" s="80">
        <v>16.7</v>
      </c>
      <c r="Z49" s="80">
        <v>16.7</v>
      </c>
      <c r="AA49" s="80">
        <v>16.7</v>
      </c>
      <c r="AB49" s="80">
        <v>16.7</v>
      </c>
      <c r="AC49" s="80">
        <v>17</v>
      </c>
      <c r="AD49" s="80">
        <v>17</v>
      </c>
      <c r="AE49" s="80">
        <v>17</v>
      </c>
      <c r="AF49" s="80"/>
      <c r="AG49" s="94">
        <v>24</v>
      </c>
      <c r="AH49" s="20">
        <f t="shared" si="2"/>
        <v>17</v>
      </c>
      <c r="AI49" s="19">
        <f t="shared" si="3"/>
        <v>11.5</v>
      </c>
      <c r="AK49" s="41"/>
    </row>
    <row r="50" spans="1:41" x14ac:dyDescent="0.25">
      <c r="A50" s="95" t="s">
        <v>183</v>
      </c>
      <c r="B50" s="80">
        <v>3</v>
      </c>
      <c r="C50" s="80">
        <v>3</v>
      </c>
      <c r="D50" s="80">
        <v>3</v>
      </c>
      <c r="E50" s="80">
        <v>3</v>
      </c>
      <c r="F50" s="80">
        <v>3</v>
      </c>
      <c r="G50" s="80">
        <v>3</v>
      </c>
      <c r="H50" s="80">
        <v>3</v>
      </c>
      <c r="I50" s="80">
        <v>3</v>
      </c>
      <c r="J50" s="80">
        <v>3</v>
      </c>
      <c r="K50" s="80">
        <v>3</v>
      </c>
      <c r="L50" s="80">
        <v>3</v>
      </c>
      <c r="M50" s="80">
        <v>3</v>
      </c>
      <c r="N50" s="80">
        <v>3</v>
      </c>
      <c r="O50" s="80">
        <v>3</v>
      </c>
      <c r="P50" s="80">
        <v>3</v>
      </c>
      <c r="Q50" s="80">
        <v>3</v>
      </c>
      <c r="R50" s="80">
        <v>3</v>
      </c>
      <c r="S50" s="80">
        <v>3</v>
      </c>
      <c r="T50" s="80">
        <v>3</v>
      </c>
      <c r="U50" s="80">
        <v>3</v>
      </c>
      <c r="V50" s="80">
        <v>3</v>
      </c>
      <c r="W50" s="80">
        <v>3</v>
      </c>
      <c r="X50" s="80">
        <v>3</v>
      </c>
      <c r="Y50" s="80">
        <v>3</v>
      </c>
      <c r="Z50" s="80">
        <v>3</v>
      </c>
      <c r="AA50" s="80">
        <v>3</v>
      </c>
      <c r="AB50" s="80">
        <v>3</v>
      </c>
      <c r="AC50" s="80">
        <v>3</v>
      </c>
      <c r="AD50" s="80">
        <v>3</v>
      </c>
      <c r="AE50" s="80">
        <v>3</v>
      </c>
      <c r="AF50" s="80"/>
      <c r="AG50" s="94">
        <v>15</v>
      </c>
      <c r="AH50" s="20">
        <f t="shared" si="2"/>
        <v>3</v>
      </c>
      <c r="AI50" s="19">
        <f t="shared" si="3"/>
        <v>3</v>
      </c>
      <c r="AK50" s="41"/>
      <c r="AL50" s="112"/>
      <c r="AO50" s="112"/>
    </row>
    <row r="51" spans="1:41" s="112" customFormat="1" x14ac:dyDescent="0.25">
      <c r="A51" s="95" t="s">
        <v>182</v>
      </c>
      <c r="B51" s="80">
        <v>9.6</v>
      </c>
      <c r="C51" s="80">
        <v>9.6</v>
      </c>
      <c r="D51" s="80">
        <v>9.6</v>
      </c>
      <c r="E51" s="80">
        <v>9.6</v>
      </c>
      <c r="F51" s="80">
        <v>9.6</v>
      </c>
      <c r="G51" s="80">
        <v>9.6</v>
      </c>
      <c r="H51" s="80">
        <v>9.6</v>
      </c>
      <c r="I51" s="80">
        <v>9</v>
      </c>
      <c r="J51" s="80">
        <v>10</v>
      </c>
      <c r="K51" s="80">
        <v>10</v>
      </c>
      <c r="L51" s="80">
        <v>10</v>
      </c>
      <c r="M51" s="80">
        <v>10</v>
      </c>
      <c r="N51" s="80">
        <v>10</v>
      </c>
      <c r="O51" s="80">
        <v>10</v>
      </c>
      <c r="P51" s="80">
        <v>10</v>
      </c>
      <c r="Q51" s="80">
        <v>10</v>
      </c>
      <c r="R51" s="80">
        <v>10</v>
      </c>
      <c r="S51" s="80">
        <v>10</v>
      </c>
      <c r="T51" s="80">
        <v>10</v>
      </c>
      <c r="U51" s="80">
        <v>10</v>
      </c>
      <c r="V51" s="80">
        <v>10</v>
      </c>
      <c r="W51" s="80">
        <v>10</v>
      </c>
      <c r="X51" s="80">
        <v>10</v>
      </c>
      <c r="Y51" s="80">
        <v>10</v>
      </c>
      <c r="Z51" s="80">
        <v>10</v>
      </c>
      <c r="AA51" s="80">
        <v>10</v>
      </c>
      <c r="AB51" s="80">
        <v>9.6999999999999993</v>
      </c>
      <c r="AC51" s="80">
        <v>9.6999999999999993</v>
      </c>
      <c r="AD51" s="80">
        <v>9.6999999999999993</v>
      </c>
      <c r="AE51" s="80">
        <v>9.6999999999999993</v>
      </c>
      <c r="AF51" s="80"/>
      <c r="AG51" s="94">
        <v>14.1</v>
      </c>
      <c r="AH51" s="20">
        <f t="shared" si="2"/>
        <v>10</v>
      </c>
      <c r="AI51" s="19">
        <f t="shared" si="3"/>
        <v>9</v>
      </c>
      <c r="AJ51" s="1"/>
      <c r="AK51" s="41"/>
      <c r="AL51" s="1"/>
      <c r="AM51" s="1"/>
      <c r="AN51" s="1"/>
      <c r="AO51" s="1"/>
    </row>
    <row r="52" spans="1:41" x14ac:dyDescent="0.25">
      <c r="A52" s="108" t="s">
        <v>181</v>
      </c>
      <c r="B52" s="80">
        <v>7</v>
      </c>
      <c r="C52" s="80">
        <v>7</v>
      </c>
      <c r="D52" s="80">
        <v>7</v>
      </c>
      <c r="E52" s="80">
        <v>7</v>
      </c>
      <c r="F52" s="80">
        <v>7</v>
      </c>
      <c r="G52" s="80">
        <v>7</v>
      </c>
      <c r="H52" s="80">
        <v>7</v>
      </c>
      <c r="I52" s="80">
        <v>10.4</v>
      </c>
      <c r="J52" s="80">
        <v>10.4</v>
      </c>
      <c r="K52" s="80">
        <v>0</v>
      </c>
      <c r="L52" s="80">
        <v>2.9</v>
      </c>
      <c r="M52" s="80">
        <v>2.9</v>
      </c>
      <c r="N52" s="80">
        <v>14.4</v>
      </c>
      <c r="O52" s="80">
        <v>14.4</v>
      </c>
      <c r="P52" s="80">
        <v>14.4</v>
      </c>
      <c r="Q52" s="80">
        <v>14.4</v>
      </c>
      <c r="R52" s="80">
        <v>14.4</v>
      </c>
      <c r="S52" s="80">
        <v>14.4</v>
      </c>
      <c r="T52" s="80">
        <v>14.4</v>
      </c>
      <c r="U52" s="80">
        <v>14.4</v>
      </c>
      <c r="V52" s="80">
        <v>14.4</v>
      </c>
      <c r="W52" s="80">
        <v>14.4</v>
      </c>
      <c r="X52" s="80">
        <v>14.4</v>
      </c>
      <c r="Y52" s="80">
        <v>14.4</v>
      </c>
      <c r="Z52" s="80">
        <v>14.4</v>
      </c>
      <c r="AA52" s="80">
        <v>14.4</v>
      </c>
      <c r="AB52" s="80">
        <v>14.2</v>
      </c>
      <c r="AC52" s="80">
        <v>14.2</v>
      </c>
      <c r="AD52" s="80">
        <v>14.2</v>
      </c>
      <c r="AE52" s="80">
        <v>14.2</v>
      </c>
      <c r="AF52" s="80"/>
      <c r="AG52" s="94">
        <v>14</v>
      </c>
      <c r="AH52" s="20">
        <f t="shared" si="2"/>
        <v>14.4</v>
      </c>
      <c r="AI52" s="19">
        <f t="shared" si="3"/>
        <v>0</v>
      </c>
      <c r="AK52" s="41"/>
    </row>
    <row r="53" spans="1:41" x14ac:dyDescent="0.25">
      <c r="A53" s="95" t="s">
        <v>180</v>
      </c>
      <c r="B53" s="80">
        <v>9</v>
      </c>
      <c r="C53" s="80">
        <v>9</v>
      </c>
      <c r="D53" s="80">
        <v>9</v>
      </c>
      <c r="E53" s="80">
        <v>9</v>
      </c>
      <c r="F53" s="80">
        <v>9</v>
      </c>
      <c r="G53" s="80">
        <v>9</v>
      </c>
      <c r="H53" s="80">
        <v>9</v>
      </c>
      <c r="I53" s="80">
        <v>9</v>
      </c>
      <c r="J53" s="80">
        <v>9</v>
      </c>
      <c r="K53" s="80">
        <v>9</v>
      </c>
      <c r="L53" s="80">
        <v>9</v>
      </c>
      <c r="M53" s="80">
        <v>9</v>
      </c>
      <c r="N53" s="80">
        <v>9</v>
      </c>
      <c r="O53" s="80">
        <v>9</v>
      </c>
      <c r="P53" s="80">
        <v>9</v>
      </c>
      <c r="Q53" s="80">
        <v>9</v>
      </c>
      <c r="R53" s="80">
        <v>9</v>
      </c>
      <c r="S53" s="80">
        <v>9</v>
      </c>
      <c r="T53" s="80">
        <v>9</v>
      </c>
      <c r="U53" s="80">
        <v>9</v>
      </c>
      <c r="V53" s="80">
        <v>9</v>
      </c>
      <c r="W53" s="80">
        <v>9</v>
      </c>
      <c r="X53" s="80">
        <v>9</v>
      </c>
      <c r="Y53" s="80">
        <v>9</v>
      </c>
      <c r="Z53" s="80">
        <v>9</v>
      </c>
      <c r="AA53" s="80">
        <v>9</v>
      </c>
      <c r="AB53" s="80">
        <v>9</v>
      </c>
      <c r="AC53" s="80">
        <v>9</v>
      </c>
      <c r="AD53" s="80">
        <v>9</v>
      </c>
      <c r="AE53" s="80">
        <v>9</v>
      </c>
      <c r="AF53" s="80"/>
      <c r="AG53" s="94">
        <v>10.050000000000001</v>
      </c>
      <c r="AH53" s="20">
        <f t="shared" si="2"/>
        <v>9</v>
      </c>
      <c r="AI53" s="19">
        <f t="shared" si="3"/>
        <v>9</v>
      </c>
      <c r="AK53" s="41"/>
    </row>
    <row r="54" spans="1:41" x14ac:dyDescent="0.25">
      <c r="A54" s="95" t="s">
        <v>179</v>
      </c>
      <c r="B54" s="80">
        <v>3.2</v>
      </c>
      <c r="C54" s="80">
        <v>3.2</v>
      </c>
      <c r="D54" s="80">
        <v>3.2</v>
      </c>
      <c r="E54" s="80">
        <v>3.2</v>
      </c>
      <c r="F54" s="80">
        <v>3.2</v>
      </c>
      <c r="G54" s="80">
        <v>3.2</v>
      </c>
      <c r="H54" s="80">
        <v>3.2</v>
      </c>
      <c r="I54" s="80">
        <v>3.2</v>
      </c>
      <c r="J54" s="80">
        <v>3.2</v>
      </c>
      <c r="K54" s="80">
        <v>6.2</v>
      </c>
      <c r="L54" s="80">
        <v>6.2</v>
      </c>
      <c r="M54" s="80">
        <v>6.2</v>
      </c>
      <c r="N54" s="80">
        <v>6.2</v>
      </c>
      <c r="O54" s="80">
        <v>6.2</v>
      </c>
      <c r="P54" s="80">
        <v>6.2</v>
      </c>
      <c r="Q54" s="80">
        <v>6.2</v>
      </c>
      <c r="R54" s="80">
        <v>6.2</v>
      </c>
      <c r="S54" s="80">
        <v>6.2</v>
      </c>
      <c r="T54" s="80">
        <v>6.2</v>
      </c>
      <c r="U54" s="80">
        <v>6.2</v>
      </c>
      <c r="V54" s="80">
        <v>6.2</v>
      </c>
      <c r="W54" s="80">
        <v>6.2</v>
      </c>
      <c r="X54" s="80">
        <v>6.2</v>
      </c>
      <c r="Y54" s="80">
        <v>6.2</v>
      </c>
      <c r="Z54" s="80">
        <v>6.2</v>
      </c>
      <c r="AA54" s="80">
        <v>6.2</v>
      </c>
      <c r="AB54" s="80">
        <v>6.2</v>
      </c>
      <c r="AC54" s="80">
        <v>6.2</v>
      </c>
      <c r="AD54" s="80">
        <v>6.2</v>
      </c>
      <c r="AE54" s="80">
        <v>6.2</v>
      </c>
      <c r="AF54" s="80"/>
      <c r="AG54" s="94">
        <v>6.2</v>
      </c>
      <c r="AH54" s="20">
        <f t="shared" si="2"/>
        <v>6.2</v>
      </c>
      <c r="AI54" s="19">
        <f t="shared" si="3"/>
        <v>3.2</v>
      </c>
      <c r="AK54" s="41"/>
    </row>
    <row r="55" spans="1:41" ht="15.75" thickBot="1" x14ac:dyDescent="0.3">
      <c r="A55" s="111" t="s">
        <v>17</v>
      </c>
      <c r="B55" s="110">
        <v>3.54</v>
      </c>
      <c r="C55" s="110">
        <v>3.54</v>
      </c>
      <c r="D55" s="110">
        <v>3.54</v>
      </c>
      <c r="E55" s="110">
        <v>3.54</v>
      </c>
      <c r="F55" s="110">
        <v>3.54</v>
      </c>
      <c r="G55" s="110">
        <v>3.54</v>
      </c>
      <c r="H55" s="110">
        <v>3.54</v>
      </c>
      <c r="I55" s="110">
        <v>3.54</v>
      </c>
      <c r="J55" s="110">
        <v>3.54</v>
      </c>
      <c r="K55" s="110">
        <v>3.54</v>
      </c>
      <c r="L55" s="110">
        <v>3.54</v>
      </c>
      <c r="M55" s="110">
        <v>3.54</v>
      </c>
      <c r="N55" s="110">
        <v>3.54</v>
      </c>
      <c r="O55" s="110">
        <v>3.54</v>
      </c>
      <c r="P55" s="110">
        <v>3.54</v>
      </c>
      <c r="Q55" s="110">
        <v>3.54</v>
      </c>
      <c r="R55" s="110">
        <v>3.54</v>
      </c>
      <c r="S55" s="110">
        <v>3.54</v>
      </c>
      <c r="T55" s="110">
        <v>3.54</v>
      </c>
      <c r="U55" s="110">
        <v>3.54</v>
      </c>
      <c r="V55" s="110">
        <v>3.54</v>
      </c>
      <c r="W55" s="110">
        <v>3.54</v>
      </c>
      <c r="X55" s="110">
        <v>3.54</v>
      </c>
      <c r="Y55" s="110">
        <v>3.54</v>
      </c>
      <c r="Z55" s="110">
        <v>3.54</v>
      </c>
      <c r="AA55" s="110">
        <v>3.54</v>
      </c>
      <c r="AB55" s="110">
        <v>3.54</v>
      </c>
      <c r="AC55" s="110">
        <v>3.54</v>
      </c>
      <c r="AD55" s="110">
        <v>3.54</v>
      </c>
      <c r="AE55" s="110">
        <v>3.54</v>
      </c>
      <c r="AF55" s="110">
        <v>3.54</v>
      </c>
      <c r="AG55" s="109">
        <f>AG222</f>
        <v>8.56</v>
      </c>
      <c r="AH55" s="20">
        <f t="shared" si="2"/>
        <v>3.54</v>
      </c>
      <c r="AI55" s="19">
        <f t="shared" si="3"/>
        <v>3.54</v>
      </c>
      <c r="AK55" s="41"/>
    </row>
    <row r="56" spans="1:41" ht="15.75" thickBot="1" x14ac:dyDescent="0.3">
      <c r="A56" s="87" t="s">
        <v>178</v>
      </c>
      <c r="B56" s="86">
        <f>SUM(B43:B55)</f>
        <v>420.24</v>
      </c>
      <c r="C56" s="86">
        <f t="shared" ref="C56:AG56" si="6">SUM(C43:C55)</f>
        <v>411.64000000000004</v>
      </c>
      <c r="D56" s="86">
        <f t="shared" si="6"/>
        <v>405.64000000000004</v>
      </c>
      <c r="E56" s="86">
        <f t="shared" si="6"/>
        <v>369.34000000000003</v>
      </c>
      <c r="F56" s="86">
        <f t="shared" si="6"/>
        <v>374.34000000000003</v>
      </c>
      <c r="G56" s="86">
        <f t="shared" si="6"/>
        <v>353.84000000000003</v>
      </c>
      <c r="H56" s="86">
        <f t="shared" si="6"/>
        <v>363.84000000000003</v>
      </c>
      <c r="I56" s="86">
        <f t="shared" si="6"/>
        <v>345.14</v>
      </c>
      <c r="J56" s="86">
        <f t="shared" si="6"/>
        <v>385.14</v>
      </c>
      <c r="K56" s="86">
        <f t="shared" si="6"/>
        <v>417.94</v>
      </c>
      <c r="L56" s="86">
        <f t="shared" si="6"/>
        <v>420.84</v>
      </c>
      <c r="M56" s="86">
        <f t="shared" si="6"/>
        <v>425.73999999999995</v>
      </c>
      <c r="N56" s="86">
        <f t="shared" si="6"/>
        <v>421.73999999999995</v>
      </c>
      <c r="O56" s="86">
        <f t="shared" si="6"/>
        <v>428.63999999999993</v>
      </c>
      <c r="P56" s="86">
        <f t="shared" si="6"/>
        <v>428.63999999999993</v>
      </c>
      <c r="Q56" s="86">
        <f t="shared" si="6"/>
        <v>428.63999999999993</v>
      </c>
      <c r="R56" s="86">
        <f t="shared" si="6"/>
        <v>428.63999999999993</v>
      </c>
      <c r="S56" s="86">
        <f t="shared" si="6"/>
        <v>438.23999999999995</v>
      </c>
      <c r="T56" s="86">
        <f t="shared" si="6"/>
        <v>428.63999999999993</v>
      </c>
      <c r="U56" s="86">
        <f t="shared" si="6"/>
        <v>428.63999999999993</v>
      </c>
      <c r="V56" s="86">
        <f t="shared" si="6"/>
        <v>428.63999999999993</v>
      </c>
      <c r="W56" s="86">
        <f t="shared" si="6"/>
        <v>428.63999999999993</v>
      </c>
      <c r="X56" s="86">
        <f t="shared" si="6"/>
        <v>428.63999999999993</v>
      </c>
      <c r="Y56" s="86">
        <f t="shared" si="6"/>
        <v>428.63999999999993</v>
      </c>
      <c r="Z56" s="86">
        <f t="shared" si="6"/>
        <v>428.63999999999993</v>
      </c>
      <c r="AA56" s="86">
        <f t="shared" si="6"/>
        <v>428.63999999999993</v>
      </c>
      <c r="AB56" s="86">
        <f t="shared" si="6"/>
        <v>431.13999999999993</v>
      </c>
      <c r="AC56" s="86">
        <f t="shared" si="6"/>
        <v>431.03999999999996</v>
      </c>
      <c r="AD56" s="86">
        <f t="shared" si="6"/>
        <v>430.44</v>
      </c>
      <c r="AE56" s="86">
        <f t="shared" si="6"/>
        <v>430.44</v>
      </c>
      <c r="AF56" s="86">
        <f t="shared" si="6"/>
        <v>3.54</v>
      </c>
      <c r="AG56" s="101">
        <f t="shared" si="6"/>
        <v>489.91</v>
      </c>
      <c r="AH56" s="20">
        <f t="shared" si="2"/>
        <v>438.23999999999995</v>
      </c>
      <c r="AI56" s="19">
        <f t="shared" si="3"/>
        <v>3.54</v>
      </c>
      <c r="AK56" s="41"/>
    </row>
    <row r="57" spans="1:41" x14ac:dyDescent="0.25">
      <c r="A57" s="97" t="s">
        <v>177</v>
      </c>
      <c r="B57" s="105">
        <v>0</v>
      </c>
      <c r="C57" s="105">
        <v>0</v>
      </c>
      <c r="D57" s="105">
        <v>0</v>
      </c>
      <c r="E57" s="105">
        <v>0</v>
      </c>
      <c r="F57" s="105">
        <v>0</v>
      </c>
      <c r="G57" s="105">
        <v>0</v>
      </c>
      <c r="H57" s="105">
        <v>0</v>
      </c>
      <c r="I57" s="105">
        <v>0</v>
      </c>
      <c r="J57" s="105">
        <v>0</v>
      </c>
      <c r="K57" s="105">
        <v>0</v>
      </c>
      <c r="L57" s="105">
        <v>0</v>
      </c>
      <c r="M57" s="105">
        <v>0</v>
      </c>
      <c r="N57" s="105">
        <v>0</v>
      </c>
      <c r="O57" s="105">
        <v>0</v>
      </c>
      <c r="P57" s="105">
        <v>0</v>
      </c>
      <c r="Q57" s="105">
        <v>0</v>
      </c>
      <c r="R57" s="105">
        <v>0</v>
      </c>
      <c r="S57" s="105">
        <v>0</v>
      </c>
      <c r="T57" s="105">
        <v>0</v>
      </c>
      <c r="U57" s="105">
        <v>0</v>
      </c>
      <c r="V57" s="105">
        <v>0</v>
      </c>
      <c r="W57" s="105">
        <v>0</v>
      </c>
      <c r="X57" s="105">
        <v>0</v>
      </c>
      <c r="Y57" s="105">
        <v>0</v>
      </c>
      <c r="Z57" s="105">
        <v>25</v>
      </c>
      <c r="AA57" s="105">
        <v>0</v>
      </c>
      <c r="AB57" s="105">
        <v>0</v>
      </c>
      <c r="AC57" s="105">
        <v>0</v>
      </c>
      <c r="AD57" s="105">
        <v>0</v>
      </c>
      <c r="AE57" s="105">
        <v>0</v>
      </c>
      <c r="AF57" s="105"/>
      <c r="AG57" s="96">
        <v>60</v>
      </c>
      <c r="AH57" s="20">
        <f t="shared" si="2"/>
        <v>25</v>
      </c>
      <c r="AI57" s="19">
        <f t="shared" si="3"/>
        <v>0</v>
      </c>
      <c r="AK57" s="41"/>
    </row>
    <row r="58" spans="1:41" x14ac:dyDescent="0.25">
      <c r="A58" s="95" t="s">
        <v>176</v>
      </c>
      <c r="B58" s="80">
        <v>0</v>
      </c>
      <c r="C58" s="80">
        <v>0</v>
      </c>
      <c r="D58" s="80">
        <v>0</v>
      </c>
      <c r="E58" s="80">
        <v>0</v>
      </c>
      <c r="F58" s="80">
        <v>0</v>
      </c>
      <c r="G58" s="80">
        <v>0</v>
      </c>
      <c r="H58" s="80">
        <v>0</v>
      </c>
      <c r="I58" s="80">
        <v>0</v>
      </c>
      <c r="J58" s="80">
        <v>0</v>
      </c>
      <c r="K58" s="80">
        <v>0</v>
      </c>
      <c r="L58" s="80">
        <v>0</v>
      </c>
      <c r="M58" s="80">
        <v>0</v>
      </c>
      <c r="N58" s="80">
        <v>0</v>
      </c>
      <c r="O58" s="80">
        <v>0</v>
      </c>
      <c r="P58" s="80">
        <v>0</v>
      </c>
      <c r="Q58" s="80">
        <v>0</v>
      </c>
      <c r="R58" s="80">
        <v>0</v>
      </c>
      <c r="S58" s="80">
        <v>0</v>
      </c>
      <c r="T58" s="80">
        <v>0</v>
      </c>
      <c r="U58" s="80">
        <v>0</v>
      </c>
      <c r="V58" s="80">
        <v>0</v>
      </c>
      <c r="W58" s="80">
        <v>0</v>
      </c>
      <c r="X58" s="80">
        <v>0</v>
      </c>
      <c r="Y58" s="80">
        <v>0</v>
      </c>
      <c r="Z58" s="80">
        <v>14</v>
      </c>
      <c r="AA58" s="80">
        <v>0</v>
      </c>
      <c r="AB58" s="80">
        <v>0</v>
      </c>
      <c r="AC58" s="80">
        <v>0</v>
      </c>
      <c r="AD58" s="80">
        <v>0</v>
      </c>
      <c r="AE58" s="80">
        <v>0</v>
      </c>
      <c r="AF58" s="80"/>
      <c r="AG58" s="94">
        <v>32</v>
      </c>
      <c r="AH58" s="20">
        <f t="shared" si="2"/>
        <v>14</v>
      </c>
      <c r="AI58" s="19">
        <f t="shared" si="3"/>
        <v>0</v>
      </c>
      <c r="AK58" s="41"/>
    </row>
    <row r="59" spans="1:41" ht="15.75" thickBot="1" x14ac:dyDescent="0.3">
      <c r="A59" s="108" t="s">
        <v>175</v>
      </c>
      <c r="B59" s="107">
        <v>0</v>
      </c>
      <c r="C59" s="107">
        <v>0</v>
      </c>
      <c r="D59" s="107">
        <v>0</v>
      </c>
      <c r="E59" s="107">
        <v>0</v>
      </c>
      <c r="F59" s="107">
        <v>0</v>
      </c>
      <c r="G59" s="107">
        <v>0</v>
      </c>
      <c r="H59" s="107">
        <v>0</v>
      </c>
      <c r="I59" s="107">
        <v>0</v>
      </c>
      <c r="J59" s="107">
        <v>0</v>
      </c>
      <c r="K59" s="107">
        <v>0</v>
      </c>
      <c r="L59" s="107">
        <v>0</v>
      </c>
      <c r="M59" s="107">
        <v>0</v>
      </c>
      <c r="N59" s="107">
        <v>0</v>
      </c>
      <c r="O59" s="107">
        <v>0</v>
      </c>
      <c r="P59" s="107">
        <v>0</v>
      </c>
      <c r="Q59" s="107">
        <v>0</v>
      </c>
      <c r="R59" s="107">
        <v>0</v>
      </c>
      <c r="S59" s="107">
        <v>0</v>
      </c>
      <c r="T59" s="107">
        <v>0</v>
      </c>
      <c r="U59" s="107">
        <v>0</v>
      </c>
      <c r="V59" s="107">
        <v>0</v>
      </c>
      <c r="W59" s="107">
        <v>0</v>
      </c>
      <c r="X59" s="107">
        <v>0</v>
      </c>
      <c r="Y59" s="107">
        <v>0</v>
      </c>
      <c r="Z59" s="107">
        <v>5</v>
      </c>
      <c r="AA59" s="107">
        <v>0</v>
      </c>
      <c r="AB59" s="107">
        <v>0</v>
      </c>
      <c r="AC59" s="107">
        <v>0</v>
      </c>
      <c r="AD59" s="107">
        <v>0</v>
      </c>
      <c r="AE59" s="107">
        <v>0</v>
      </c>
      <c r="AF59" s="107"/>
      <c r="AG59" s="106">
        <v>14</v>
      </c>
      <c r="AH59" s="20">
        <f t="shared" si="2"/>
        <v>5</v>
      </c>
      <c r="AI59" s="19">
        <f t="shared" si="3"/>
        <v>0</v>
      </c>
      <c r="AK59" s="41"/>
    </row>
    <row r="60" spans="1:41" ht="15.75" thickBot="1" x14ac:dyDescent="0.3">
      <c r="A60" s="87" t="s">
        <v>174</v>
      </c>
      <c r="B60" s="86">
        <f>SUM(B57:B59)</f>
        <v>0</v>
      </c>
      <c r="C60" s="86">
        <f t="shared" ref="C60:AG60" si="7">SUM(C57:C59)</f>
        <v>0</v>
      </c>
      <c r="D60" s="86">
        <f t="shared" si="7"/>
        <v>0</v>
      </c>
      <c r="E60" s="86">
        <f t="shared" si="7"/>
        <v>0</v>
      </c>
      <c r="F60" s="86">
        <f t="shared" si="7"/>
        <v>0</v>
      </c>
      <c r="G60" s="86">
        <f t="shared" si="7"/>
        <v>0</v>
      </c>
      <c r="H60" s="86">
        <f t="shared" si="7"/>
        <v>0</v>
      </c>
      <c r="I60" s="86">
        <f t="shared" si="7"/>
        <v>0</v>
      </c>
      <c r="J60" s="86">
        <f t="shared" si="7"/>
        <v>0</v>
      </c>
      <c r="K60" s="86">
        <f t="shared" si="7"/>
        <v>0</v>
      </c>
      <c r="L60" s="86">
        <f t="shared" si="7"/>
        <v>0</v>
      </c>
      <c r="M60" s="86">
        <f t="shared" si="7"/>
        <v>0</v>
      </c>
      <c r="N60" s="86">
        <f t="shared" si="7"/>
        <v>0</v>
      </c>
      <c r="O60" s="86">
        <f t="shared" si="7"/>
        <v>0</v>
      </c>
      <c r="P60" s="86">
        <f t="shared" si="7"/>
        <v>0</v>
      </c>
      <c r="Q60" s="86">
        <f t="shared" si="7"/>
        <v>0</v>
      </c>
      <c r="R60" s="86">
        <f t="shared" si="7"/>
        <v>0</v>
      </c>
      <c r="S60" s="86">
        <f t="shared" si="7"/>
        <v>0</v>
      </c>
      <c r="T60" s="86">
        <f t="shared" si="7"/>
        <v>0</v>
      </c>
      <c r="U60" s="86">
        <f t="shared" si="7"/>
        <v>0</v>
      </c>
      <c r="V60" s="86">
        <f t="shared" si="7"/>
        <v>0</v>
      </c>
      <c r="W60" s="86">
        <f t="shared" si="7"/>
        <v>0</v>
      </c>
      <c r="X60" s="86">
        <f t="shared" si="7"/>
        <v>0</v>
      </c>
      <c r="Y60" s="86">
        <f t="shared" si="7"/>
        <v>0</v>
      </c>
      <c r="Z60" s="86">
        <f t="shared" si="7"/>
        <v>44</v>
      </c>
      <c r="AA60" s="86">
        <f t="shared" si="7"/>
        <v>0</v>
      </c>
      <c r="AB60" s="86">
        <f t="shared" si="7"/>
        <v>0</v>
      </c>
      <c r="AC60" s="86">
        <f t="shared" si="7"/>
        <v>0</v>
      </c>
      <c r="AD60" s="86">
        <f t="shared" si="7"/>
        <v>0</v>
      </c>
      <c r="AE60" s="86">
        <f t="shared" si="7"/>
        <v>0</v>
      </c>
      <c r="AF60" s="86">
        <f t="shared" si="7"/>
        <v>0</v>
      </c>
      <c r="AG60" s="101">
        <f t="shared" si="7"/>
        <v>106</v>
      </c>
      <c r="AH60" s="20">
        <f t="shared" si="2"/>
        <v>44</v>
      </c>
      <c r="AI60" s="19">
        <f t="shared" si="3"/>
        <v>0</v>
      </c>
      <c r="AK60" s="41"/>
    </row>
    <row r="61" spans="1:41" x14ac:dyDescent="0.25">
      <c r="A61" s="97" t="s">
        <v>152</v>
      </c>
      <c r="B61" s="105">
        <v>0</v>
      </c>
      <c r="C61" s="105">
        <v>0</v>
      </c>
      <c r="D61" s="105">
        <v>0</v>
      </c>
      <c r="E61" s="105">
        <v>0</v>
      </c>
      <c r="F61" s="105">
        <v>0</v>
      </c>
      <c r="G61" s="105">
        <v>0</v>
      </c>
      <c r="H61" s="105">
        <v>0</v>
      </c>
      <c r="I61" s="105">
        <v>0</v>
      </c>
      <c r="J61" s="105">
        <v>0</v>
      </c>
      <c r="K61" s="105">
        <v>0</v>
      </c>
      <c r="L61" s="105">
        <v>0</v>
      </c>
      <c r="M61" s="105">
        <v>40.200000000000003</v>
      </c>
      <c r="N61" s="105">
        <v>0</v>
      </c>
      <c r="O61" s="105">
        <v>0</v>
      </c>
      <c r="P61" s="105">
        <v>0</v>
      </c>
      <c r="Q61" s="105">
        <v>0</v>
      </c>
      <c r="R61" s="105">
        <v>0</v>
      </c>
      <c r="S61" s="105">
        <v>14</v>
      </c>
      <c r="T61" s="105">
        <v>11</v>
      </c>
      <c r="U61" s="105">
        <v>12</v>
      </c>
      <c r="V61" s="105">
        <v>15</v>
      </c>
      <c r="W61" s="105">
        <v>15</v>
      </c>
      <c r="X61" s="105">
        <v>17</v>
      </c>
      <c r="Y61" s="105">
        <v>31</v>
      </c>
      <c r="Z61" s="105">
        <v>44</v>
      </c>
      <c r="AA61" s="105">
        <v>48</v>
      </c>
      <c r="AB61" s="105">
        <v>49.9</v>
      </c>
      <c r="AC61" s="105">
        <v>50.1</v>
      </c>
      <c r="AD61" s="105">
        <v>52.8</v>
      </c>
      <c r="AE61" s="105">
        <v>9.4</v>
      </c>
      <c r="AF61" s="105"/>
      <c r="AG61" s="96"/>
      <c r="AH61" s="20">
        <f t="shared" si="2"/>
        <v>52.8</v>
      </c>
      <c r="AI61" s="19">
        <f t="shared" si="3"/>
        <v>0</v>
      </c>
      <c r="AK61" s="41"/>
    </row>
    <row r="62" spans="1:41" x14ac:dyDescent="0.25">
      <c r="A62" s="95" t="s">
        <v>155</v>
      </c>
      <c r="B62" s="80">
        <v>0</v>
      </c>
      <c r="C62" s="80">
        <v>0</v>
      </c>
      <c r="D62" s="80">
        <v>0</v>
      </c>
      <c r="E62" s="80">
        <v>0</v>
      </c>
      <c r="F62" s="80">
        <v>0</v>
      </c>
      <c r="G62" s="80">
        <v>0</v>
      </c>
      <c r="H62" s="80">
        <v>0</v>
      </c>
      <c r="I62" s="80">
        <v>0</v>
      </c>
      <c r="J62" s="80">
        <v>0</v>
      </c>
      <c r="K62" s="80">
        <v>0</v>
      </c>
      <c r="L62" s="80">
        <v>0</v>
      </c>
      <c r="M62" s="80">
        <v>0</v>
      </c>
      <c r="N62" s="80">
        <v>0</v>
      </c>
      <c r="O62" s="80">
        <v>0</v>
      </c>
      <c r="P62" s="80">
        <v>0</v>
      </c>
      <c r="Q62" s="80">
        <v>0</v>
      </c>
      <c r="R62" s="80">
        <v>0</v>
      </c>
      <c r="S62" s="80">
        <v>0</v>
      </c>
      <c r="T62" s="80">
        <v>0</v>
      </c>
      <c r="U62" s="80">
        <v>0</v>
      </c>
      <c r="V62" s="80">
        <v>0</v>
      </c>
      <c r="W62" s="80">
        <v>0</v>
      </c>
      <c r="X62" s="80">
        <v>0</v>
      </c>
      <c r="Y62" s="80">
        <v>0</v>
      </c>
      <c r="Z62" s="80">
        <v>0</v>
      </c>
      <c r="AA62" s="80">
        <v>0</v>
      </c>
      <c r="AB62" s="80">
        <v>0</v>
      </c>
      <c r="AC62" s="80">
        <v>0</v>
      </c>
      <c r="AD62" s="80">
        <v>0</v>
      </c>
      <c r="AE62" s="80">
        <v>0</v>
      </c>
      <c r="AF62" s="80"/>
      <c r="AG62" s="94"/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5" t="s">
        <v>173</v>
      </c>
      <c r="B63" s="80">
        <v>-430.2</v>
      </c>
      <c r="C63" s="80">
        <v>-429.7</v>
      </c>
      <c r="D63" s="80">
        <v>-415</v>
      </c>
      <c r="E63" s="80">
        <v>-410</v>
      </c>
      <c r="F63" s="80">
        <v>-430</v>
      </c>
      <c r="G63" s="80">
        <v>-372</v>
      </c>
      <c r="H63" s="80">
        <v>-422</v>
      </c>
      <c r="I63" s="80">
        <v>-390</v>
      </c>
      <c r="J63" s="80">
        <v>-410</v>
      </c>
      <c r="K63" s="80">
        <v>-362</v>
      </c>
      <c r="L63" s="80">
        <v>-368</v>
      </c>
      <c r="M63" s="80">
        <v>-385.8</v>
      </c>
      <c r="N63" s="80">
        <v>-389</v>
      </c>
      <c r="O63" s="80">
        <v>-394.7</v>
      </c>
      <c r="P63" s="80">
        <v>-405</v>
      </c>
      <c r="Q63" s="80">
        <v>-380</v>
      </c>
      <c r="R63" s="80">
        <v>-367</v>
      </c>
      <c r="S63" s="80">
        <v>-350</v>
      </c>
      <c r="T63" s="80">
        <v>-343</v>
      </c>
      <c r="U63" s="80">
        <v>-380</v>
      </c>
      <c r="V63" s="80">
        <v>-403</v>
      </c>
      <c r="W63" s="80">
        <v>-370</v>
      </c>
      <c r="X63" s="80">
        <v>-360</v>
      </c>
      <c r="Y63" s="80">
        <v>-223</v>
      </c>
      <c r="Z63" s="80">
        <v>-256</v>
      </c>
      <c r="AA63" s="80">
        <v>-235</v>
      </c>
      <c r="AB63" s="80">
        <v>-289.8</v>
      </c>
      <c r="AC63" s="80">
        <v>-305.2</v>
      </c>
      <c r="AD63" s="80">
        <v>-342.5</v>
      </c>
      <c r="AE63" s="80">
        <v>-374.5</v>
      </c>
      <c r="AF63" s="80"/>
      <c r="AG63" s="102"/>
      <c r="AH63" s="20">
        <f t="shared" si="2"/>
        <v>-223</v>
      </c>
      <c r="AI63" s="19">
        <f t="shared" si="3"/>
        <v>-430.2</v>
      </c>
      <c r="AK63" s="41"/>
    </row>
    <row r="64" spans="1:41" x14ac:dyDescent="0.25">
      <c r="A64" s="95" t="s">
        <v>156</v>
      </c>
      <c r="B64" s="93">
        <v>0</v>
      </c>
      <c r="C64" s="93">
        <v>0</v>
      </c>
      <c r="D64" s="93">
        <v>0</v>
      </c>
      <c r="E64" s="93">
        <v>0</v>
      </c>
      <c r="F64" s="93">
        <v>0</v>
      </c>
      <c r="G64" s="93">
        <v>0</v>
      </c>
      <c r="H64" s="93">
        <v>0</v>
      </c>
      <c r="I64" s="93">
        <v>0</v>
      </c>
      <c r="J64" s="93">
        <v>0</v>
      </c>
      <c r="K64" s="93">
        <v>10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0</v>
      </c>
      <c r="Z64" s="93">
        <v>0</v>
      </c>
      <c r="AA64" s="93">
        <v>0</v>
      </c>
      <c r="AB64" s="93">
        <v>0</v>
      </c>
      <c r="AC64" s="93">
        <v>0</v>
      </c>
      <c r="AD64" s="93">
        <v>0</v>
      </c>
      <c r="AE64" s="93">
        <v>0</v>
      </c>
      <c r="AF64" s="93"/>
      <c r="AG64" s="102"/>
      <c r="AH64" s="20">
        <f t="shared" si="2"/>
        <v>10</v>
      </c>
      <c r="AI64" s="19">
        <f t="shared" si="3"/>
        <v>0</v>
      </c>
      <c r="AK64" s="41"/>
    </row>
    <row r="65" spans="1:37" x14ac:dyDescent="0.25">
      <c r="A65" s="95" t="s">
        <v>172</v>
      </c>
      <c r="B65" s="105">
        <v>0</v>
      </c>
      <c r="C65" s="105">
        <v>0</v>
      </c>
      <c r="D65" s="105">
        <v>0</v>
      </c>
      <c r="E65" s="105">
        <v>0</v>
      </c>
      <c r="F65" s="105">
        <v>0</v>
      </c>
      <c r="G65" s="105">
        <v>0</v>
      </c>
      <c r="H65" s="105">
        <v>0</v>
      </c>
      <c r="I65" s="105">
        <v>0</v>
      </c>
      <c r="J65" s="105">
        <v>0</v>
      </c>
      <c r="K65" s="105">
        <v>0</v>
      </c>
      <c r="L65" s="105">
        <v>0</v>
      </c>
      <c r="M65" s="105">
        <v>0</v>
      </c>
      <c r="N65" s="105">
        <v>0</v>
      </c>
      <c r="O65" s="105">
        <v>0</v>
      </c>
      <c r="P65" s="105">
        <v>0</v>
      </c>
      <c r="Q65" s="105">
        <v>0</v>
      </c>
      <c r="R65" s="105">
        <v>0</v>
      </c>
      <c r="S65" s="105">
        <v>0</v>
      </c>
      <c r="T65" s="105">
        <v>0</v>
      </c>
      <c r="U65" s="105">
        <v>0</v>
      </c>
      <c r="V65" s="105">
        <v>0</v>
      </c>
      <c r="W65" s="105">
        <v>0</v>
      </c>
      <c r="X65" s="105">
        <v>0</v>
      </c>
      <c r="Y65" s="105">
        <v>0</v>
      </c>
      <c r="Z65" s="105">
        <v>0</v>
      </c>
      <c r="AA65" s="105">
        <v>0</v>
      </c>
      <c r="AB65" s="105">
        <v>0</v>
      </c>
      <c r="AC65" s="105">
        <v>0</v>
      </c>
      <c r="AD65" s="105">
        <v>0</v>
      </c>
      <c r="AE65" s="105">
        <v>0</v>
      </c>
      <c r="AF65" s="105"/>
      <c r="AG65" s="102"/>
      <c r="AH65" s="20">
        <f t="shared" si="2"/>
        <v>0</v>
      </c>
      <c r="AI65" s="19">
        <f t="shared" si="3"/>
        <v>0</v>
      </c>
      <c r="AK65" s="41"/>
    </row>
    <row r="66" spans="1:37" x14ac:dyDescent="0.25">
      <c r="A66" s="95" t="s">
        <v>171</v>
      </c>
      <c r="B66" s="103">
        <v>4</v>
      </c>
      <c r="C66" s="103">
        <v>4</v>
      </c>
      <c r="D66" s="103">
        <v>0</v>
      </c>
      <c r="E66" s="103">
        <v>0</v>
      </c>
      <c r="F66" s="103">
        <v>0</v>
      </c>
      <c r="G66" s="103">
        <v>0</v>
      </c>
      <c r="H66" s="103">
        <v>0</v>
      </c>
      <c r="I66" s="103">
        <v>0</v>
      </c>
      <c r="J66" s="103">
        <v>0</v>
      </c>
      <c r="K66" s="103">
        <v>0</v>
      </c>
      <c r="L66" s="103">
        <v>0</v>
      </c>
      <c r="M66" s="103">
        <v>0</v>
      </c>
      <c r="N66" s="103">
        <v>0</v>
      </c>
      <c r="O66" s="103">
        <v>0</v>
      </c>
      <c r="P66" s="103">
        <v>0</v>
      </c>
      <c r="Q66" s="103">
        <v>0</v>
      </c>
      <c r="R66" s="103">
        <v>0</v>
      </c>
      <c r="S66" s="103">
        <v>0</v>
      </c>
      <c r="T66" s="103">
        <v>0</v>
      </c>
      <c r="U66" s="103">
        <v>0</v>
      </c>
      <c r="V66" s="103">
        <v>0</v>
      </c>
      <c r="W66" s="103">
        <v>0</v>
      </c>
      <c r="X66" s="103">
        <v>0</v>
      </c>
      <c r="Y66" s="103">
        <v>0</v>
      </c>
      <c r="Z66" s="103">
        <v>0</v>
      </c>
      <c r="AA66" s="103">
        <v>0</v>
      </c>
      <c r="AB66" s="103">
        <v>0</v>
      </c>
      <c r="AC66" s="103">
        <v>0</v>
      </c>
      <c r="AD66" s="103">
        <v>0</v>
      </c>
      <c r="AE66" s="103">
        <v>0</v>
      </c>
      <c r="AF66" s="103"/>
      <c r="AG66" s="102"/>
      <c r="AH66" s="20">
        <f t="shared" si="2"/>
        <v>4</v>
      </c>
      <c r="AI66" s="19">
        <f t="shared" si="3"/>
        <v>0</v>
      </c>
      <c r="AK66" s="41"/>
    </row>
    <row r="67" spans="1:37" x14ac:dyDescent="0.25">
      <c r="A67" s="95" t="s">
        <v>170</v>
      </c>
      <c r="B67" s="103">
        <v>0</v>
      </c>
      <c r="C67" s="103">
        <v>0</v>
      </c>
      <c r="D67" s="103">
        <v>0</v>
      </c>
      <c r="E67" s="103">
        <v>0</v>
      </c>
      <c r="F67" s="103">
        <v>0</v>
      </c>
      <c r="G67" s="103">
        <v>0</v>
      </c>
      <c r="H67" s="103">
        <v>0</v>
      </c>
      <c r="I67" s="103">
        <v>0</v>
      </c>
      <c r="J67" s="103">
        <v>0</v>
      </c>
      <c r="K67" s="103">
        <v>0</v>
      </c>
      <c r="L67" s="103">
        <v>0</v>
      </c>
      <c r="M67" s="103">
        <v>0</v>
      </c>
      <c r="N67" s="103">
        <v>0</v>
      </c>
      <c r="O67" s="103">
        <v>0</v>
      </c>
      <c r="P67" s="103">
        <v>0</v>
      </c>
      <c r="Q67" s="103">
        <v>0</v>
      </c>
      <c r="R67" s="103">
        <v>0</v>
      </c>
      <c r="S67" s="103">
        <v>0</v>
      </c>
      <c r="T67" s="103">
        <v>0</v>
      </c>
      <c r="U67" s="103">
        <v>0</v>
      </c>
      <c r="V67" s="103">
        <v>0</v>
      </c>
      <c r="W67" s="103">
        <v>0</v>
      </c>
      <c r="X67" s="103">
        <v>0</v>
      </c>
      <c r="Y67" s="103">
        <v>0</v>
      </c>
      <c r="Z67" s="103">
        <v>0</v>
      </c>
      <c r="AA67" s="103">
        <v>0</v>
      </c>
      <c r="AB67" s="103">
        <v>0</v>
      </c>
      <c r="AC67" s="103">
        <v>0</v>
      </c>
      <c r="AD67" s="103">
        <v>0</v>
      </c>
      <c r="AE67" s="103">
        <v>0</v>
      </c>
      <c r="AF67" s="103"/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169</v>
      </c>
      <c r="B68" s="93">
        <v>0</v>
      </c>
      <c r="C68" s="93">
        <v>0</v>
      </c>
      <c r="D68" s="93">
        <v>0</v>
      </c>
      <c r="E68" s="93">
        <v>0</v>
      </c>
      <c r="F68" s="93">
        <v>0</v>
      </c>
      <c r="G68" s="93">
        <v>0</v>
      </c>
      <c r="H68" s="93">
        <v>0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0</v>
      </c>
      <c r="X68" s="93">
        <v>0</v>
      </c>
      <c r="Y68" s="93">
        <v>0</v>
      </c>
      <c r="Z68" s="93">
        <v>0</v>
      </c>
      <c r="AA68" s="93">
        <v>0</v>
      </c>
      <c r="AB68" s="93">
        <v>0</v>
      </c>
      <c r="AC68" s="93">
        <v>0</v>
      </c>
      <c r="AD68" s="93">
        <v>0</v>
      </c>
      <c r="AE68" s="93">
        <v>0</v>
      </c>
      <c r="AF68" s="93"/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168</v>
      </c>
      <c r="B69" s="93">
        <v>0</v>
      </c>
      <c r="C69" s="93">
        <v>0</v>
      </c>
      <c r="D69" s="93">
        <v>0</v>
      </c>
      <c r="E69" s="93">
        <v>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  <c r="AA69" s="93">
        <v>0</v>
      </c>
      <c r="AB69" s="93">
        <v>0</v>
      </c>
      <c r="AC69" s="93">
        <v>0</v>
      </c>
      <c r="AD69" s="93">
        <v>0</v>
      </c>
      <c r="AE69" s="93">
        <v>0</v>
      </c>
      <c r="AF69" s="93"/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1" t="s">
        <v>167</v>
      </c>
      <c r="B70" s="90">
        <v>0</v>
      </c>
      <c r="C70" s="90">
        <v>0</v>
      </c>
      <c r="D70" s="90">
        <v>0</v>
      </c>
      <c r="E70" s="90">
        <v>0</v>
      </c>
      <c r="F70" s="90">
        <v>0</v>
      </c>
      <c r="G70" s="90">
        <v>0</v>
      </c>
      <c r="H70" s="90">
        <v>0</v>
      </c>
      <c r="I70" s="90">
        <v>0</v>
      </c>
      <c r="J70" s="90">
        <v>0</v>
      </c>
      <c r="K70" s="90">
        <v>0</v>
      </c>
      <c r="L70" s="90">
        <v>0</v>
      </c>
      <c r="M70" s="90">
        <v>0</v>
      </c>
      <c r="N70" s="90">
        <v>0</v>
      </c>
      <c r="O70" s="90">
        <v>0</v>
      </c>
      <c r="P70" s="90">
        <v>0</v>
      </c>
      <c r="Q70" s="90">
        <v>0</v>
      </c>
      <c r="R70" s="90">
        <v>0</v>
      </c>
      <c r="S70" s="90">
        <v>0</v>
      </c>
      <c r="T70" s="90">
        <v>0</v>
      </c>
      <c r="U70" s="90">
        <v>0</v>
      </c>
      <c r="V70" s="90">
        <v>0</v>
      </c>
      <c r="W70" s="90">
        <v>0</v>
      </c>
      <c r="X70" s="90">
        <v>0</v>
      </c>
      <c r="Y70" s="90">
        <v>0</v>
      </c>
      <c r="Z70" s="90">
        <v>0</v>
      </c>
      <c r="AA70" s="90">
        <v>0</v>
      </c>
      <c r="AB70" s="90">
        <v>0</v>
      </c>
      <c r="AC70" s="90">
        <v>0</v>
      </c>
      <c r="AD70" s="90">
        <v>0</v>
      </c>
      <c r="AE70" s="90">
        <v>0</v>
      </c>
      <c r="AF70" s="90"/>
      <c r="AG70" s="89"/>
      <c r="AH70" s="20">
        <f t="shared" si="2"/>
        <v>0</v>
      </c>
      <c r="AI70" s="19">
        <f t="shared" si="3"/>
        <v>0</v>
      </c>
      <c r="AK70" s="41"/>
    </row>
    <row r="71" spans="1:37" ht="15.75" thickBot="1" x14ac:dyDescent="0.3">
      <c r="A71" s="91" t="s">
        <v>166</v>
      </c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  <c r="AA71" s="90">
        <v>0</v>
      </c>
      <c r="AB71" s="90">
        <v>0</v>
      </c>
      <c r="AC71" s="90">
        <v>0</v>
      </c>
      <c r="AD71" s="90">
        <v>0</v>
      </c>
      <c r="AE71" s="90">
        <v>0</v>
      </c>
      <c r="AF71" s="90"/>
      <c r="AG71" s="89"/>
      <c r="AH71" s="20">
        <f t="shared" si="2"/>
        <v>0</v>
      </c>
      <c r="AI71" s="19">
        <f t="shared" si="3"/>
        <v>0</v>
      </c>
      <c r="AK71" s="41"/>
    </row>
    <row r="72" spans="1:37" ht="15.75" thickBot="1" x14ac:dyDescent="0.3">
      <c r="A72" s="87" t="s">
        <v>165</v>
      </c>
      <c r="B72" s="86">
        <f>SUMIF(B61:B71,"&gt;0")</f>
        <v>4</v>
      </c>
      <c r="C72" s="86">
        <f t="shared" ref="C72:AF72" si="8">SUMIF(C61:C71,"&gt;0")</f>
        <v>4</v>
      </c>
      <c r="D72" s="86">
        <f t="shared" si="8"/>
        <v>0</v>
      </c>
      <c r="E72" s="86">
        <f t="shared" si="8"/>
        <v>0</v>
      </c>
      <c r="F72" s="86">
        <f t="shared" si="8"/>
        <v>0</v>
      </c>
      <c r="G72" s="86">
        <f t="shared" si="8"/>
        <v>0</v>
      </c>
      <c r="H72" s="86">
        <f t="shared" si="8"/>
        <v>0</v>
      </c>
      <c r="I72" s="86">
        <f t="shared" si="8"/>
        <v>0</v>
      </c>
      <c r="J72" s="86">
        <f t="shared" si="8"/>
        <v>0</v>
      </c>
      <c r="K72" s="86">
        <f t="shared" si="8"/>
        <v>10</v>
      </c>
      <c r="L72" s="86">
        <f t="shared" si="8"/>
        <v>0</v>
      </c>
      <c r="M72" s="86">
        <f t="shared" si="8"/>
        <v>40.200000000000003</v>
      </c>
      <c r="N72" s="86">
        <f t="shared" si="8"/>
        <v>0</v>
      </c>
      <c r="O72" s="86">
        <f t="shared" si="8"/>
        <v>0</v>
      </c>
      <c r="P72" s="86">
        <f t="shared" si="8"/>
        <v>0</v>
      </c>
      <c r="Q72" s="86">
        <f t="shared" si="8"/>
        <v>0</v>
      </c>
      <c r="R72" s="86">
        <f t="shared" si="8"/>
        <v>0</v>
      </c>
      <c r="S72" s="86">
        <f t="shared" si="8"/>
        <v>14</v>
      </c>
      <c r="T72" s="86">
        <f t="shared" si="8"/>
        <v>11</v>
      </c>
      <c r="U72" s="86">
        <f t="shared" si="8"/>
        <v>12</v>
      </c>
      <c r="V72" s="86">
        <f t="shared" si="8"/>
        <v>15</v>
      </c>
      <c r="W72" s="86">
        <f t="shared" si="8"/>
        <v>15</v>
      </c>
      <c r="X72" s="86">
        <f t="shared" si="8"/>
        <v>17</v>
      </c>
      <c r="Y72" s="86">
        <f t="shared" si="8"/>
        <v>31</v>
      </c>
      <c r="Z72" s="86">
        <f t="shared" si="8"/>
        <v>44</v>
      </c>
      <c r="AA72" s="86">
        <f t="shared" si="8"/>
        <v>48</v>
      </c>
      <c r="AB72" s="86">
        <f t="shared" si="8"/>
        <v>49.9</v>
      </c>
      <c r="AC72" s="86">
        <f t="shared" si="8"/>
        <v>50.1</v>
      </c>
      <c r="AD72" s="86">
        <f t="shared" si="8"/>
        <v>52.8</v>
      </c>
      <c r="AE72" s="86">
        <f t="shared" si="8"/>
        <v>9.4</v>
      </c>
      <c r="AF72" s="86">
        <f t="shared" si="8"/>
        <v>0</v>
      </c>
      <c r="AG72" s="85">
        <f>SUM(AG61:AG71)</f>
        <v>0</v>
      </c>
      <c r="AH72" s="20">
        <f t="shared" si="2"/>
        <v>52.8</v>
      </c>
      <c r="AI72" s="19">
        <f t="shared" si="3"/>
        <v>0</v>
      </c>
      <c r="AK72" s="41"/>
    </row>
    <row r="73" spans="1:37" x14ac:dyDescent="0.25">
      <c r="A73" s="97" t="s">
        <v>164</v>
      </c>
      <c r="B73" s="93">
        <v>0</v>
      </c>
      <c r="C73" s="93">
        <v>0</v>
      </c>
      <c r="D73" s="93">
        <v>0</v>
      </c>
      <c r="E73" s="93">
        <v>0</v>
      </c>
      <c r="F73" s="93">
        <v>0</v>
      </c>
      <c r="G73" s="93">
        <v>0</v>
      </c>
      <c r="H73" s="93">
        <v>0</v>
      </c>
      <c r="I73" s="93">
        <v>0</v>
      </c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0</v>
      </c>
      <c r="X73" s="93">
        <v>0</v>
      </c>
      <c r="Y73" s="93">
        <v>0</v>
      </c>
      <c r="Z73" s="93">
        <v>0</v>
      </c>
      <c r="AA73" s="93">
        <v>0</v>
      </c>
      <c r="AB73" s="93">
        <v>0</v>
      </c>
      <c r="AC73" s="93">
        <v>0</v>
      </c>
      <c r="AD73" s="93">
        <v>0</v>
      </c>
      <c r="AE73" s="93">
        <v>0</v>
      </c>
      <c r="AF73" s="93">
        <v>0</v>
      </c>
      <c r="AG73" s="104">
        <v>39</v>
      </c>
      <c r="AH73" s="20">
        <f t="shared" si="2"/>
        <v>0</v>
      </c>
      <c r="AI73" s="19">
        <f t="shared" si="3"/>
        <v>0</v>
      </c>
      <c r="AK73" s="41"/>
    </row>
    <row r="74" spans="1:37" x14ac:dyDescent="0.25">
      <c r="A74" s="95" t="s">
        <v>163</v>
      </c>
      <c r="B74" s="103">
        <v>0</v>
      </c>
      <c r="C74" s="103">
        <v>0</v>
      </c>
      <c r="D74" s="103">
        <v>0</v>
      </c>
      <c r="E74" s="103">
        <v>0</v>
      </c>
      <c r="F74" s="103">
        <v>0</v>
      </c>
      <c r="G74" s="103">
        <v>0</v>
      </c>
      <c r="H74" s="103">
        <v>0</v>
      </c>
      <c r="I74" s="103">
        <v>0</v>
      </c>
      <c r="J74" s="103">
        <v>0</v>
      </c>
      <c r="K74" s="103">
        <v>0</v>
      </c>
      <c r="L74" s="103">
        <v>0</v>
      </c>
      <c r="M74" s="103">
        <v>0</v>
      </c>
      <c r="N74" s="103">
        <v>0</v>
      </c>
      <c r="O74" s="103">
        <v>0</v>
      </c>
      <c r="P74" s="103">
        <v>0</v>
      </c>
      <c r="Q74" s="103">
        <v>0</v>
      </c>
      <c r="R74" s="103">
        <v>0</v>
      </c>
      <c r="S74" s="103">
        <v>0</v>
      </c>
      <c r="T74" s="103">
        <v>0</v>
      </c>
      <c r="U74" s="103">
        <v>0</v>
      </c>
      <c r="V74" s="103">
        <v>0</v>
      </c>
      <c r="W74" s="103">
        <v>0</v>
      </c>
      <c r="X74" s="103">
        <v>0</v>
      </c>
      <c r="Y74" s="103">
        <v>0</v>
      </c>
      <c r="Z74" s="103">
        <v>0</v>
      </c>
      <c r="AA74" s="103">
        <v>0</v>
      </c>
      <c r="AB74" s="103">
        <v>0</v>
      </c>
      <c r="AC74" s="103">
        <v>0</v>
      </c>
      <c r="AD74" s="103">
        <v>0</v>
      </c>
      <c r="AE74" s="103">
        <v>0</v>
      </c>
      <c r="AF74" s="103">
        <v>0</v>
      </c>
      <c r="AG74" s="102">
        <v>14.4</v>
      </c>
      <c r="AH74" s="20">
        <f t="shared" si="2"/>
        <v>0</v>
      </c>
      <c r="AI74" s="19">
        <f t="shared" si="3"/>
        <v>0</v>
      </c>
      <c r="AK74" s="41"/>
    </row>
    <row r="75" spans="1:37" ht="15.75" thickBot="1" x14ac:dyDescent="0.3">
      <c r="A75" s="91" t="s">
        <v>162</v>
      </c>
      <c r="B75" s="90">
        <v>0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0">
        <v>0</v>
      </c>
      <c r="AG75" s="89">
        <v>2</v>
      </c>
      <c r="AH75" s="20">
        <f t="shared" ref="AH75:AH97" si="9">MAX(B75:AF75)</f>
        <v>0</v>
      </c>
      <c r="AI75" s="19">
        <f>MIN(B75:AF75)</f>
        <v>0</v>
      </c>
    </row>
    <row r="76" spans="1:37" ht="15.75" thickBot="1" x14ac:dyDescent="0.3">
      <c r="A76" s="87" t="s">
        <v>161</v>
      </c>
      <c r="B76" s="86">
        <v>0</v>
      </c>
      <c r="C76" s="86">
        <v>0</v>
      </c>
      <c r="D76" s="86">
        <v>0</v>
      </c>
      <c r="E76" s="86">
        <v>0</v>
      </c>
      <c r="F76" s="86">
        <v>0</v>
      </c>
      <c r="G76" s="86">
        <v>0</v>
      </c>
      <c r="H76" s="86">
        <v>0</v>
      </c>
      <c r="I76" s="86">
        <v>0</v>
      </c>
      <c r="J76" s="86">
        <v>0</v>
      </c>
      <c r="K76" s="86">
        <v>0</v>
      </c>
      <c r="L76" s="86">
        <v>0</v>
      </c>
      <c r="M76" s="86">
        <v>0</v>
      </c>
      <c r="N76" s="86">
        <v>0</v>
      </c>
      <c r="O76" s="86">
        <v>0</v>
      </c>
      <c r="P76" s="86">
        <v>0</v>
      </c>
      <c r="Q76" s="86">
        <v>0</v>
      </c>
      <c r="R76" s="86">
        <v>0</v>
      </c>
      <c r="S76" s="86">
        <v>0</v>
      </c>
      <c r="T76" s="86">
        <v>0</v>
      </c>
      <c r="U76" s="86">
        <v>0</v>
      </c>
      <c r="V76" s="86">
        <v>0</v>
      </c>
      <c r="W76" s="86">
        <v>0</v>
      </c>
      <c r="X76" s="86">
        <v>0</v>
      </c>
      <c r="Y76" s="86">
        <v>0</v>
      </c>
      <c r="Z76" s="86">
        <v>0</v>
      </c>
      <c r="AA76" s="86">
        <v>0</v>
      </c>
      <c r="AB76" s="86">
        <v>0</v>
      </c>
      <c r="AC76" s="86">
        <v>0</v>
      </c>
      <c r="AD76" s="86">
        <v>0</v>
      </c>
      <c r="AE76" s="86">
        <v>0</v>
      </c>
      <c r="AF76" s="86">
        <v>0</v>
      </c>
      <c r="AG76" s="85">
        <f>SUM(AG73:AG75)</f>
        <v>55.4</v>
      </c>
      <c r="AH76" s="20">
        <f t="shared" si="9"/>
        <v>0</v>
      </c>
      <c r="AI76" s="19">
        <f>MIN(B76:AF76)</f>
        <v>0</v>
      </c>
    </row>
    <row r="77" spans="1:37" ht="15.75" thickBot="1" x14ac:dyDescent="0.3">
      <c r="A77" s="87" t="s">
        <v>160</v>
      </c>
      <c r="B77" s="98">
        <f>B38+B42+B60+B56+B72+B76</f>
        <v>1740.94</v>
      </c>
      <c r="C77" s="98">
        <f t="shared" ref="C77:AG77" si="10">C38+C42+C60+C56+C72+C76</f>
        <v>1732.3400000000001</v>
      </c>
      <c r="D77" s="98">
        <f t="shared" si="10"/>
        <v>1702.3400000000001</v>
      </c>
      <c r="E77" s="98">
        <f t="shared" si="10"/>
        <v>1666.04</v>
      </c>
      <c r="F77" s="98">
        <f t="shared" si="10"/>
        <v>1671.04</v>
      </c>
      <c r="G77" s="98">
        <f t="shared" si="10"/>
        <v>1594.54</v>
      </c>
      <c r="H77" s="98">
        <f t="shared" si="10"/>
        <v>1654.54</v>
      </c>
      <c r="I77" s="98">
        <f t="shared" si="10"/>
        <v>1635.8400000000001</v>
      </c>
      <c r="J77" s="98">
        <f t="shared" si="10"/>
        <v>1701.8400000000001</v>
      </c>
      <c r="K77" s="98">
        <f t="shared" si="10"/>
        <v>1718.14</v>
      </c>
      <c r="L77" s="98">
        <f t="shared" si="10"/>
        <v>1716.04</v>
      </c>
      <c r="M77" s="98">
        <f t="shared" si="10"/>
        <v>1763.14</v>
      </c>
      <c r="N77" s="98">
        <f t="shared" si="10"/>
        <v>1727.14</v>
      </c>
      <c r="O77" s="98">
        <f t="shared" si="10"/>
        <v>1744.34</v>
      </c>
      <c r="P77" s="98">
        <f t="shared" si="10"/>
        <v>1763.04</v>
      </c>
      <c r="Q77" s="98">
        <f t="shared" si="10"/>
        <v>1763.04</v>
      </c>
      <c r="R77" s="98">
        <f t="shared" si="10"/>
        <v>1762.04</v>
      </c>
      <c r="S77" s="98">
        <f t="shared" si="10"/>
        <v>1772.5400000000002</v>
      </c>
      <c r="T77" s="98">
        <f t="shared" si="10"/>
        <v>1779.04</v>
      </c>
      <c r="U77" s="98">
        <f t="shared" si="10"/>
        <v>1785.04</v>
      </c>
      <c r="V77" s="98">
        <f t="shared" si="10"/>
        <v>1793.04</v>
      </c>
      <c r="W77" s="98">
        <f t="shared" si="10"/>
        <v>1793.04</v>
      </c>
      <c r="X77" s="98">
        <f t="shared" si="10"/>
        <v>1795.04</v>
      </c>
      <c r="Y77" s="98">
        <f t="shared" si="10"/>
        <v>1814.04</v>
      </c>
      <c r="Z77" s="98">
        <f t="shared" si="10"/>
        <v>1861.04</v>
      </c>
      <c r="AA77" s="98">
        <f t="shared" si="10"/>
        <v>1821.04</v>
      </c>
      <c r="AB77" s="98">
        <f t="shared" si="10"/>
        <v>1848.1399999999999</v>
      </c>
      <c r="AC77" s="98">
        <f t="shared" si="10"/>
        <v>1848.2399999999998</v>
      </c>
      <c r="AD77" s="98">
        <f t="shared" si="10"/>
        <v>1847.34</v>
      </c>
      <c r="AE77" s="98">
        <f t="shared" si="10"/>
        <v>1789.94</v>
      </c>
      <c r="AF77" s="98">
        <f t="shared" si="10"/>
        <v>3.54</v>
      </c>
      <c r="AG77" s="101">
        <f t="shared" si="10"/>
        <v>1855.1900000000003</v>
      </c>
      <c r="AH77" s="20">
        <f t="shared" si="9"/>
        <v>1861.04</v>
      </c>
      <c r="AI77" s="19">
        <f>MIN(B77:AF77)</f>
        <v>3.54</v>
      </c>
    </row>
    <row r="78" spans="1:37" ht="15.75" thickBot="1" x14ac:dyDescent="0.3">
      <c r="A78" s="100" t="s">
        <v>159</v>
      </c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85"/>
      <c r="AH78" s="20">
        <f t="shared" si="9"/>
        <v>0</v>
      </c>
      <c r="AI78" s="19">
        <f>MIN(B78:AF78)</f>
        <v>0</v>
      </c>
    </row>
    <row r="79" spans="1:37" ht="15.75" thickBot="1" x14ac:dyDescent="0.3">
      <c r="A79" s="87" t="s">
        <v>158</v>
      </c>
      <c r="B79" s="98">
        <f>B77+B78</f>
        <v>1740.94</v>
      </c>
      <c r="C79" s="98">
        <f t="shared" ref="C79:AF79" si="11">C77+C78</f>
        <v>1732.3400000000001</v>
      </c>
      <c r="D79" s="98">
        <f t="shared" si="11"/>
        <v>1702.3400000000001</v>
      </c>
      <c r="E79" s="98">
        <f t="shared" si="11"/>
        <v>1666.04</v>
      </c>
      <c r="F79" s="98">
        <f t="shared" si="11"/>
        <v>1671.04</v>
      </c>
      <c r="G79" s="98">
        <f t="shared" si="11"/>
        <v>1594.54</v>
      </c>
      <c r="H79" s="98">
        <f t="shared" si="11"/>
        <v>1654.54</v>
      </c>
      <c r="I79" s="98">
        <f t="shared" si="11"/>
        <v>1635.8400000000001</v>
      </c>
      <c r="J79" s="98">
        <f t="shared" si="11"/>
        <v>1701.8400000000001</v>
      </c>
      <c r="K79" s="98">
        <f t="shared" si="11"/>
        <v>1718.14</v>
      </c>
      <c r="L79" s="98">
        <f t="shared" si="11"/>
        <v>1716.04</v>
      </c>
      <c r="M79" s="98">
        <f t="shared" si="11"/>
        <v>1763.14</v>
      </c>
      <c r="N79" s="98">
        <f t="shared" si="11"/>
        <v>1727.14</v>
      </c>
      <c r="O79" s="98">
        <f t="shared" si="11"/>
        <v>1744.34</v>
      </c>
      <c r="P79" s="98">
        <f t="shared" si="11"/>
        <v>1763.04</v>
      </c>
      <c r="Q79" s="98">
        <f t="shared" si="11"/>
        <v>1763.04</v>
      </c>
      <c r="R79" s="98">
        <f t="shared" si="11"/>
        <v>1762.04</v>
      </c>
      <c r="S79" s="98">
        <f t="shared" si="11"/>
        <v>1772.5400000000002</v>
      </c>
      <c r="T79" s="98">
        <f t="shared" si="11"/>
        <v>1779.04</v>
      </c>
      <c r="U79" s="98">
        <f t="shared" si="11"/>
        <v>1785.04</v>
      </c>
      <c r="V79" s="98">
        <f t="shared" si="11"/>
        <v>1793.04</v>
      </c>
      <c r="W79" s="98">
        <f t="shared" si="11"/>
        <v>1793.04</v>
      </c>
      <c r="X79" s="98">
        <f t="shared" si="11"/>
        <v>1795.04</v>
      </c>
      <c r="Y79" s="98">
        <f t="shared" si="11"/>
        <v>1814.04</v>
      </c>
      <c r="Z79" s="98">
        <f t="shared" si="11"/>
        <v>1861.04</v>
      </c>
      <c r="AA79" s="98">
        <f t="shared" si="11"/>
        <v>1821.04</v>
      </c>
      <c r="AB79" s="98">
        <f t="shared" si="11"/>
        <v>1848.1399999999999</v>
      </c>
      <c r="AC79" s="98">
        <f t="shared" si="11"/>
        <v>1848.2399999999998</v>
      </c>
      <c r="AD79" s="98">
        <f t="shared" si="11"/>
        <v>1847.34</v>
      </c>
      <c r="AE79" s="98">
        <f t="shared" si="11"/>
        <v>1789.94</v>
      </c>
      <c r="AF79" s="98">
        <f t="shared" si="11"/>
        <v>3.54</v>
      </c>
      <c r="AG79" s="85">
        <f>AG76+AG72+AG60+AG56+AG38+AG78</f>
        <v>1317.0900000000001</v>
      </c>
      <c r="AH79" s="20">
        <f t="shared" si="9"/>
        <v>1861.04</v>
      </c>
      <c r="AI79" s="19">
        <f>MIN(B79:AF79)</f>
        <v>3.54</v>
      </c>
    </row>
    <row r="80" spans="1:37" ht="15.75" thickBot="1" x14ac:dyDescent="0.3">
      <c r="A80" s="87" t="s">
        <v>157</v>
      </c>
      <c r="B80" s="98">
        <f>B79-B87</f>
        <v>1310.74</v>
      </c>
      <c r="C80" s="98">
        <f t="shared" ref="C80:AF80" si="12">C79-C87</f>
        <v>1302.6400000000001</v>
      </c>
      <c r="D80" s="98">
        <f t="shared" si="12"/>
        <v>1287.3400000000001</v>
      </c>
      <c r="E80" s="98">
        <f t="shared" si="12"/>
        <v>1256.04</v>
      </c>
      <c r="F80" s="98">
        <f t="shared" si="12"/>
        <v>1241.04</v>
      </c>
      <c r="G80" s="98">
        <f t="shared" si="12"/>
        <v>1222.54</v>
      </c>
      <c r="H80" s="98">
        <f t="shared" si="12"/>
        <v>1232.54</v>
      </c>
      <c r="I80" s="98">
        <f t="shared" si="12"/>
        <v>1245.8400000000001</v>
      </c>
      <c r="J80" s="98">
        <f t="shared" si="12"/>
        <v>1291.8400000000001</v>
      </c>
      <c r="K80" s="98">
        <f t="shared" si="12"/>
        <v>1356.14</v>
      </c>
      <c r="L80" s="98">
        <f t="shared" si="12"/>
        <v>1348.04</v>
      </c>
      <c r="M80" s="98">
        <f t="shared" si="12"/>
        <v>1377.3400000000001</v>
      </c>
      <c r="N80" s="98">
        <f t="shared" si="12"/>
        <v>1338.14</v>
      </c>
      <c r="O80" s="98">
        <f t="shared" si="12"/>
        <v>1349.6399999999999</v>
      </c>
      <c r="P80" s="98">
        <f t="shared" si="12"/>
        <v>1358.04</v>
      </c>
      <c r="Q80" s="98">
        <f t="shared" si="12"/>
        <v>1383.04</v>
      </c>
      <c r="R80" s="98">
        <f t="shared" si="12"/>
        <v>1395.04</v>
      </c>
      <c r="S80" s="98">
        <f t="shared" si="12"/>
        <v>1422.5400000000002</v>
      </c>
      <c r="T80" s="98">
        <f t="shared" si="12"/>
        <v>1436.04</v>
      </c>
      <c r="U80" s="98">
        <f t="shared" si="12"/>
        <v>1405.04</v>
      </c>
      <c r="V80" s="98">
        <f t="shared" si="12"/>
        <v>1390.04</v>
      </c>
      <c r="W80" s="98">
        <f t="shared" si="12"/>
        <v>1423.04</v>
      </c>
      <c r="X80" s="98">
        <f t="shared" si="12"/>
        <v>1435.04</v>
      </c>
      <c r="Y80" s="98">
        <f t="shared" si="12"/>
        <v>1591.04</v>
      </c>
      <c r="Z80" s="98">
        <f t="shared" si="12"/>
        <v>1605.04</v>
      </c>
      <c r="AA80" s="98">
        <f t="shared" si="12"/>
        <v>1586.04</v>
      </c>
      <c r="AB80" s="98">
        <f t="shared" si="12"/>
        <v>1558.34</v>
      </c>
      <c r="AC80" s="98">
        <f t="shared" si="12"/>
        <v>1543.0399999999997</v>
      </c>
      <c r="AD80" s="98">
        <f t="shared" si="12"/>
        <v>1504.84</v>
      </c>
      <c r="AE80" s="98">
        <f t="shared" si="12"/>
        <v>1415.44</v>
      </c>
      <c r="AF80" s="98">
        <f t="shared" si="12"/>
        <v>3.54</v>
      </c>
      <c r="AG80" s="85"/>
      <c r="AH80" s="20">
        <f t="shared" si="9"/>
        <v>1605.04</v>
      </c>
      <c r="AI80" s="19"/>
    </row>
    <row r="81" spans="1:37" x14ac:dyDescent="0.25">
      <c r="A81" s="97" t="s">
        <v>156</v>
      </c>
      <c r="B81" s="93">
        <f>IF(B64&lt;0,B64*-1,0)</f>
        <v>0</v>
      </c>
      <c r="C81" s="93">
        <f t="shared" ref="C81:AF81" si="13">IF(C64&lt;0,C64*-1,0)</f>
        <v>0</v>
      </c>
      <c r="D81" s="93">
        <f t="shared" si="13"/>
        <v>0</v>
      </c>
      <c r="E81" s="93">
        <f t="shared" si="13"/>
        <v>0</v>
      </c>
      <c r="F81" s="93">
        <f t="shared" si="13"/>
        <v>0</v>
      </c>
      <c r="G81" s="93">
        <f t="shared" si="13"/>
        <v>0</v>
      </c>
      <c r="H81" s="93">
        <f t="shared" si="13"/>
        <v>0</v>
      </c>
      <c r="I81" s="93">
        <f t="shared" si="13"/>
        <v>0</v>
      </c>
      <c r="J81" s="93">
        <f t="shared" si="13"/>
        <v>0</v>
      </c>
      <c r="K81" s="93">
        <f t="shared" si="13"/>
        <v>0</v>
      </c>
      <c r="L81" s="93">
        <f t="shared" si="13"/>
        <v>0</v>
      </c>
      <c r="M81" s="93">
        <f t="shared" si="13"/>
        <v>0</v>
      </c>
      <c r="N81" s="93">
        <f t="shared" si="13"/>
        <v>0</v>
      </c>
      <c r="O81" s="93">
        <f t="shared" si="13"/>
        <v>0</v>
      </c>
      <c r="P81" s="93">
        <f t="shared" si="13"/>
        <v>0</v>
      </c>
      <c r="Q81" s="93">
        <f t="shared" si="13"/>
        <v>0</v>
      </c>
      <c r="R81" s="93">
        <f t="shared" si="13"/>
        <v>0</v>
      </c>
      <c r="S81" s="93">
        <f t="shared" si="13"/>
        <v>0</v>
      </c>
      <c r="T81" s="93">
        <f t="shared" si="13"/>
        <v>0</v>
      </c>
      <c r="U81" s="93">
        <f t="shared" si="13"/>
        <v>0</v>
      </c>
      <c r="V81" s="93">
        <f t="shared" si="13"/>
        <v>0</v>
      </c>
      <c r="W81" s="93">
        <f t="shared" si="13"/>
        <v>0</v>
      </c>
      <c r="X81" s="93">
        <f t="shared" si="13"/>
        <v>0</v>
      </c>
      <c r="Y81" s="93">
        <f t="shared" si="13"/>
        <v>0</v>
      </c>
      <c r="Z81" s="93">
        <f t="shared" si="13"/>
        <v>0</v>
      </c>
      <c r="AA81" s="93">
        <f t="shared" si="13"/>
        <v>0</v>
      </c>
      <c r="AB81" s="93">
        <f t="shared" si="13"/>
        <v>0</v>
      </c>
      <c r="AC81" s="93">
        <f t="shared" si="13"/>
        <v>0</v>
      </c>
      <c r="AD81" s="93">
        <f t="shared" si="13"/>
        <v>0</v>
      </c>
      <c r="AE81" s="93">
        <f t="shared" si="13"/>
        <v>0</v>
      </c>
      <c r="AF81" s="93">
        <f t="shared" si="13"/>
        <v>0</v>
      </c>
      <c r="AG81" s="96"/>
      <c r="AH81" s="20">
        <f t="shared" si="9"/>
        <v>0</v>
      </c>
      <c r="AI81" s="19">
        <f t="shared" ref="AI81:AI97" si="14">MIN(B81:AF81)</f>
        <v>0</v>
      </c>
    </row>
    <row r="82" spans="1:37" x14ac:dyDescent="0.25">
      <c r="A82" s="95" t="s">
        <v>155</v>
      </c>
      <c r="B82" s="93">
        <f>IF(B62&lt;0,B62*-1,0)</f>
        <v>0</v>
      </c>
      <c r="C82" s="93">
        <f t="shared" ref="C82:AF82" si="15">IF(C62&lt;0,C62*-1,0)</f>
        <v>0</v>
      </c>
      <c r="D82" s="93">
        <f t="shared" si="15"/>
        <v>0</v>
      </c>
      <c r="E82" s="93">
        <f t="shared" si="15"/>
        <v>0</v>
      </c>
      <c r="F82" s="93">
        <f t="shared" si="15"/>
        <v>0</v>
      </c>
      <c r="G82" s="93">
        <f t="shared" si="15"/>
        <v>0</v>
      </c>
      <c r="H82" s="93">
        <f t="shared" si="15"/>
        <v>0</v>
      </c>
      <c r="I82" s="93">
        <f t="shared" si="15"/>
        <v>0</v>
      </c>
      <c r="J82" s="93">
        <f t="shared" si="15"/>
        <v>0</v>
      </c>
      <c r="K82" s="93">
        <f t="shared" si="15"/>
        <v>0</v>
      </c>
      <c r="L82" s="93">
        <f t="shared" si="15"/>
        <v>0</v>
      </c>
      <c r="M82" s="93">
        <f t="shared" si="15"/>
        <v>0</v>
      </c>
      <c r="N82" s="93">
        <f t="shared" si="15"/>
        <v>0</v>
      </c>
      <c r="O82" s="93">
        <f t="shared" si="15"/>
        <v>0</v>
      </c>
      <c r="P82" s="93">
        <f t="shared" si="15"/>
        <v>0</v>
      </c>
      <c r="Q82" s="93">
        <f t="shared" si="15"/>
        <v>0</v>
      </c>
      <c r="R82" s="93">
        <f t="shared" si="15"/>
        <v>0</v>
      </c>
      <c r="S82" s="93">
        <f t="shared" si="15"/>
        <v>0</v>
      </c>
      <c r="T82" s="93">
        <f t="shared" si="15"/>
        <v>0</v>
      </c>
      <c r="U82" s="93">
        <f t="shared" si="15"/>
        <v>0</v>
      </c>
      <c r="V82" s="93">
        <f t="shared" si="15"/>
        <v>0</v>
      </c>
      <c r="W82" s="93">
        <f t="shared" si="15"/>
        <v>0</v>
      </c>
      <c r="X82" s="93">
        <f t="shared" si="15"/>
        <v>0</v>
      </c>
      <c r="Y82" s="93">
        <f t="shared" si="15"/>
        <v>0</v>
      </c>
      <c r="Z82" s="93">
        <f t="shared" si="15"/>
        <v>0</v>
      </c>
      <c r="AA82" s="93">
        <f t="shared" si="15"/>
        <v>0</v>
      </c>
      <c r="AB82" s="93">
        <f t="shared" si="15"/>
        <v>0</v>
      </c>
      <c r="AC82" s="93">
        <f t="shared" si="15"/>
        <v>0</v>
      </c>
      <c r="AD82" s="93">
        <f t="shared" si="15"/>
        <v>0</v>
      </c>
      <c r="AE82" s="93">
        <f t="shared" si="15"/>
        <v>0</v>
      </c>
      <c r="AF82" s="93">
        <f t="shared" si="15"/>
        <v>0</v>
      </c>
      <c r="AG82" s="94"/>
      <c r="AH82" s="20">
        <f t="shared" si="9"/>
        <v>0</v>
      </c>
      <c r="AI82" s="19">
        <f t="shared" si="14"/>
        <v>0</v>
      </c>
    </row>
    <row r="83" spans="1:37" x14ac:dyDescent="0.25">
      <c r="A83" s="91" t="s">
        <v>154</v>
      </c>
      <c r="B83" s="93">
        <f>IF(B65&lt;0,B65*-1,0)</f>
        <v>0</v>
      </c>
      <c r="C83" s="93">
        <f t="shared" ref="C83:AF83" si="16">IF(C65&lt;0,C65*-1,0)</f>
        <v>0</v>
      </c>
      <c r="D83" s="93">
        <f t="shared" si="16"/>
        <v>0</v>
      </c>
      <c r="E83" s="93">
        <f t="shared" si="16"/>
        <v>0</v>
      </c>
      <c r="F83" s="93">
        <f t="shared" si="16"/>
        <v>0</v>
      </c>
      <c r="G83" s="93">
        <f t="shared" si="16"/>
        <v>0</v>
      </c>
      <c r="H83" s="93">
        <f t="shared" si="16"/>
        <v>0</v>
      </c>
      <c r="I83" s="93">
        <f t="shared" si="16"/>
        <v>0</v>
      </c>
      <c r="J83" s="93">
        <f t="shared" si="16"/>
        <v>0</v>
      </c>
      <c r="K83" s="93">
        <f t="shared" si="16"/>
        <v>0</v>
      </c>
      <c r="L83" s="93">
        <f t="shared" si="16"/>
        <v>0</v>
      </c>
      <c r="M83" s="93">
        <f t="shared" si="16"/>
        <v>0</v>
      </c>
      <c r="N83" s="93">
        <f t="shared" si="16"/>
        <v>0</v>
      </c>
      <c r="O83" s="93">
        <f t="shared" si="16"/>
        <v>0</v>
      </c>
      <c r="P83" s="93">
        <f t="shared" si="16"/>
        <v>0</v>
      </c>
      <c r="Q83" s="93">
        <f t="shared" si="16"/>
        <v>0</v>
      </c>
      <c r="R83" s="93">
        <f t="shared" si="16"/>
        <v>0</v>
      </c>
      <c r="S83" s="93">
        <f t="shared" si="16"/>
        <v>0</v>
      </c>
      <c r="T83" s="93">
        <f t="shared" si="16"/>
        <v>0</v>
      </c>
      <c r="U83" s="93">
        <f t="shared" si="16"/>
        <v>0</v>
      </c>
      <c r="V83" s="93">
        <f t="shared" si="16"/>
        <v>0</v>
      </c>
      <c r="W83" s="93">
        <f t="shared" si="16"/>
        <v>0</v>
      </c>
      <c r="X83" s="93">
        <f t="shared" si="16"/>
        <v>0</v>
      </c>
      <c r="Y83" s="93">
        <f t="shared" si="16"/>
        <v>0</v>
      </c>
      <c r="Z83" s="93">
        <f t="shared" si="16"/>
        <v>0</v>
      </c>
      <c r="AA83" s="93">
        <f t="shared" si="16"/>
        <v>0</v>
      </c>
      <c r="AB83" s="93">
        <f t="shared" si="16"/>
        <v>0</v>
      </c>
      <c r="AC83" s="93">
        <f t="shared" si="16"/>
        <v>0</v>
      </c>
      <c r="AD83" s="93">
        <f t="shared" si="16"/>
        <v>0</v>
      </c>
      <c r="AE83" s="93">
        <f t="shared" si="16"/>
        <v>0</v>
      </c>
      <c r="AF83" s="93">
        <f t="shared" si="16"/>
        <v>0</v>
      </c>
      <c r="AG83" s="92"/>
      <c r="AH83" s="20">
        <f t="shared" si="9"/>
        <v>0</v>
      </c>
      <c r="AI83" s="19">
        <f t="shared" si="14"/>
        <v>0</v>
      </c>
    </row>
    <row r="84" spans="1:37" x14ac:dyDescent="0.25">
      <c r="A84" s="91" t="s">
        <v>153</v>
      </c>
      <c r="B84" s="93">
        <f>IF(B63&lt;0,B63*-1,0)</f>
        <v>430.2</v>
      </c>
      <c r="C84" s="93">
        <f t="shared" ref="C84:AF84" si="17">IF(C63&lt;0,C63*-1,0)</f>
        <v>429.7</v>
      </c>
      <c r="D84" s="93">
        <f t="shared" si="17"/>
        <v>415</v>
      </c>
      <c r="E84" s="93">
        <f t="shared" si="17"/>
        <v>410</v>
      </c>
      <c r="F84" s="93">
        <f t="shared" si="17"/>
        <v>430</v>
      </c>
      <c r="G84" s="93">
        <f t="shared" si="17"/>
        <v>372</v>
      </c>
      <c r="H84" s="93">
        <f t="shared" si="17"/>
        <v>422</v>
      </c>
      <c r="I84" s="93">
        <f t="shared" si="17"/>
        <v>390</v>
      </c>
      <c r="J84" s="93">
        <f t="shared" si="17"/>
        <v>410</v>
      </c>
      <c r="K84" s="93">
        <f t="shared" si="17"/>
        <v>362</v>
      </c>
      <c r="L84" s="93">
        <f t="shared" si="17"/>
        <v>368</v>
      </c>
      <c r="M84" s="93">
        <f t="shared" si="17"/>
        <v>385.8</v>
      </c>
      <c r="N84" s="93">
        <f t="shared" si="17"/>
        <v>389</v>
      </c>
      <c r="O84" s="93">
        <f t="shared" si="17"/>
        <v>394.7</v>
      </c>
      <c r="P84" s="93">
        <f t="shared" si="17"/>
        <v>405</v>
      </c>
      <c r="Q84" s="93">
        <f t="shared" si="17"/>
        <v>380</v>
      </c>
      <c r="R84" s="93">
        <f t="shared" si="17"/>
        <v>367</v>
      </c>
      <c r="S84" s="93">
        <f t="shared" si="17"/>
        <v>350</v>
      </c>
      <c r="T84" s="93">
        <f t="shared" si="17"/>
        <v>343</v>
      </c>
      <c r="U84" s="93">
        <f t="shared" si="17"/>
        <v>380</v>
      </c>
      <c r="V84" s="93">
        <f t="shared" si="17"/>
        <v>403</v>
      </c>
      <c r="W84" s="93">
        <f t="shared" si="17"/>
        <v>370</v>
      </c>
      <c r="X84" s="93">
        <f t="shared" si="17"/>
        <v>360</v>
      </c>
      <c r="Y84" s="93">
        <f t="shared" si="17"/>
        <v>223</v>
      </c>
      <c r="Z84" s="93">
        <f t="shared" si="17"/>
        <v>256</v>
      </c>
      <c r="AA84" s="93">
        <f t="shared" si="17"/>
        <v>235</v>
      </c>
      <c r="AB84" s="93">
        <f t="shared" si="17"/>
        <v>289.8</v>
      </c>
      <c r="AC84" s="93">
        <f t="shared" si="17"/>
        <v>305.2</v>
      </c>
      <c r="AD84" s="93">
        <f t="shared" si="17"/>
        <v>342.5</v>
      </c>
      <c r="AE84" s="93">
        <f t="shared" si="17"/>
        <v>374.5</v>
      </c>
      <c r="AF84" s="93">
        <f t="shared" si="17"/>
        <v>0</v>
      </c>
      <c r="AG84" s="92"/>
      <c r="AH84" s="20">
        <f t="shared" si="9"/>
        <v>430.2</v>
      </c>
      <c r="AI84" s="19">
        <f t="shared" si="14"/>
        <v>0</v>
      </c>
    </row>
    <row r="85" spans="1:37" x14ac:dyDescent="0.25">
      <c r="A85" s="91" t="s">
        <v>152</v>
      </c>
      <c r="B85" s="93">
        <f>IF(B61&lt;0,B61*-1,0)</f>
        <v>0</v>
      </c>
      <c r="C85" s="93">
        <f t="shared" ref="C85:AF85" si="18">IF(C61&lt;0,C61*-1,0)</f>
        <v>0</v>
      </c>
      <c r="D85" s="93">
        <f t="shared" si="18"/>
        <v>0</v>
      </c>
      <c r="E85" s="93">
        <f t="shared" si="18"/>
        <v>0</v>
      </c>
      <c r="F85" s="93">
        <f t="shared" si="18"/>
        <v>0</v>
      </c>
      <c r="G85" s="93">
        <f t="shared" si="18"/>
        <v>0</v>
      </c>
      <c r="H85" s="93">
        <f t="shared" si="18"/>
        <v>0</v>
      </c>
      <c r="I85" s="93">
        <f t="shared" si="18"/>
        <v>0</v>
      </c>
      <c r="J85" s="93">
        <f t="shared" si="18"/>
        <v>0</v>
      </c>
      <c r="K85" s="93">
        <f t="shared" si="18"/>
        <v>0</v>
      </c>
      <c r="L85" s="93">
        <f t="shared" si="18"/>
        <v>0</v>
      </c>
      <c r="M85" s="93">
        <f t="shared" si="18"/>
        <v>0</v>
      </c>
      <c r="N85" s="93">
        <f t="shared" si="18"/>
        <v>0</v>
      </c>
      <c r="O85" s="93">
        <f t="shared" si="18"/>
        <v>0</v>
      </c>
      <c r="P85" s="93">
        <f t="shared" si="18"/>
        <v>0</v>
      </c>
      <c r="Q85" s="93">
        <f t="shared" si="18"/>
        <v>0</v>
      </c>
      <c r="R85" s="93">
        <f t="shared" si="18"/>
        <v>0</v>
      </c>
      <c r="S85" s="93">
        <f t="shared" si="18"/>
        <v>0</v>
      </c>
      <c r="T85" s="93">
        <f t="shared" si="18"/>
        <v>0</v>
      </c>
      <c r="U85" s="93">
        <f t="shared" si="18"/>
        <v>0</v>
      </c>
      <c r="V85" s="93">
        <f t="shared" si="18"/>
        <v>0</v>
      </c>
      <c r="W85" s="93">
        <f t="shared" si="18"/>
        <v>0</v>
      </c>
      <c r="X85" s="93">
        <f t="shared" si="18"/>
        <v>0</v>
      </c>
      <c r="Y85" s="93">
        <f t="shared" si="18"/>
        <v>0</v>
      </c>
      <c r="Z85" s="93">
        <f t="shared" si="18"/>
        <v>0</v>
      </c>
      <c r="AA85" s="93">
        <f t="shared" si="18"/>
        <v>0</v>
      </c>
      <c r="AB85" s="93">
        <f t="shared" si="18"/>
        <v>0</v>
      </c>
      <c r="AC85" s="93">
        <f t="shared" si="18"/>
        <v>0</v>
      </c>
      <c r="AD85" s="93">
        <f t="shared" si="18"/>
        <v>0</v>
      </c>
      <c r="AE85" s="93">
        <f t="shared" si="18"/>
        <v>0</v>
      </c>
      <c r="AF85" s="93">
        <f t="shared" si="18"/>
        <v>0</v>
      </c>
      <c r="AG85" s="92"/>
      <c r="AH85" s="20">
        <f t="shared" si="9"/>
        <v>0</v>
      </c>
      <c r="AI85" s="19">
        <f t="shared" si="14"/>
        <v>0</v>
      </c>
    </row>
    <row r="86" spans="1:37" ht="15.75" thickBot="1" x14ac:dyDescent="0.3">
      <c r="A86" s="91" t="s">
        <v>151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>
        <v>0</v>
      </c>
      <c r="AA86" s="90">
        <v>0</v>
      </c>
      <c r="AB86" s="90">
        <v>0</v>
      </c>
      <c r="AC86" s="90"/>
      <c r="AD86" s="90"/>
      <c r="AE86" s="90"/>
      <c r="AF86" s="90"/>
      <c r="AG86" s="89"/>
      <c r="AH86" s="20">
        <f t="shared" si="9"/>
        <v>0</v>
      </c>
      <c r="AI86" s="19">
        <f t="shared" si="14"/>
        <v>0</v>
      </c>
    </row>
    <row r="87" spans="1:37" ht="15.75" thickBot="1" x14ac:dyDescent="0.3">
      <c r="A87" s="88" t="s">
        <v>150</v>
      </c>
      <c r="B87" s="86">
        <f>SUM(B81:B86)</f>
        <v>430.2</v>
      </c>
      <c r="C87" s="86">
        <f t="shared" ref="C87:AF87" si="19">SUM(C81:C86)</f>
        <v>429.7</v>
      </c>
      <c r="D87" s="86">
        <f t="shared" si="19"/>
        <v>415</v>
      </c>
      <c r="E87" s="86">
        <f t="shared" si="19"/>
        <v>410</v>
      </c>
      <c r="F87" s="86">
        <f t="shared" si="19"/>
        <v>430</v>
      </c>
      <c r="G87" s="86">
        <f t="shared" si="19"/>
        <v>372</v>
      </c>
      <c r="H87" s="86">
        <f t="shared" si="19"/>
        <v>422</v>
      </c>
      <c r="I87" s="86">
        <f t="shared" si="19"/>
        <v>390</v>
      </c>
      <c r="J87" s="86">
        <f t="shared" si="19"/>
        <v>410</v>
      </c>
      <c r="K87" s="86">
        <f t="shared" si="19"/>
        <v>362</v>
      </c>
      <c r="L87" s="86">
        <f t="shared" si="19"/>
        <v>368</v>
      </c>
      <c r="M87" s="86">
        <f t="shared" si="19"/>
        <v>385.8</v>
      </c>
      <c r="N87" s="86">
        <f t="shared" si="19"/>
        <v>389</v>
      </c>
      <c r="O87" s="86">
        <f t="shared" si="19"/>
        <v>394.7</v>
      </c>
      <c r="P87" s="86">
        <f t="shared" si="19"/>
        <v>405</v>
      </c>
      <c r="Q87" s="86">
        <f t="shared" si="19"/>
        <v>380</v>
      </c>
      <c r="R87" s="86">
        <f t="shared" si="19"/>
        <v>367</v>
      </c>
      <c r="S87" s="86">
        <f t="shared" si="19"/>
        <v>350</v>
      </c>
      <c r="T87" s="86">
        <f t="shared" si="19"/>
        <v>343</v>
      </c>
      <c r="U87" s="86">
        <f t="shared" si="19"/>
        <v>380</v>
      </c>
      <c r="V87" s="86">
        <f t="shared" si="19"/>
        <v>403</v>
      </c>
      <c r="W87" s="86">
        <f t="shared" si="19"/>
        <v>370</v>
      </c>
      <c r="X87" s="86">
        <f t="shared" si="19"/>
        <v>360</v>
      </c>
      <c r="Y87" s="86">
        <f t="shared" si="19"/>
        <v>223</v>
      </c>
      <c r="Z87" s="86">
        <f t="shared" si="19"/>
        <v>256</v>
      </c>
      <c r="AA87" s="86">
        <f t="shared" si="19"/>
        <v>235</v>
      </c>
      <c r="AB87" s="86">
        <f t="shared" si="19"/>
        <v>289.8</v>
      </c>
      <c r="AC87" s="86">
        <f t="shared" si="19"/>
        <v>305.2</v>
      </c>
      <c r="AD87" s="86">
        <f t="shared" si="19"/>
        <v>342.5</v>
      </c>
      <c r="AE87" s="86">
        <f t="shared" si="19"/>
        <v>374.5</v>
      </c>
      <c r="AF87" s="86">
        <f t="shared" si="19"/>
        <v>0</v>
      </c>
      <c r="AG87" s="85"/>
      <c r="AH87" s="20">
        <f t="shared" si="9"/>
        <v>430.2</v>
      </c>
      <c r="AI87" s="19">
        <f t="shared" si="14"/>
        <v>0</v>
      </c>
      <c r="AK87" s="41"/>
    </row>
    <row r="88" spans="1:37" ht="15.75" thickBot="1" x14ac:dyDescent="0.3">
      <c r="A88" s="87" t="s">
        <v>149</v>
      </c>
      <c r="B88" s="86">
        <f>B72-B87</f>
        <v>-426.2</v>
      </c>
      <c r="C88" s="86">
        <f t="shared" ref="C88:AF88" si="20">C72-C87</f>
        <v>-425.7</v>
      </c>
      <c r="D88" s="86">
        <f t="shared" si="20"/>
        <v>-415</v>
      </c>
      <c r="E88" s="86">
        <f t="shared" si="20"/>
        <v>-410</v>
      </c>
      <c r="F88" s="86">
        <f t="shared" si="20"/>
        <v>-430</v>
      </c>
      <c r="G88" s="86">
        <f t="shared" si="20"/>
        <v>-372</v>
      </c>
      <c r="H88" s="86">
        <f t="shared" si="20"/>
        <v>-422</v>
      </c>
      <c r="I88" s="86">
        <f t="shared" si="20"/>
        <v>-390</v>
      </c>
      <c r="J88" s="86">
        <f t="shared" si="20"/>
        <v>-410</v>
      </c>
      <c r="K88" s="86">
        <f t="shared" si="20"/>
        <v>-352</v>
      </c>
      <c r="L88" s="86">
        <f t="shared" si="20"/>
        <v>-368</v>
      </c>
      <c r="M88" s="86">
        <f t="shared" si="20"/>
        <v>-345.6</v>
      </c>
      <c r="N88" s="86">
        <f t="shared" si="20"/>
        <v>-389</v>
      </c>
      <c r="O88" s="86">
        <f t="shared" si="20"/>
        <v>-394.7</v>
      </c>
      <c r="P88" s="86">
        <f t="shared" si="20"/>
        <v>-405</v>
      </c>
      <c r="Q88" s="86">
        <f t="shared" si="20"/>
        <v>-380</v>
      </c>
      <c r="R88" s="86">
        <f t="shared" si="20"/>
        <v>-367</v>
      </c>
      <c r="S88" s="86">
        <f t="shared" si="20"/>
        <v>-336</v>
      </c>
      <c r="T88" s="86">
        <f t="shared" si="20"/>
        <v>-332</v>
      </c>
      <c r="U88" s="86">
        <f t="shared" si="20"/>
        <v>-368</v>
      </c>
      <c r="V88" s="86">
        <f t="shared" si="20"/>
        <v>-388</v>
      </c>
      <c r="W88" s="86">
        <f t="shared" si="20"/>
        <v>-355</v>
      </c>
      <c r="X88" s="86">
        <f t="shared" si="20"/>
        <v>-343</v>
      </c>
      <c r="Y88" s="86">
        <f t="shared" si="20"/>
        <v>-192</v>
      </c>
      <c r="Z88" s="86">
        <f t="shared" si="20"/>
        <v>-212</v>
      </c>
      <c r="AA88" s="86">
        <f t="shared" si="20"/>
        <v>-187</v>
      </c>
      <c r="AB88" s="86">
        <f t="shared" si="20"/>
        <v>-239.9</v>
      </c>
      <c r="AC88" s="86">
        <f t="shared" si="20"/>
        <v>-255.1</v>
      </c>
      <c r="AD88" s="86">
        <f t="shared" si="20"/>
        <v>-289.7</v>
      </c>
      <c r="AE88" s="86">
        <f t="shared" si="20"/>
        <v>-365.1</v>
      </c>
      <c r="AF88" s="86">
        <f t="shared" si="20"/>
        <v>0</v>
      </c>
      <c r="AG88" s="85"/>
      <c r="AH88" s="20">
        <f t="shared" si="9"/>
        <v>0</v>
      </c>
      <c r="AI88" s="19">
        <f t="shared" si="14"/>
        <v>-430</v>
      </c>
    </row>
    <row r="89" spans="1:37" x14ac:dyDescent="0.25">
      <c r="A89" s="47" t="s">
        <v>148</v>
      </c>
      <c r="B89" s="84">
        <v>49.98</v>
      </c>
      <c r="C89" s="84">
        <v>50.033999999999999</v>
      </c>
      <c r="D89" s="84">
        <v>50.057000000000002</v>
      </c>
      <c r="E89" s="84">
        <v>50.03</v>
      </c>
      <c r="F89" s="84">
        <v>50</v>
      </c>
      <c r="G89" s="84">
        <v>49.923000000000002</v>
      </c>
      <c r="H89" s="84">
        <v>50.05</v>
      </c>
      <c r="I89" s="84">
        <v>50.057000000000002</v>
      </c>
      <c r="J89" s="84">
        <v>49.957000000000001</v>
      </c>
      <c r="K89" s="84">
        <v>50.01</v>
      </c>
      <c r="L89" s="84">
        <v>50</v>
      </c>
      <c r="M89" s="84">
        <v>50.037999999999997</v>
      </c>
      <c r="N89" s="84">
        <v>49.945999999999998</v>
      </c>
      <c r="O89" s="84">
        <v>50.064999999999998</v>
      </c>
      <c r="P89" s="84">
        <v>50.024000000000001</v>
      </c>
      <c r="Q89" s="84">
        <v>49.956000000000003</v>
      </c>
      <c r="R89" s="84">
        <v>50.029000000000003</v>
      </c>
      <c r="S89" s="84">
        <v>49.963000000000001</v>
      </c>
      <c r="T89" s="84">
        <v>49.99</v>
      </c>
      <c r="U89" s="84">
        <v>49.93</v>
      </c>
      <c r="V89" s="84">
        <v>49.889000000000003</v>
      </c>
      <c r="W89" s="84">
        <v>50.000999999999998</v>
      </c>
      <c r="X89" s="84">
        <v>49.923000000000002</v>
      </c>
      <c r="Y89" s="84" t="s">
        <v>254</v>
      </c>
      <c r="Z89" s="84">
        <v>49.936999999999998</v>
      </c>
      <c r="AA89" s="84">
        <v>49.936999999999998</v>
      </c>
      <c r="AB89" s="84">
        <v>50.018999999999998</v>
      </c>
      <c r="AC89" s="84">
        <v>50.027000000000001</v>
      </c>
      <c r="AD89" s="84">
        <v>50.033999999999999</v>
      </c>
      <c r="AE89" s="84">
        <v>50.042999999999999</v>
      </c>
      <c r="AF89" s="84"/>
      <c r="AG89" s="83"/>
      <c r="AH89" s="20">
        <f t="shared" si="9"/>
        <v>50.064999999999998</v>
      </c>
      <c r="AI89" s="19">
        <f t="shared" si="14"/>
        <v>49.889000000000003</v>
      </c>
    </row>
    <row r="90" spans="1:37" x14ac:dyDescent="0.25">
      <c r="A90" s="44" t="s">
        <v>147</v>
      </c>
      <c r="B90" s="80">
        <v>124.2</v>
      </c>
      <c r="C90" s="80">
        <v>124.1</v>
      </c>
      <c r="D90" s="80">
        <v>125.2</v>
      </c>
      <c r="E90" s="80">
        <v>125.2</v>
      </c>
      <c r="F90" s="80">
        <v>125.2</v>
      </c>
      <c r="G90" s="80">
        <v>126</v>
      </c>
      <c r="H90" s="80">
        <v>126</v>
      </c>
      <c r="I90" s="80">
        <v>124</v>
      </c>
      <c r="J90" s="80">
        <v>124</v>
      </c>
      <c r="K90" s="80">
        <v>124</v>
      </c>
      <c r="L90" s="80">
        <v>120.8</v>
      </c>
      <c r="M90" s="80">
        <v>124.5</v>
      </c>
      <c r="N90" s="80">
        <v>121.9</v>
      </c>
      <c r="O90" s="80">
        <v>122.1</v>
      </c>
      <c r="P90" s="80">
        <v>120.4</v>
      </c>
      <c r="Q90" s="80">
        <v>120.3</v>
      </c>
      <c r="R90" s="80">
        <v>122.1</v>
      </c>
      <c r="S90" s="80">
        <v>122.1</v>
      </c>
      <c r="T90" s="80">
        <v>122</v>
      </c>
      <c r="U90" s="80">
        <v>123</v>
      </c>
      <c r="V90" s="80">
        <v>124</v>
      </c>
      <c r="W90" s="80">
        <v>125</v>
      </c>
      <c r="X90" s="80">
        <v>126</v>
      </c>
      <c r="Y90" s="80">
        <v>125</v>
      </c>
      <c r="Z90" s="80">
        <v>126</v>
      </c>
      <c r="AA90" s="80">
        <v>126</v>
      </c>
      <c r="AB90" s="80">
        <v>124.9</v>
      </c>
      <c r="AC90" s="80">
        <v>125</v>
      </c>
      <c r="AD90" s="80">
        <v>124</v>
      </c>
      <c r="AE90" s="80">
        <v>125.7</v>
      </c>
      <c r="AF90" s="80"/>
      <c r="AG90" s="79"/>
      <c r="AH90" s="20">
        <f t="shared" si="9"/>
        <v>126</v>
      </c>
      <c r="AI90" s="19">
        <f t="shared" si="14"/>
        <v>120.3</v>
      </c>
    </row>
    <row r="91" spans="1:37" x14ac:dyDescent="0.25">
      <c r="A91" s="44" t="s">
        <v>146</v>
      </c>
      <c r="B91" s="80">
        <v>128.9</v>
      </c>
      <c r="C91" s="80">
        <v>129.1</v>
      </c>
      <c r="D91" s="80">
        <v>129.69999999999999</v>
      </c>
      <c r="E91" s="80">
        <v>129.69999999999999</v>
      </c>
      <c r="F91" s="80">
        <v>129.69999999999999</v>
      </c>
      <c r="G91" s="80">
        <v>130</v>
      </c>
      <c r="H91" s="80">
        <v>130</v>
      </c>
      <c r="I91" s="80">
        <v>128</v>
      </c>
      <c r="J91" s="80">
        <v>128</v>
      </c>
      <c r="K91" s="80">
        <v>128</v>
      </c>
      <c r="L91" s="80">
        <v>124.7</v>
      </c>
      <c r="M91" s="80">
        <v>127.3</v>
      </c>
      <c r="N91" s="80">
        <v>125.4</v>
      </c>
      <c r="O91" s="80">
        <v>125</v>
      </c>
      <c r="P91" s="80">
        <v>125</v>
      </c>
      <c r="Q91" s="80">
        <v>124.6</v>
      </c>
      <c r="R91" s="80">
        <v>125.8</v>
      </c>
      <c r="S91" s="80">
        <v>125.8</v>
      </c>
      <c r="T91" s="80">
        <v>125</v>
      </c>
      <c r="U91" s="80">
        <v>126.5</v>
      </c>
      <c r="V91" s="80">
        <v>127</v>
      </c>
      <c r="W91" s="80">
        <v>129</v>
      </c>
      <c r="X91" s="80">
        <v>129</v>
      </c>
      <c r="Y91" s="80">
        <v>128</v>
      </c>
      <c r="Z91" s="80">
        <v>128</v>
      </c>
      <c r="AA91" s="80">
        <v>128</v>
      </c>
      <c r="AB91" s="80">
        <v>128.9</v>
      </c>
      <c r="AC91" s="80">
        <v>129</v>
      </c>
      <c r="AD91" s="80">
        <v>128.6</v>
      </c>
      <c r="AE91" s="80">
        <v>129.9</v>
      </c>
      <c r="AF91" s="80"/>
      <c r="AG91" s="79"/>
      <c r="AH91" s="20">
        <f t="shared" si="9"/>
        <v>130</v>
      </c>
      <c r="AI91" s="19">
        <f t="shared" si="14"/>
        <v>124.6</v>
      </c>
    </row>
    <row r="92" spans="1:37" x14ac:dyDescent="0.25">
      <c r="A92" s="44" t="s">
        <v>145</v>
      </c>
      <c r="B92" s="80">
        <v>130.19999999999999</v>
      </c>
      <c r="C92" s="80">
        <v>127.8</v>
      </c>
      <c r="D92" s="80">
        <v>129</v>
      </c>
      <c r="E92" s="80">
        <v>129</v>
      </c>
      <c r="F92" s="80">
        <v>129</v>
      </c>
      <c r="G92" s="80">
        <v>131</v>
      </c>
      <c r="H92" s="80">
        <v>131</v>
      </c>
      <c r="I92" s="80">
        <v>130</v>
      </c>
      <c r="J92" s="80">
        <v>130</v>
      </c>
      <c r="K92" s="80">
        <v>130</v>
      </c>
      <c r="L92" s="80">
        <v>127</v>
      </c>
      <c r="M92" s="80">
        <v>129.30000000000001</v>
      </c>
      <c r="N92" s="80">
        <v>127.3</v>
      </c>
      <c r="O92" s="80">
        <v>128.19999999999999</v>
      </c>
      <c r="P92" s="80">
        <v>128.19999999999999</v>
      </c>
      <c r="Q92" s="80">
        <v>128.80000000000001</v>
      </c>
      <c r="R92" s="80">
        <v>128.30000000000001</v>
      </c>
      <c r="S92" s="80">
        <v>128.30000000000001</v>
      </c>
      <c r="T92" s="80">
        <v>127</v>
      </c>
      <c r="U92" s="80">
        <v>129</v>
      </c>
      <c r="V92" s="80">
        <v>130</v>
      </c>
      <c r="W92" s="80">
        <v>129</v>
      </c>
      <c r="X92" s="80">
        <v>128</v>
      </c>
      <c r="Y92" s="80">
        <v>128</v>
      </c>
      <c r="Z92" s="80">
        <v>128</v>
      </c>
      <c r="AA92" s="80">
        <v>128</v>
      </c>
      <c r="AB92" s="80">
        <v>127.1</v>
      </c>
      <c r="AC92" s="80">
        <v>128.1</v>
      </c>
      <c r="AD92" s="80">
        <v>128.19999999999999</v>
      </c>
      <c r="AE92" s="80">
        <v>128.80000000000001</v>
      </c>
      <c r="AF92" s="80"/>
      <c r="AG92" s="79"/>
      <c r="AH92" s="20">
        <f t="shared" si="9"/>
        <v>131</v>
      </c>
      <c r="AI92" s="19">
        <f t="shared" si="14"/>
        <v>127</v>
      </c>
    </row>
    <row r="93" spans="1:37" x14ac:dyDescent="0.25">
      <c r="A93" s="82" t="s">
        <v>144</v>
      </c>
      <c r="B93" s="80">
        <v>134.9</v>
      </c>
      <c r="C93" s="80">
        <v>133.6</v>
      </c>
      <c r="D93" s="80">
        <v>134.5</v>
      </c>
      <c r="E93" s="80">
        <v>134.5</v>
      </c>
      <c r="F93" s="80">
        <v>134.5</v>
      </c>
      <c r="G93" s="80">
        <v>134</v>
      </c>
      <c r="H93" s="80">
        <v>134</v>
      </c>
      <c r="I93" s="80">
        <v>133</v>
      </c>
      <c r="J93" s="80">
        <v>133</v>
      </c>
      <c r="K93" s="80">
        <v>133</v>
      </c>
      <c r="L93" s="80">
        <v>133</v>
      </c>
      <c r="M93" s="80">
        <v>131.80000000000001</v>
      </c>
      <c r="N93" s="80">
        <v>130.6</v>
      </c>
      <c r="O93" s="80">
        <v>130.5</v>
      </c>
      <c r="P93" s="80">
        <v>130.5</v>
      </c>
      <c r="Q93" s="80">
        <v>132.1</v>
      </c>
      <c r="R93" s="80">
        <v>131.9</v>
      </c>
      <c r="S93" s="80">
        <v>131.9</v>
      </c>
      <c r="T93" s="80">
        <v>129.6</v>
      </c>
      <c r="U93" s="80">
        <v>131</v>
      </c>
      <c r="V93" s="80">
        <v>132</v>
      </c>
      <c r="W93" s="80">
        <v>130</v>
      </c>
      <c r="X93" s="80">
        <v>131</v>
      </c>
      <c r="Y93" s="80">
        <v>131</v>
      </c>
      <c r="Z93" s="80">
        <v>131</v>
      </c>
      <c r="AA93" s="80">
        <v>131</v>
      </c>
      <c r="AB93" s="80">
        <v>131.4</v>
      </c>
      <c r="AC93" s="80">
        <v>131.6</v>
      </c>
      <c r="AD93" s="80">
        <v>131.69999999999999</v>
      </c>
      <c r="AE93" s="80">
        <v>133.5</v>
      </c>
      <c r="AF93" s="80"/>
      <c r="AG93" s="79"/>
      <c r="AH93" s="20">
        <f t="shared" si="9"/>
        <v>134.9</v>
      </c>
      <c r="AI93" s="19">
        <f t="shared" si="14"/>
        <v>129.6</v>
      </c>
    </row>
    <row r="94" spans="1:37" x14ac:dyDescent="0.25">
      <c r="A94" s="82" t="s">
        <v>143</v>
      </c>
      <c r="B94" s="66">
        <v>130.6</v>
      </c>
      <c r="C94" s="66">
        <v>131.69999999999999</v>
      </c>
      <c r="D94" s="66">
        <v>133.69999999999999</v>
      </c>
      <c r="E94" s="66">
        <v>133.69999999999999</v>
      </c>
      <c r="F94" s="66">
        <v>133.69999999999999</v>
      </c>
      <c r="G94" s="66">
        <v>133</v>
      </c>
      <c r="H94" s="66">
        <v>133</v>
      </c>
      <c r="I94" s="66">
        <v>132</v>
      </c>
      <c r="J94" s="66">
        <v>132</v>
      </c>
      <c r="K94" s="66">
        <v>132</v>
      </c>
      <c r="L94" s="66">
        <v>132</v>
      </c>
      <c r="M94" s="66">
        <v>134.19999999999999</v>
      </c>
      <c r="N94" s="66">
        <v>131.6</v>
      </c>
      <c r="O94" s="66">
        <v>134.5</v>
      </c>
      <c r="P94" s="66">
        <v>134.5</v>
      </c>
      <c r="Q94" s="66">
        <v>132.1</v>
      </c>
      <c r="R94" s="66">
        <v>134.30000000000001</v>
      </c>
      <c r="S94" s="66">
        <v>134.30000000000001</v>
      </c>
      <c r="T94" s="66">
        <v>132</v>
      </c>
      <c r="U94" s="66">
        <v>135</v>
      </c>
      <c r="V94" s="66">
        <v>136</v>
      </c>
      <c r="W94" s="66">
        <v>135</v>
      </c>
      <c r="X94" s="66">
        <v>134</v>
      </c>
      <c r="Y94" s="66">
        <v>135</v>
      </c>
      <c r="Z94" s="66">
        <v>132</v>
      </c>
      <c r="AA94" s="66">
        <v>132</v>
      </c>
      <c r="AB94" s="66">
        <v>128.9</v>
      </c>
      <c r="AC94" s="66">
        <v>130.30000000000001</v>
      </c>
      <c r="AD94" s="66">
        <v>132.5</v>
      </c>
      <c r="AE94" s="66">
        <v>133.19999999999999</v>
      </c>
      <c r="AF94" s="66"/>
      <c r="AG94" s="81"/>
      <c r="AH94" s="20">
        <f t="shared" si="9"/>
        <v>136</v>
      </c>
      <c r="AI94" s="19">
        <f t="shared" si="14"/>
        <v>128.9</v>
      </c>
    </row>
    <row r="95" spans="1:37" x14ac:dyDescent="0.25">
      <c r="A95" s="44" t="s">
        <v>142</v>
      </c>
      <c r="B95" s="80">
        <v>130.1</v>
      </c>
      <c r="C95" s="80">
        <v>132.6</v>
      </c>
      <c r="D95" s="80">
        <v>133.9</v>
      </c>
      <c r="E95" s="80">
        <v>133.9</v>
      </c>
      <c r="F95" s="80">
        <v>133.9</v>
      </c>
      <c r="G95" s="80">
        <v>133</v>
      </c>
      <c r="H95" s="80">
        <v>133</v>
      </c>
      <c r="I95" s="80">
        <v>132</v>
      </c>
      <c r="J95" s="80">
        <v>132</v>
      </c>
      <c r="K95" s="80">
        <v>132</v>
      </c>
      <c r="L95" s="80">
        <v>132</v>
      </c>
      <c r="M95" s="80">
        <v>132.19999999999999</v>
      </c>
      <c r="N95" s="80">
        <v>129.6</v>
      </c>
      <c r="O95" s="80">
        <v>132.80000000000001</v>
      </c>
      <c r="P95" s="80">
        <v>132.80000000000001</v>
      </c>
      <c r="Q95" s="80">
        <v>129.80000000000001</v>
      </c>
      <c r="R95" s="80">
        <v>128.1</v>
      </c>
      <c r="S95" s="80">
        <v>128.1</v>
      </c>
      <c r="T95" s="80">
        <v>123</v>
      </c>
      <c r="U95" s="80">
        <v>132</v>
      </c>
      <c r="V95" s="80">
        <v>134</v>
      </c>
      <c r="W95" s="80">
        <v>132</v>
      </c>
      <c r="X95" s="80">
        <v>132</v>
      </c>
      <c r="Y95" s="80">
        <v>137</v>
      </c>
      <c r="Z95" s="80">
        <v>128</v>
      </c>
      <c r="AA95" s="80">
        <v>128</v>
      </c>
      <c r="AB95" s="80">
        <v>130.30000000000001</v>
      </c>
      <c r="AC95" s="80">
        <v>130.6</v>
      </c>
      <c r="AD95" s="80">
        <v>130.5</v>
      </c>
      <c r="AE95" s="80">
        <v>130.30000000000001</v>
      </c>
      <c r="AF95" s="80"/>
      <c r="AG95" s="79"/>
      <c r="AH95" s="20">
        <f t="shared" si="9"/>
        <v>137</v>
      </c>
      <c r="AI95" s="19">
        <f t="shared" si="14"/>
        <v>123</v>
      </c>
    </row>
    <row r="96" spans="1:37" ht="15.75" thickBot="1" x14ac:dyDescent="0.3">
      <c r="A96" s="44" t="s">
        <v>141</v>
      </c>
      <c r="B96" s="77">
        <v>65</v>
      </c>
      <c r="C96" s="77">
        <v>65</v>
      </c>
      <c r="D96" s="77">
        <v>65.400000000000006</v>
      </c>
      <c r="E96" s="77">
        <v>65.400000000000006</v>
      </c>
      <c r="F96" s="77">
        <v>65.400000000000006</v>
      </c>
      <c r="G96" s="77">
        <v>65.599999999999994</v>
      </c>
      <c r="H96" s="77">
        <v>65.599999999999994</v>
      </c>
      <c r="I96" s="77">
        <v>64.7</v>
      </c>
      <c r="J96" s="77">
        <v>64.7</v>
      </c>
      <c r="K96" s="77">
        <v>64.7</v>
      </c>
      <c r="L96" s="77">
        <v>64.7</v>
      </c>
      <c r="M96" s="77">
        <v>64.3</v>
      </c>
      <c r="N96" s="77">
        <v>63.2</v>
      </c>
      <c r="O96" s="77">
        <v>62.7</v>
      </c>
      <c r="P96" s="77">
        <v>62.7</v>
      </c>
      <c r="Q96" s="77">
        <v>62.5</v>
      </c>
      <c r="R96" s="77">
        <v>63.7</v>
      </c>
      <c r="S96" s="77">
        <v>63.7</v>
      </c>
      <c r="T96" s="77">
        <v>63.1</v>
      </c>
      <c r="U96" s="77">
        <v>63.9</v>
      </c>
      <c r="V96" s="77">
        <v>64</v>
      </c>
      <c r="W96" s="77">
        <v>65</v>
      </c>
      <c r="X96" s="77">
        <v>65</v>
      </c>
      <c r="Y96" s="77">
        <v>65</v>
      </c>
      <c r="Z96" s="77">
        <v>65</v>
      </c>
      <c r="AA96" s="77">
        <v>65</v>
      </c>
      <c r="AB96" s="77">
        <v>65.2</v>
      </c>
      <c r="AC96" s="77">
        <v>65.3</v>
      </c>
      <c r="AD96" s="77">
        <v>65.2</v>
      </c>
      <c r="AE96" s="77">
        <v>65.599999999999994</v>
      </c>
      <c r="AF96" s="77"/>
      <c r="AG96" s="76"/>
      <c r="AH96" s="20">
        <f t="shared" si="9"/>
        <v>65.599999999999994</v>
      </c>
      <c r="AI96" s="19">
        <f t="shared" si="14"/>
        <v>62.5</v>
      </c>
    </row>
    <row r="97" spans="1:37" ht="15.75" thickBot="1" x14ac:dyDescent="0.3">
      <c r="A97" s="78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6"/>
      <c r="AH97" s="20">
        <f t="shared" si="9"/>
        <v>0</v>
      </c>
      <c r="AI97" s="19">
        <f t="shared" si="14"/>
        <v>0</v>
      </c>
    </row>
    <row r="98" spans="1:37" ht="15.75" thickBot="1" x14ac:dyDescent="0.3">
      <c r="A98" s="75" t="s">
        <v>140</v>
      </c>
      <c r="B98" s="74">
        <f>SUM(B15,B18,B21:B22,B46,B48:B49,B51,B53,B99:B103,B125,B131,B137,B146,B148,B160,B167,B170:B171,B178,B180,B182,B186:B188,B190:B192,B197,B203:B204,B206:B208,B216,B221)</f>
        <v>49.299999999999969</v>
      </c>
      <c r="C98" s="74">
        <f t="shared" ref="C98:AF98" si="21">SUM(C15,C18,C21:C22,C46,C48:C49,C51,C53,C99:C103,C125,C131,C137,C146,C148,C160,C167,C170:C171,C178,C180,C182,C186:C188,C190:C192,C197,C203:C204,C206:C208,C216,C221)</f>
        <v>41.339999999999975</v>
      </c>
      <c r="D98" s="74">
        <f t="shared" si="21"/>
        <v>36.739999999999995</v>
      </c>
      <c r="E98" s="74">
        <f t="shared" si="21"/>
        <v>39.439999999999976</v>
      </c>
      <c r="F98" s="74">
        <f t="shared" si="21"/>
        <v>44.439999999999976</v>
      </c>
      <c r="G98" s="74">
        <f t="shared" si="21"/>
        <v>65.139999999999986</v>
      </c>
      <c r="H98" s="74">
        <f t="shared" si="21"/>
        <v>84.239999999999981</v>
      </c>
      <c r="I98" s="74">
        <f t="shared" si="21"/>
        <v>112.53999999999999</v>
      </c>
      <c r="J98" s="74">
        <f t="shared" si="21"/>
        <v>140.94</v>
      </c>
      <c r="K98" s="74">
        <f t="shared" si="21"/>
        <v>173.34</v>
      </c>
      <c r="L98" s="74">
        <f t="shared" si="21"/>
        <v>211.64000000000001</v>
      </c>
      <c r="M98" s="74">
        <f t="shared" si="21"/>
        <v>225.04000000000002</v>
      </c>
      <c r="N98" s="74">
        <f t="shared" si="21"/>
        <v>181.04</v>
      </c>
      <c r="O98" s="74">
        <f t="shared" si="21"/>
        <v>187.53999999999996</v>
      </c>
      <c r="P98" s="74">
        <f t="shared" si="21"/>
        <v>188.43999999999997</v>
      </c>
      <c r="Q98" s="74">
        <f t="shared" si="21"/>
        <v>193.9</v>
      </c>
      <c r="R98" s="74">
        <f t="shared" si="21"/>
        <v>200.5</v>
      </c>
      <c r="S98" s="74">
        <f t="shared" si="21"/>
        <v>203</v>
      </c>
      <c r="T98" s="74">
        <f t="shared" si="21"/>
        <v>200.5</v>
      </c>
      <c r="U98" s="74">
        <f t="shared" si="21"/>
        <v>217.10000000000002</v>
      </c>
      <c r="V98" s="74">
        <f t="shared" si="21"/>
        <v>217.10000000000002</v>
      </c>
      <c r="W98" s="74">
        <f t="shared" si="21"/>
        <v>232.10000000000002</v>
      </c>
      <c r="X98" s="74">
        <f t="shared" si="21"/>
        <v>253.10000000000002</v>
      </c>
      <c r="Y98" s="74">
        <f t="shared" si="21"/>
        <v>297.10000000000002</v>
      </c>
      <c r="Z98" s="74">
        <f t="shared" si="21"/>
        <v>294.10000000000002</v>
      </c>
      <c r="AA98" s="74">
        <f t="shared" si="21"/>
        <v>294.10000000000002</v>
      </c>
      <c r="AB98" s="74">
        <f t="shared" si="21"/>
        <v>225.19999999999996</v>
      </c>
      <c r="AC98" s="74">
        <f t="shared" si="21"/>
        <v>222.10000000000002</v>
      </c>
      <c r="AD98" s="74">
        <f t="shared" si="21"/>
        <v>183.00000000000003</v>
      </c>
      <c r="AE98" s="74">
        <f t="shared" si="21"/>
        <v>128.30000000000001</v>
      </c>
      <c r="AF98" s="74">
        <f t="shared" si="21"/>
        <v>0</v>
      </c>
      <c r="AG98" s="73"/>
      <c r="AH98" s="20">
        <f>MAX(C98:AF98)</f>
        <v>297.10000000000002</v>
      </c>
      <c r="AI98" s="19">
        <f>MIN(C98:AF98)</f>
        <v>0</v>
      </c>
    </row>
    <row r="99" spans="1:37" x14ac:dyDescent="0.25">
      <c r="A99" s="47" t="s">
        <v>139</v>
      </c>
      <c r="B99" s="72">
        <v>11.7</v>
      </c>
      <c r="C99" s="72">
        <v>9.5</v>
      </c>
      <c r="D99" s="72">
        <v>14.3</v>
      </c>
      <c r="E99" s="72">
        <v>4.5999999999999996</v>
      </c>
      <c r="F99" s="72">
        <v>4.5999999999999996</v>
      </c>
      <c r="G99" s="72">
        <v>9.6999999999999993</v>
      </c>
      <c r="H99" s="72">
        <v>11.7</v>
      </c>
      <c r="I99" s="72">
        <v>8.6999999999999993</v>
      </c>
      <c r="J99" s="72">
        <v>15</v>
      </c>
      <c r="K99" s="72">
        <v>22</v>
      </c>
      <c r="L99" s="72">
        <v>32.200000000000003</v>
      </c>
      <c r="M99" s="72">
        <v>31.8</v>
      </c>
      <c r="N99" s="72">
        <v>32.1</v>
      </c>
      <c r="O99" s="72">
        <v>33.4</v>
      </c>
      <c r="P99" s="72">
        <v>39.799999999999997</v>
      </c>
      <c r="Q99" s="72">
        <v>34.4</v>
      </c>
      <c r="R99" s="72">
        <v>36.4</v>
      </c>
      <c r="S99" s="72">
        <v>33.1</v>
      </c>
      <c r="T99" s="72">
        <v>30.4</v>
      </c>
      <c r="U99" s="72">
        <v>35</v>
      </c>
      <c r="V99" s="72">
        <v>37</v>
      </c>
      <c r="W99" s="72">
        <v>39</v>
      </c>
      <c r="X99" s="72">
        <v>35</v>
      </c>
      <c r="Y99" s="72">
        <v>37</v>
      </c>
      <c r="Z99" s="72">
        <v>32</v>
      </c>
      <c r="AA99" s="72">
        <v>32</v>
      </c>
      <c r="AB99" s="72">
        <v>35.6</v>
      </c>
      <c r="AC99" s="72">
        <v>37.200000000000003</v>
      </c>
      <c r="AD99" s="72">
        <v>41.1</v>
      </c>
      <c r="AE99" s="72">
        <v>23.6</v>
      </c>
      <c r="AF99" s="72"/>
      <c r="AG99" s="70">
        <v>75</v>
      </c>
      <c r="AH99" s="20">
        <f t="shared" ref="AH99:AH107" si="22">IF(ABS(MAX(C99:AF99))&gt;ABS(MIN(C99:AF99)),MAX(C99:AF99),MIN(C99:AF99))</f>
        <v>41.1</v>
      </c>
      <c r="AI99" s="65">
        <f t="shared" ref="AI99:AI107" si="23">INDEX($C$9:$AF$9,1,MATCH(AH99,C99:AF99,0))</f>
        <v>0.875</v>
      </c>
    </row>
    <row r="100" spans="1:37" x14ac:dyDescent="0.25">
      <c r="A100" s="44" t="s">
        <v>138</v>
      </c>
      <c r="B100" s="71">
        <v>27.8</v>
      </c>
      <c r="C100" s="71">
        <v>24.7</v>
      </c>
      <c r="D100" s="71">
        <v>31</v>
      </c>
      <c r="E100" s="71">
        <v>19.2</v>
      </c>
      <c r="F100" s="71">
        <v>19.2</v>
      </c>
      <c r="G100" s="71">
        <v>23</v>
      </c>
      <c r="H100" s="71">
        <v>24.4</v>
      </c>
      <c r="I100" s="71">
        <v>19.899999999999999</v>
      </c>
      <c r="J100" s="71">
        <v>25</v>
      </c>
      <c r="K100" s="71">
        <v>43</v>
      </c>
      <c r="L100" s="71">
        <v>50.5</v>
      </c>
      <c r="M100" s="71">
        <v>49.1</v>
      </c>
      <c r="N100" s="71">
        <v>47.1</v>
      </c>
      <c r="O100" s="71">
        <v>51.6</v>
      </c>
      <c r="P100" s="71">
        <v>61</v>
      </c>
      <c r="Q100" s="71">
        <v>53.8</v>
      </c>
      <c r="R100" s="71">
        <v>55.8</v>
      </c>
      <c r="S100" s="71">
        <v>48.1</v>
      </c>
      <c r="T100" s="71">
        <v>48</v>
      </c>
      <c r="U100" s="71">
        <v>57</v>
      </c>
      <c r="V100" s="71">
        <v>58</v>
      </c>
      <c r="W100" s="71">
        <v>57</v>
      </c>
      <c r="X100" s="71">
        <v>53</v>
      </c>
      <c r="Y100" s="71">
        <v>56</v>
      </c>
      <c r="Z100" s="71">
        <v>49</v>
      </c>
      <c r="AA100" s="71">
        <v>49</v>
      </c>
      <c r="AB100" s="71">
        <v>56.2</v>
      </c>
      <c r="AC100" s="71">
        <v>58.5</v>
      </c>
      <c r="AD100" s="71">
        <v>66.400000000000006</v>
      </c>
      <c r="AE100" s="71">
        <v>42.6</v>
      </c>
      <c r="AF100" s="71"/>
      <c r="AG100" s="70">
        <v>240</v>
      </c>
      <c r="AH100" s="20">
        <f t="shared" si="22"/>
        <v>66.400000000000006</v>
      </c>
      <c r="AI100" s="65">
        <f t="shared" si="23"/>
        <v>0.875</v>
      </c>
    </row>
    <row r="101" spans="1:37" x14ac:dyDescent="0.25">
      <c r="A101" s="44" t="s">
        <v>137</v>
      </c>
      <c r="B101" s="71">
        <f>-70-75.3</f>
        <v>-145.30000000000001</v>
      </c>
      <c r="C101" s="71">
        <f>-72-76.6</f>
        <v>-148.6</v>
      </c>
      <c r="D101" s="71">
        <f>-71-76</f>
        <v>-147</v>
      </c>
      <c r="E101" s="71">
        <v>-114</v>
      </c>
      <c r="F101" s="71">
        <v>-114</v>
      </c>
      <c r="G101" s="71">
        <v>-115</v>
      </c>
      <c r="H101" s="71">
        <v>-102</v>
      </c>
      <c r="I101" s="71">
        <v>-74</v>
      </c>
      <c r="J101" s="71">
        <v>-72</v>
      </c>
      <c r="K101" s="71">
        <v>-80</v>
      </c>
      <c r="L101" s="71">
        <v>-66</v>
      </c>
      <c r="M101" s="71">
        <v>-59</v>
      </c>
      <c r="N101" s="71">
        <v>-70</v>
      </c>
      <c r="O101" s="71">
        <v>-77.5</v>
      </c>
      <c r="P101" s="71">
        <v>-96</v>
      </c>
      <c r="Q101" s="71">
        <v>-79</v>
      </c>
      <c r="R101" s="71">
        <v>-83</v>
      </c>
      <c r="S101" s="71">
        <v>-67</v>
      </c>
      <c r="T101" s="71">
        <v>-80</v>
      </c>
      <c r="U101" s="71">
        <v>-76</v>
      </c>
      <c r="V101" s="71">
        <v>-80</v>
      </c>
      <c r="W101" s="71">
        <v>-63</v>
      </c>
      <c r="X101" s="71">
        <v>-83</v>
      </c>
      <c r="Y101" s="71">
        <v>-68</v>
      </c>
      <c r="Z101" s="71">
        <v>-65</v>
      </c>
      <c r="AA101" s="71">
        <v>-65</v>
      </c>
      <c r="AB101" s="71">
        <f>-52-56.1</f>
        <v>-108.1</v>
      </c>
      <c r="AC101" s="71">
        <f>-53.3-57.2</f>
        <v>-110.5</v>
      </c>
      <c r="AD101" s="71">
        <f>-60-64</f>
        <v>-124</v>
      </c>
      <c r="AE101" s="71">
        <f>-65-69</f>
        <v>-134</v>
      </c>
      <c r="AF101" s="71"/>
      <c r="AG101" s="70">
        <v>240</v>
      </c>
      <c r="AH101" s="20">
        <f t="shared" si="22"/>
        <v>-148.6</v>
      </c>
      <c r="AI101" s="65">
        <f t="shared" si="23"/>
        <v>4.1666666666666664E-2</v>
      </c>
    </row>
    <row r="102" spans="1:37" x14ac:dyDescent="0.25">
      <c r="A102" s="44" t="s">
        <v>136</v>
      </c>
      <c r="B102" s="71">
        <v>-6.2</v>
      </c>
      <c r="C102" s="71">
        <v>-6.5</v>
      </c>
      <c r="D102" s="71">
        <v>-9.3000000000000007</v>
      </c>
      <c r="E102" s="71">
        <v>-7.4</v>
      </c>
      <c r="F102" s="71">
        <v>-7.4</v>
      </c>
      <c r="G102" s="71">
        <v>0.4</v>
      </c>
      <c r="H102" s="71">
        <v>3.1</v>
      </c>
      <c r="I102" s="71">
        <v>9</v>
      </c>
      <c r="J102" s="71">
        <v>12</v>
      </c>
      <c r="K102" s="71">
        <v>11</v>
      </c>
      <c r="L102" s="71">
        <v>12.6</v>
      </c>
      <c r="M102" s="71">
        <v>14.8</v>
      </c>
      <c r="N102" s="71">
        <v>10.8</v>
      </c>
      <c r="O102" s="71">
        <v>8.6999999999999993</v>
      </c>
      <c r="P102" s="71">
        <v>7.6</v>
      </c>
      <c r="Q102" s="71">
        <v>9.6</v>
      </c>
      <c r="R102" s="71">
        <v>7.2</v>
      </c>
      <c r="S102" s="71">
        <v>8.1999999999999993</v>
      </c>
      <c r="T102" s="71">
        <v>12</v>
      </c>
      <c r="U102" s="71">
        <v>11</v>
      </c>
      <c r="V102" s="71">
        <v>12</v>
      </c>
      <c r="W102" s="71">
        <v>14</v>
      </c>
      <c r="X102" s="71">
        <v>11</v>
      </c>
      <c r="Y102" s="71">
        <v>15</v>
      </c>
      <c r="Z102" s="71">
        <v>26</v>
      </c>
      <c r="AA102" s="71">
        <v>26</v>
      </c>
      <c r="AB102" s="71">
        <v>6.1</v>
      </c>
      <c r="AC102" s="71">
        <v>4.3</v>
      </c>
      <c r="AD102" s="71">
        <v>3.9</v>
      </c>
      <c r="AE102" s="71">
        <v>0.5</v>
      </c>
      <c r="AF102" s="71"/>
      <c r="AG102" s="70">
        <v>60</v>
      </c>
      <c r="AH102" s="20">
        <f t="shared" si="22"/>
        <v>26</v>
      </c>
      <c r="AI102" s="65">
        <f t="shared" si="23"/>
        <v>0.79166666666666663</v>
      </c>
    </row>
    <row r="103" spans="1:37" x14ac:dyDescent="0.25">
      <c r="A103" s="40" t="s">
        <v>135</v>
      </c>
      <c r="B103" s="68">
        <v>0</v>
      </c>
      <c r="C103" s="68">
        <v>0</v>
      </c>
      <c r="D103" s="68">
        <v>0</v>
      </c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68">
        <v>0</v>
      </c>
      <c r="U103" s="68">
        <v>0</v>
      </c>
      <c r="V103" s="68">
        <v>0</v>
      </c>
      <c r="W103" s="68">
        <v>0</v>
      </c>
      <c r="X103" s="68">
        <v>52</v>
      </c>
      <c r="Y103" s="68">
        <v>67</v>
      </c>
      <c r="Z103" s="68">
        <v>62</v>
      </c>
      <c r="AA103" s="68">
        <v>62</v>
      </c>
      <c r="AB103" s="68">
        <v>40.1</v>
      </c>
      <c r="AC103" s="68">
        <v>37</v>
      </c>
      <c r="AD103" s="68">
        <v>0</v>
      </c>
      <c r="AE103" s="68">
        <v>0</v>
      </c>
      <c r="AF103" s="68"/>
      <c r="AG103" s="69">
        <v>120</v>
      </c>
      <c r="AH103" s="20">
        <f t="shared" si="22"/>
        <v>67</v>
      </c>
      <c r="AI103" s="65">
        <f t="shared" si="23"/>
        <v>0.77083333333333337</v>
      </c>
    </row>
    <row r="104" spans="1:37" x14ac:dyDescent="0.25">
      <c r="A104" s="40" t="s">
        <v>134</v>
      </c>
      <c r="B104" s="68">
        <v>16.8</v>
      </c>
      <c r="C104" s="68">
        <v>23</v>
      </c>
      <c r="D104" s="68">
        <v>13.1</v>
      </c>
      <c r="E104" s="68">
        <v>37.6</v>
      </c>
      <c r="F104" s="68">
        <v>37.6</v>
      </c>
      <c r="G104" s="68">
        <v>39.1</v>
      </c>
      <c r="H104" s="68">
        <v>41.6</v>
      </c>
      <c r="I104" s="68">
        <v>70.7</v>
      </c>
      <c r="J104" s="68">
        <v>75</v>
      </c>
      <c r="K104" s="68">
        <v>72</v>
      </c>
      <c r="L104" s="68">
        <v>69.7</v>
      </c>
      <c r="M104" s="68">
        <v>63.3</v>
      </c>
      <c r="N104" s="68">
        <v>67.5</v>
      </c>
      <c r="O104" s="68">
        <v>64.400000000000006</v>
      </c>
      <c r="P104" s="68">
        <v>56.7</v>
      </c>
      <c r="Q104" s="68">
        <v>65</v>
      </c>
      <c r="R104" s="68">
        <v>71</v>
      </c>
      <c r="S104" s="68">
        <v>85.3</v>
      </c>
      <c r="T104" s="68">
        <v>71</v>
      </c>
      <c r="U104" s="68">
        <v>61</v>
      </c>
      <c r="V104" s="68">
        <v>54</v>
      </c>
      <c r="W104" s="68">
        <v>60</v>
      </c>
      <c r="X104" s="68">
        <v>40</v>
      </c>
      <c r="Y104" s="68">
        <v>55</v>
      </c>
      <c r="Z104" s="68">
        <v>49</v>
      </c>
      <c r="AA104" s="68">
        <v>49</v>
      </c>
      <c r="AB104" s="68">
        <v>42.7</v>
      </c>
      <c r="AC104" s="68">
        <v>41.6</v>
      </c>
      <c r="AD104" s="68">
        <v>25.7</v>
      </c>
      <c r="AE104" s="68">
        <v>24.1</v>
      </c>
      <c r="AF104" s="68"/>
      <c r="AG104" s="69"/>
      <c r="AH104" s="20">
        <f t="shared" si="22"/>
        <v>85.3</v>
      </c>
      <c r="AI104" s="65">
        <f t="shared" si="23"/>
        <v>0.58333333333333304</v>
      </c>
    </row>
    <row r="105" spans="1:37" x14ac:dyDescent="0.25">
      <c r="A105" s="40" t="s">
        <v>133</v>
      </c>
      <c r="B105" s="68">
        <v>40.9</v>
      </c>
      <c r="C105" s="68">
        <v>44.8</v>
      </c>
      <c r="D105" s="68">
        <v>30.4</v>
      </c>
      <c r="E105" s="68">
        <v>55.5</v>
      </c>
      <c r="F105" s="68">
        <v>55.5</v>
      </c>
      <c r="G105" s="68">
        <v>38.9</v>
      </c>
      <c r="H105" s="68">
        <v>50</v>
      </c>
      <c r="I105" s="68">
        <v>50</v>
      </c>
      <c r="J105" s="68">
        <v>55</v>
      </c>
      <c r="K105" s="68">
        <v>82</v>
      </c>
      <c r="L105" s="68">
        <v>50.8</v>
      </c>
      <c r="M105" s="68">
        <v>42.9</v>
      </c>
      <c r="N105" s="68">
        <v>5.2</v>
      </c>
      <c r="O105" s="68">
        <v>8.1</v>
      </c>
      <c r="P105" s="68">
        <v>-18.8</v>
      </c>
      <c r="Q105" s="68">
        <v>-3.1</v>
      </c>
      <c r="R105" s="68">
        <v>-4.5</v>
      </c>
      <c r="S105" s="68">
        <v>3.8</v>
      </c>
      <c r="T105" s="68">
        <v>25</v>
      </c>
      <c r="U105" s="68">
        <v>30</v>
      </c>
      <c r="V105" s="68">
        <v>29</v>
      </c>
      <c r="W105" s="68">
        <v>22</v>
      </c>
      <c r="X105" s="68">
        <v>33</v>
      </c>
      <c r="Y105" s="68">
        <v>17</v>
      </c>
      <c r="Z105" s="68">
        <v>37</v>
      </c>
      <c r="AA105" s="68">
        <v>37</v>
      </c>
      <c r="AB105" s="68">
        <v>24.3</v>
      </c>
      <c r="AC105" s="68">
        <v>24.2</v>
      </c>
      <c r="AD105" s="68">
        <v>8.6999999999999993</v>
      </c>
      <c r="AE105" s="68">
        <v>39.4</v>
      </c>
      <c r="AF105" s="68"/>
      <c r="AG105" s="48"/>
      <c r="AH105" s="20">
        <f t="shared" si="22"/>
        <v>82</v>
      </c>
      <c r="AI105" s="65">
        <f t="shared" si="23"/>
        <v>0.29166666666666669</v>
      </c>
    </row>
    <row r="106" spans="1:37" x14ac:dyDescent="0.25">
      <c r="A106" s="67" t="s">
        <v>132</v>
      </c>
      <c r="B106" s="66">
        <v>101</v>
      </c>
      <c r="C106" s="66">
        <v>102.7</v>
      </c>
      <c r="D106" s="66">
        <v>104.6</v>
      </c>
      <c r="E106" s="66">
        <v>107</v>
      </c>
      <c r="F106" s="66">
        <v>107</v>
      </c>
      <c r="G106" s="66">
        <v>109.5</v>
      </c>
      <c r="H106" s="66">
        <v>113</v>
      </c>
      <c r="I106" s="66">
        <v>106.7</v>
      </c>
      <c r="J106" s="66">
        <v>100</v>
      </c>
      <c r="K106" s="66">
        <v>88</v>
      </c>
      <c r="L106" s="66">
        <v>92</v>
      </c>
      <c r="M106" s="66">
        <v>95.8</v>
      </c>
      <c r="N106" s="66">
        <v>101.9</v>
      </c>
      <c r="O106" s="66">
        <v>95.6</v>
      </c>
      <c r="P106" s="66">
        <v>95.2</v>
      </c>
      <c r="Q106" s="66">
        <v>99.3</v>
      </c>
      <c r="R106" s="66">
        <v>104.2</v>
      </c>
      <c r="S106" s="66">
        <v>86.6</v>
      </c>
      <c r="T106" s="66">
        <v>94</v>
      </c>
      <c r="U106" s="66">
        <v>95</v>
      </c>
      <c r="V106" s="66">
        <v>96</v>
      </c>
      <c r="W106" s="66">
        <v>90</v>
      </c>
      <c r="X106" s="66">
        <v>85</v>
      </c>
      <c r="Y106" s="66">
        <v>71</v>
      </c>
      <c r="Z106" s="66">
        <v>81</v>
      </c>
      <c r="AA106" s="66">
        <v>81</v>
      </c>
      <c r="AB106" s="66">
        <v>84.5</v>
      </c>
      <c r="AC106" s="66">
        <v>84.3</v>
      </c>
      <c r="AD106" s="66">
        <v>87.8</v>
      </c>
      <c r="AE106" s="66">
        <v>94.3</v>
      </c>
      <c r="AF106" s="66"/>
      <c r="AG106" s="48"/>
      <c r="AH106" s="20">
        <f t="shared" si="22"/>
        <v>113</v>
      </c>
      <c r="AI106" s="65">
        <f t="shared" si="23"/>
        <v>0.22916666666666666</v>
      </c>
    </row>
    <row r="107" spans="1:37" ht="15.75" thickBot="1" x14ac:dyDescent="0.3">
      <c r="A107" s="67" t="s">
        <v>131</v>
      </c>
      <c r="B107" s="66">
        <v>91.3</v>
      </c>
      <c r="C107" s="66">
        <v>95.4</v>
      </c>
      <c r="D107" s="66">
        <v>95.5</v>
      </c>
      <c r="E107" s="66">
        <v>80</v>
      </c>
      <c r="F107" s="66">
        <v>80</v>
      </c>
      <c r="G107" s="66">
        <v>70</v>
      </c>
      <c r="H107" s="66">
        <v>62</v>
      </c>
      <c r="I107" s="66">
        <v>43</v>
      </c>
      <c r="J107" s="66">
        <v>47</v>
      </c>
      <c r="K107" s="66">
        <v>65</v>
      </c>
      <c r="L107" s="66">
        <v>75</v>
      </c>
      <c r="M107" s="66">
        <v>64.7</v>
      </c>
      <c r="N107" s="66">
        <v>85</v>
      </c>
      <c r="O107" s="66">
        <v>54.8</v>
      </c>
      <c r="P107" s="66">
        <v>65.5</v>
      </c>
      <c r="Q107" s="66">
        <v>52</v>
      </c>
      <c r="R107" s="66">
        <v>12.6</v>
      </c>
      <c r="S107" s="66">
        <v>15.5</v>
      </c>
      <c r="T107" s="66">
        <v>4.5</v>
      </c>
      <c r="U107" s="66">
        <v>50</v>
      </c>
      <c r="V107" s="66">
        <v>55</v>
      </c>
      <c r="W107" s="66">
        <v>41</v>
      </c>
      <c r="X107" s="66">
        <v>50</v>
      </c>
      <c r="Y107" s="66">
        <v>43</v>
      </c>
      <c r="Z107" s="66">
        <v>51</v>
      </c>
      <c r="AA107" s="66">
        <v>51</v>
      </c>
      <c r="AB107" s="66">
        <v>70.400000000000006</v>
      </c>
      <c r="AC107" s="66">
        <v>69.599999999999994</v>
      </c>
      <c r="AD107" s="66">
        <v>84</v>
      </c>
      <c r="AE107" s="66">
        <v>94.2</v>
      </c>
      <c r="AF107" s="66"/>
      <c r="AG107" s="48"/>
      <c r="AH107" s="20">
        <f t="shared" si="22"/>
        <v>95.5</v>
      </c>
      <c r="AI107" s="65">
        <f t="shared" si="23"/>
        <v>8.3333333333333301E-2</v>
      </c>
    </row>
    <row r="108" spans="1:37" ht="15.75" thickBot="1" x14ac:dyDescent="0.3">
      <c r="A108" s="64" t="s">
        <v>130</v>
      </c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2"/>
      <c r="AH108" s="20"/>
      <c r="AI108" s="19"/>
      <c r="AK108" s="41"/>
    </row>
    <row r="109" spans="1:37" x14ac:dyDescent="0.25">
      <c r="A109" s="61" t="s">
        <v>129</v>
      </c>
      <c r="B109" s="60"/>
      <c r="C109" s="56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59">
        <v>9.94</v>
      </c>
      <c r="AH109" s="20"/>
      <c r="AI109" s="19"/>
      <c r="AK109" s="41"/>
    </row>
    <row r="110" spans="1:37" x14ac:dyDescent="0.25">
      <c r="A110" s="44" t="s">
        <v>128</v>
      </c>
      <c r="B110" s="60"/>
      <c r="C110" s="56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59"/>
      <c r="AH110" s="20"/>
      <c r="AI110" s="19"/>
      <c r="AK110" s="41"/>
    </row>
    <row r="111" spans="1:37" x14ac:dyDescent="0.25">
      <c r="A111" s="44" t="s">
        <v>127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/>
      <c r="AH111" s="20"/>
      <c r="AI111" s="19"/>
      <c r="AK111" s="41"/>
    </row>
    <row r="112" spans="1:37" x14ac:dyDescent="0.25">
      <c r="A112" s="44" t="s">
        <v>126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125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124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123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122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121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120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119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118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117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116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115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114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113</v>
      </c>
      <c r="B125" s="43"/>
      <c r="C125" s="57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58">
        <v>9.9</v>
      </c>
      <c r="AH125" s="20"/>
      <c r="AI125" s="19"/>
      <c r="AK125" s="41"/>
    </row>
    <row r="126" spans="1:37" x14ac:dyDescent="0.25">
      <c r="A126" s="40" t="s">
        <v>112</v>
      </c>
      <c r="B126" s="43"/>
      <c r="C126" s="57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54">
        <v>9.6579999999999995</v>
      </c>
      <c r="AH126" s="20"/>
      <c r="AI126" s="19"/>
      <c r="AK126" s="41"/>
    </row>
    <row r="127" spans="1:37" x14ac:dyDescent="0.25">
      <c r="A127" s="40" t="s">
        <v>111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4">
        <v>9.6</v>
      </c>
      <c r="AH127" s="20"/>
      <c r="AI127" s="19"/>
      <c r="AK127" s="41"/>
    </row>
    <row r="128" spans="1:37" x14ac:dyDescent="0.25">
      <c r="A128" s="40" t="s">
        <v>110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9.51</v>
      </c>
      <c r="AH128" s="20"/>
      <c r="AI128" s="19"/>
      <c r="AK128" s="41"/>
    </row>
    <row r="129" spans="1:37" x14ac:dyDescent="0.25">
      <c r="A129" s="40" t="s">
        <v>109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9.4</v>
      </c>
      <c r="AH129" s="20"/>
      <c r="AI129" s="19"/>
      <c r="AK129" s="41"/>
    </row>
    <row r="130" spans="1:37" x14ac:dyDescent="0.25">
      <c r="A130" s="40" t="s">
        <v>108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8.8000000000000007</v>
      </c>
      <c r="AH130" s="20"/>
      <c r="AI130" s="19"/>
      <c r="AK130" s="41"/>
    </row>
    <row r="131" spans="1:37" x14ac:dyDescent="0.25">
      <c r="A131" s="40" t="s">
        <v>107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8.5</v>
      </c>
      <c r="AH131" s="20"/>
      <c r="AI131" s="19"/>
      <c r="AK131" s="41"/>
    </row>
    <row r="132" spans="1:37" x14ac:dyDescent="0.25">
      <c r="A132" s="40" t="s">
        <v>106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8.5</v>
      </c>
      <c r="AH132" s="20"/>
      <c r="AI132" s="19"/>
      <c r="AK132" s="41"/>
    </row>
    <row r="133" spans="1:37" x14ac:dyDescent="0.25">
      <c r="A133" s="40" t="s">
        <v>105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8.4</v>
      </c>
      <c r="AH133" s="20"/>
      <c r="AI133" s="19"/>
      <c r="AK133" s="41"/>
    </row>
    <row r="134" spans="1:37" ht="13.5" customHeight="1" x14ac:dyDescent="0.25">
      <c r="A134" s="40" t="s">
        <v>104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</v>
      </c>
      <c r="AH134" s="20"/>
      <c r="AI134" s="19"/>
      <c r="AK134" s="41"/>
    </row>
    <row r="135" spans="1:37" x14ac:dyDescent="0.25">
      <c r="A135" s="40" t="s">
        <v>103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</v>
      </c>
      <c r="AH135" s="20"/>
      <c r="AI135" s="19"/>
      <c r="AK135" s="41"/>
    </row>
    <row r="136" spans="1:37" x14ac:dyDescent="0.25">
      <c r="A136" s="40" t="s">
        <v>102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101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7.8</v>
      </c>
      <c r="AH137" s="20"/>
      <c r="AI137" s="19"/>
      <c r="AK137" s="41"/>
    </row>
    <row r="138" spans="1:37" x14ac:dyDescent="0.25">
      <c r="A138" s="40" t="s">
        <v>100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7.6</v>
      </c>
      <c r="AH138" s="20"/>
      <c r="AI138" s="19"/>
      <c r="AK138" s="41"/>
    </row>
    <row r="139" spans="1:37" x14ac:dyDescent="0.25">
      <c r="A139" s="40" t="s">
        <v>99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7.5</v>
      </c>
      <c r="AH139" s="20"/>
      <c r="AI139" s="19"/>
      <c r="AK139" s="41"/>
    </row>
    <row r="140" spans="1:37" x14ac:dyDescent="0.25">
      <c r="A140" s="40" t="s">
        <v>98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7.5</v>
      </c>
      <c r="AH140" s="20"/>
      <c r="AI140" s="19"/>
      <c r="AK140" s="41"/>
    </row>
    <row r="141" spans="1:37" x14ac:dyDescent="0.25">
      <c r="A141" s="40" t="s">
        <v>97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</v>
      </c>
      <c r="AH141" s="20"/>
      <c r="AI141" s="19"/>
      <c r="AK141" s="41"/>
    </row>
    <row r="142" spans="1:37" x14ac:dyDescent="0.25">
      <c r="A142" s="40" t="s">
        <v>96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</v>
      </c>
      <c r="AH142" s="20"/>
      <c r="AI142" s="19"/>
      <c r="AK142" s="41"/>
    </row>
    <row r="143" spans="1:37" x14ac:dyDescent="0.25">
      <c r="A143" s="40" t="s">
        <v>95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94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93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6.6</v>
      </c>
      <c r="AH145" s="20"/>
      <c r="AI145" s="19"/>
      <c r="AK145" s="41"/>
    </row>
    <row r="146" spans="1:37" x14ac:dyDescent="0.25">
      <c r="A146" s="40" t="s">
        <v>92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6.6</v>
      </c>
      <c r="AH146" s="20"/>
      <c r="AI146" s="19"/>
      <c r="AK146" s="41"/>
    </row>
    <row r="147" spans="1:37" x14ac:dyDescent="0.25">
      <c r="A147" s="40" t="s">
        <v>91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6.4</v>
      </c>
      <c r="AH147" s="20"/>
      <c r="AI147" s="19"/>
      <c r="AK147" s="41"/>
    </row>
    <row r="148" spans="1:37" x14ac:dyDescent="0.25">
      <c r="A148" s="40" t="s">
        <v>90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</v>
      </c>
      <c r="AH148" s="20"/>
      <c r="AI148" s="19"/>
      <c r="AK148" s="41"/>
    </row>
    <row r="149" spans="1:37" x14ac:dyDescent="0.25">
      <c r="A149" s="40" t="s">
        <v>89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5.0999999999999996</v>
      </c>
      <c r="AH149" s="20"/>
      <c r="AI149" s="19"/>
      <c r="AK149" s="41"/>
    </row>
    <row r="150" spans="1:37" x14ac:dyDescent="0.25">
      <c r="A150" s="40" t="s">
        <v>88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5</v>
      </c>
      <c r="AH150" s="20"/>
      <c r="AI150" s="19"/>
      <c r="AK150" s="41"/>
    </row>
    <row r="151" spans="1:37" x14ac:dyDescent="0.25">
      <c r="A151" s="44" t="s">
        <v>87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8">
        <v>5</v>
      </c>
      <c r="AH151" s="20"/>
      <c r="AI151" s="19"/>
      <c r="AK151" s="41"/>
    </row>
    <row r="152" spans="1:37" x14ac:dyDescent="0.25">
      <c r="A152" s="40" t="s">
        <v>86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0" t="s">
        <v>85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4">
        <v>5</v>
      </c>
      <c r="AH153" s="20"/>
      <c r="AI153" s="19"/>
      <c r="AK153" s="41"/>
    </row>
    <row r="154" spans="1:37" x14ac:dyDescent="0.25">
      <c r="A154" s="40" t="s">
        <v>84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83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82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81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4.9930000000000003</v>
      </c>
      <c r="AH157" s="20"/>
      <c r="AI157" s="19"/>
      <c r="AK157" s="41"/>
    </row>
    <row r="158" spans="1:37" x14ac:dyDescent="0.25">
      <c r="A158" s="40" t="s">
        <v>80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4.9800000000000004</v>
      </c>
      <c r="AH158" s="20"/>
      <c r="AI158" s="19"/>
      <c r="AK158" s="41"/>
    </row>
    <row r="159" spans="1:37" x14ac:dyDescent="0.25">
      <c r="A159" s="40" t="s">
        <v>79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4.95</v>
      </c>
      <c r="AH159" s="20"/>
      <c r="AI159" s="19"/>
      <c r="AK159" s="41"/>
    </row>
    <row r="160" spans="1:37" x14ac:dyDescent="0.25">
      <c r="A160" s="40" t="s">
        <v>78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4.95</v>
      </c>
      <c r="AH160" s="20"/>
      <c r="AI160" s="19"/>
      <c r="AK160" s="41"/>
    </row>
    <row r="161" spans="1:37" x14ac:dyDescent="0.25">
      <c r="A161" s="40" t="s">
        <v>77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4.8</v>
      </c>
      <c r="AH161" s="20"/>
      <c r="AI161" s="19"/>
      <c r="AK161" s="41"/>
    </row>
    <row r="162" spans="1:37" x14ac:dyDescent="0.25">
      <c r="A162" s="40" t="s">
        <v>76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4.8</v>
      </c>
      <c r="AH162" s="20"/>
      <c r="AI162" s="19"/>
      <c r="AK162" s="41"/>
    </row>
    <row r="163" spans="1:37" x14ac:dyDescent="0.25">
      <c r="A163" s="40" t="s">
        <v>75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74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4.5</v>
      </c>
      <c r="AH164" s="20"/>
      <c r="AI164" s="19"/>
      <c r="AK164" s="41"/>
    </row>
    <row r="165" spans="1:37" x14ac:dyDescent="0.25">
      <c r="A165" s="40" t="s">
        <v>73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4.5</v>
      </c>
      <c r="AH165" s="20"/>
      <c r="AI165" s="19"/>
      <c r="AK165" s="41"/>
    </row>
    <row r="166" spans="1:37" x14ac:dyDescent="0.25">
      <c r="A166" s="40" t="s">
        <v>72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4.4550000000000001</v>
      </c>
      <c r="AH166" s="20"/>
      <c r="AI166" s="19"/>
      <c r="AK166" s="41"/>
    </row>
    <row r="167" spans="1:37" x14ac:dyDescent="0.25">
      <c r="A167" s="40" t="s">
        <v>71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4.41</v>
      </c>
      <c r="AH167" s="20"/>
      <c r="AI167" s="19"/>
      <c r="AK167" s="41"/>
    </row>
    <row r="168" spans="1:37" x14ac:dyDescent="0.25">
      <c r="A168" s="40" t="s">
        <v>70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4.4000000000000004</v>
      </c>
      <c r="AH168" s="20"/>
      <c r="AI168" s="19"/>
      <c r="AK168" s="41"/>
    </row>
    <row r="169" spans="1:37" x14ac:dyDescent="0.25">
      <c r="A169" s="40" t="s">
        <v>69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4.3600000000000003</v>
      </c>
      <c r="AH169" s="20"/>
      <c r="AI169" s="19"/>
      <c r="AK169" s="41"/>
    </row>
    <row r="170" spans="1:37" x14ac:dyDescent="0.25">
      <c r="A170" s="40" t="s">
        <v>68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4.2</v>
      </c>
      <c r="AH170" s="20"/>
      <c r="AI170" s="19"/>
      <c r="AK170" s="41"/>
    </row>
    <row r="171" spans="1:37" x14ac:dyDescent="0.25">
      <c r="A171" s="40" t="s">
        <v>67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</v>
      </c>
      <c r="AH171" s="20"/>
      <c r="AI171" s="19"/>
      <c r="AK171" s="41"/>
    </row>
    <row r="172" spans="1:37" x14ac:dyDescent="0.25">
      <c r="A172" s="40" t="s">
        <v>66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</v>
      </c>
      <c r="AH172" s="20"/>
      <c r="AI172" s="19"/>
      <c r="AK172" s="41"/>
    </row>
    <row r="173" spans="1:37" x14ac:dyDescent="0.25">
      <c r="A173" s="40" t="s">
        <v>65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64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63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62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61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60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59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3.75</v>
      </c>
      <c r="AH179" s="20"/>
      <c r="AI179" s="19"/>
      <c r="AK179" s="41"/>
    </row>
    <row r="180" spans="1:37" x14ac:dyDescent="0.25">
      <c r="A180" s="40" t="s">
        <v>58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3.52</v>
      </c>
      <c r="AH180" s="20"/>
      <c r="AI180" s="19"/>
      <c r="AK180" s="41"/>
    </row>
    <row r="181" spans="1:37" x14ac:dyDescent="0.25">
      <c r="A181" s="40" t="s">
        <v>57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3.33</v>
      </c>
      <c r="AH181" s="20"/>
      <c r="AI181" s="19"/>
      <c r="AK181" s="41"/>
    </row>
    <row r="182" spans="1:37" x14ac:dyDescent="0.25">
      <c r="A182" s="40" t="s">
        <v>56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3.2</v>
      </c>
      <c r="AH182" s="20"/>
      <c r="AI182" s="19"/>
      <c r="AK182" s="41"/>
    </row>
    <row r="183" spans="1:37" x14ac:dyDescent="0.25">
      <c r="A183" s="40" t="s">
        <v>55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</v>
      </c>
      <c r="AH183" s="20"/>
      <c r="AI183" s="19"/>
      <c r="AK183" s="41"/>
    </row>
    <row r="184" spans="1:37" x14ac:dyDescent="0.25">
      <c r="A184" s="40" t="s">
        <v>54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</v>
      </c>
      <c r="AH184" s="20"/>
      <c r="AI184" s="19"/>
      <c r="AK184" s="41"/>
    </row>
    <row r="185" spans="1:37" x14ac:dyDescent="0.25">
      <c r="A185" s="40" t="s">
        <v>53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52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51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50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49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48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47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2.83</v>
      </c>
      <c r="AH191" s="20"/>
      <c r="AI191" s="19"/>
      <c r="AK191" s="41"/>
    </row>
    <row r="192" spans="1:37" x14ac:dyDescent="0.25">
      <c r="A192" s="40" t="s">
        <v>46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2.5</v>
      </c>
      <c r="AH192" s="20"/>
      <c r="AI192" s="19"/>
      <c r="AK192" s="41"/>
    </row>
    <row r="193" spans="1:37" x14ac:dyDescent="0.25">
      <c r="A193" s="40" t="s">
        <v>45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2.5</v>
      </c>
      <c r="AH193" s="20"/>
      <c r="AI193" s="19"/>
      <c r="AK193" s="41"/>
    </row>
    <row r="194" spans="1:37" x14ac:dyDescent="0.25">
      <c r="A194" s="40" t="s">
        <v>44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2.4</v>
      </c>
      <c r="AH194" s="20"/>
      <c r="AI194" s="19"/>
      <c r="AK194" s="41"/>
    </row>
    <row r="195" spans="1:37" x14ac:dyDescent="0.25">
      <c r="A195" s="40" t="s">
        <v>43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2.4</v>
      </c>
      <c r="AH195" s="20"/>
      <c r="AI195" s="19"/>
      <c r="AK195" s="41"/>
    </row>
    <row r="196" spans="1:37" x14ac:dyDescent="0.25">
      <c r="A196" s="40" t="s">
        <v>42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2.2000000000000002</v>
      </c>
      <c r="AH196" s="20"/>
      <c r="AI196" s="19"/>
      <c r="AK196" s="41"/>
    </row>
    <row r="197" spans="1:37" x14ac:dyDescent="0.25">
      <c r="A197" s="40" t="s">
        <v>41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</v>
      </c>
      <c r="AH197" s="20"/>
      <c r="AI197" s="19"/>
      <c r="AK197" s="41"/>
    </row>
    <row r="198" spans="1:37" x14ac:dyDescent="0.25">
      <c r="A198" s="40" t="s">
        <v>40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</v>
      </c>
      <c r="AH198" s="20"/>
      <c r="AI198" s="19"/>
      <c r="AK198" s="41"/>
    </row>
    <row r="199" spans="1:37" x14ac:dyDescent="0.25">
      <c r="A199" s="40" t="s">
        <v>39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38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1.8</v>
      </c>
      <c r="AH200" s="20"/>
      <c r="AI200" s="19"/>
      <c r="AK200" s="41"/>
    </row>
    <row r="201" spans="1:37" x14ac:dyDescent="0.25">
      <c r="A201" s="40" t="s">
        <v>37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1.8</v>
      </c>
      <c r="AH201" s="20"/>
      <c r="AI201" s="19"/>
      <c r="AK201" s="41"/>
    </row>
    <row r="202" spans="1:37" x14ac:dyDescent="0.25">
      <c r="A202" s="40" t="s">
        <v>36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1.65</v>
      </c>
      <c r="AH202" s="20"/>
      <c r="AI202" s="19"/>
      <c r="AK202" s="41"/>
    </row>
    <row r="203" spans="1:37" x14ac:dyDescent="0.25">
      <c r="A203" s="40" t="s">
        <v>35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1.5</v>
      </c>
      <c r="AH203" s="20"/>
      <c r="AI203" s="19"/>
      <c r="AK203" s="41"/>
    </row>
    <row r="204" spans="1:37" x14ac:dyDescent="0.25">
      <c r="A204" s="40" t="s">
        <v>34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0.998</v>
      </c>
      <c r="AH204" s="20"/>
      <c r="AI204" s="19"/>
      <c r="AK204" s="41"/>
    </row>
    <row r="205" spans="1:37" x14ac:dyDescent="0.25">
      <c r="A205" s="40" t="s">
        <v>33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0.997</v>
      </c>
      <c r="AH205" s="20"/>
      <c r="AI205" s="19"/>
      <c r="AK205" s="41"/>
    </row>
    <row r="206" spans="1:37" x14ac:dyDescent="0.25">
      <c r="A206" s="40" t="s">
        <v>32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0.997</v>
      </c>
      <c r="AH206" s="20"/>
      <c r="AI206" s="19"/>
      <c r="AK206" s="41"/>
    </row>
    <row r="207" spans="1:37" x14ac:dyDescent="0.25">
      <c r="A207" s="40" t="s">
        <v>31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0.996</v>
      </c>
      <c r="AH207" s="20"/>
      <c r="AI207" s="19"/>
      <c r="AK207" s="41"/>
    </row>
    <row r="208" spans="1:37" x14ac:dyDescent="0.25">
      <c r="A208" s="40" t="s">
        <v>30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0.996</v>
      </c>
      <c r="AH208" s="20"/>
      <c r="AI208" s="19"/>
      <c r="AK208" s="41"/>
    </row>
    <row r="209" spans="1:37" x14ac:dyDescent="0.25">
      <c r="A209" s="40" t="s">
        <v>29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28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0.995</v>
      </c>
      <c r="AH210" s="20"/>
      <c r="AI210" s="19"/>
      <c r="AK210" s="41"/>
    </row>
    <row r="211" spans="1:37" x14ac:dyDescent="0.25">
      <c r="A211" s="40" t="s">
        <v>27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0.99299999999999999</v>
      </c>
      <c r="AH211" s="20"/>
      <c r="AI211" s="19"/>
      <c r="AK211" s="41"/>
    </row>
    <row r="212" spans="1:37" x14ac:dyDescent="0.25">
      <c r="A212" s="40" t="s">
        <v>26</v>
      </c>
      <c r="B212" s="43"/>
      <c r="C212" s="56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</v>
      </c>
      <c r="AH212" s="20"/>
      <c r="AI212" s="19"/>
      <c r="AK212" s="41"/>
    </row>
    <row r="213" spans="1:37" ht="15.75" thickBot="1" x14ac:dyDescent="0.3">
      <c r="A213" s="40" t="s">
        <v>25</v>
      </c>
      <c r="B213" s="39"/>
      <c r="C213" s="55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54">
        <v>0.97899999999999998</v>
      </c>
      <c r="AH213" s="20"/>
      <c r="AI213" s="19"/>
      <c r="AK213" s="41"/>
    </row>
    <row r="214" spans="1:37" ht="15.75" thickBot="1" x14ac:dyDescent="0.3">
      <c r="A214" s="53" t="s">
        <v>24</v>
      </c>
      <c r="B214" s="52">
        <f t="shared" ref="B214:AG214" si="24">SUM(B109:B213)</f>
        <v>0</v>
      </c>
      <c r="C214" s="36">
        <f t="shared" si="24"/>
        <v>0</v>
      </c>
      <c r="D214" s="36">
        <f t="shared" si="24"/>
        <v>0</v>
      </c>
      <c r="E214" s="36">
        <f t="shared" si="24"/>
        <v>0</v>
      </c>
      <c r="F214" s="36">
        <f t="shared" si="24"/>
        <v>0</v>
      </c>
      <c r="G214" s="36">
        <f t="shared" si="24"/>
        <v>0</v>
      </c>
      <c r="H214" s="36">
        <f t="shared" si="24"/>
        <v>0</v>
      </c>
      <c r="I214" s="36">
        <f t="shared" si="24"/>
        <v>0</v>
      </c>
      <c r="J214" s="36">
        <f t="shared" si="24"/>
        <v>0</v>
      </c>
      <c r="K214" s="36">
        <f t="shared" si="24"/>
        <v>0</v>
      </c>
      <c r="L214" s="36">
        <f t="shared" si="24"/>
        <v>0</v>
      </c>
      <c r="M214" s="36">
        <f t="shared" si="24"/>
        <v>0</v>
      </c>
      <c r="N214" s="36">
        <f t="shared" si="24"/>
        <v>0</v>
      </c>
      <c r="O214" s="36">
        <f t="shared" si="24"/>
        <v>0</v>
      </c>
      <c r="P214" s="36">
        <f t="shared" si="24"/>
        <v>0</v>
      </c>
      <c r="Q214" s="36">
        <f t="shared" si="24"/>
        <v>0</v>
      </c>
      <c r="R214" s="36">
        <f t="shared" si="24"/>
        <v>0</v>
      </c>
      <c r="S214" s="36">
        <f t="shared" si="24"/>
        <v>0</v>
      </c>
      <c r="T214" s="36">
        <f t="shared" si="24"/>
        <v>0</v>
      </c>
      <c r="U214" s="36">
        <f t="shared" si="24"/>
        <v>0</v>
      </c>
      <c r="V214" s="36">
        <f t="shared" si="24"/>
        <v>0</v>
      </c>
      <c r="W214" s="36">
        <f t="shared" si="24"/>
        <v>0</v>
      </c>
      <c r="X214" s="36">
        <f t="shared" si="24"/>
        <v>0</v>
      </c>
      <c r="Y214" s="36">
        <f t="shared" si="24"/>
        <v>0</v>
      </c>
      <c r="Z214" s="36">
        <f t="shared" si="24"/>
        <v>0</v>
      </c>
      <c r="AA214" s="36">
        <f t="shared" si="24"/>
        <v>0</v>
      </c>
      <c r="AB214" s="36">
        <f t="shared" si="24"/>
        <v>0</v>
      </c>
      <c r="AC214" s="36">
        <f t="shared" si="24"/>
        <v>0</v>
      </c>
      <c r="AD214" s="36">
        <f t="shared" si="24"/>
        <v>0</v>
      </c>
      <c r="AE214" s="36">
        <f t="shared" si="24"/>
        <v>0</v>
      </c>
      <c r="AF214" s="51">
        <f t="shared" si="24"/>
        <v>0</v>
      </c>
      <c r="AG214" s="50">
        <f t="shared" si="24"/>
        <v>412.72299999999984</v>
      </c>
      <c r="AH214" s="20"/>
      <c r="AI214" s="19"/>
      <c r="AK214" s="41"/>
    </row>
    <row r="215" spans="1:37" ht="15.75" thickBot="1" x14ac:dyDescent="0.3">
      <c r="A215" s="49" t="s">
        <v>17</v>
      </c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48"/>
      <c r="AH215" s="20"/>
      <c r="AI215" s="19"/>
      <c r="AK215" s="41"/>
    </row>
    <row r="216" spans="1:37" x14ac:dyDescent="0.25">
      <c r="A216" s="47" t="s">
        <v>23</v>
      </c>
      <c r="B216" s="46">
        <f t="shared" ref="B216:B221" si="25">AF216</f>
        <v>0</v>
      </c>
      <c r="C216" s="46">
        <v>0.3</v>
      </c>
      <c r="D216" s="46">
        <f t="shared" ref="D216:P221" si="26">C216</f>
        <v>0.3</v>
      </c>
      <c r="E216" s="46">
        <f t="shared" si="26"/>
        <v>0.3</v>
      </c>
      <c r="F216" s="46">
        <f t="shared" si="26"/>
        <v>0.3</v>
      </c>
      <c r="G216" s="46">
        <f t="shared" si="26"/>
        <v>0.3</v>
      </c>
      <c r="H216" s="46">
        <f t="shared" si="26"/>
        <v>0.3</v>
      </c>
      <c r="I216" s="46">
        <f t="shared" si="26"/>
        <v>0.3</v>
      </c>
      <c r="J216" s="46">
        <f t="shared" si="26"/>
        <v>0.3</v>
      </c>
      <c r="K216" s="46">
        <f t="shared" si="26"/>
        <v>0.3</v>
      </c>
      <c r="L216" s="46">
        <f t="shared" si="26"/>
        <v>0.3</v>
      </c>
      <c r="M216" s="46">
        <f t="shared" si="26"/>
        <v>0.3</v>
      </c>
      <c r="N216" s="46">
        <f t="shared" si="26"/>
        <v>0.3</v>
      </c>
      <c r="O216" s="46">
        <f t="shared" si="26"/>
        <v>0.3</v>
      </c>
      <c r="P216" s="46">
        <f t="shared" si="26"/>
        <v>0.3</v>
      </c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5">
        <v>2.4</v>
      </c>
      <c r="AH216" s="20"/>
      <c r="AI216" s="19"/>
      <c r="AK216" s="41"/>
    </row>
    <row r="217" spans="1:37" x14ac:dyDescent="0.25">
      <c r="A217" s="44" t="s">
        <v>22</v>
      </c>
      <c r="B217" s="43">
        <f t="shared" si="25"/>
        <v>0</v>
      </c>
      <c r="C217" s="43">
        <v>0.4</v>
      </c>
      <c r="D217" s="43">
        <f t="shared" si="26"/>
        <v>0.4</v>
      </c>
      <c r="E217" s="43">
        <f t="shared" si="26"/>
        <v>0.4</v>
      </c>
      <c r="F217" s="43">
        <f t="shared" si="26"/>
        <v>0.4</v>
      </c>
      <c r="G217" s="43">
        <f t="shared" si="26"/>
        <v>0.4</v>
      </c>
      <c r="H217" s="43">
        <f t="shared" si="26"/>
        <v>0.4</v>
      </c>
      <c r="I217" s="43">
        <f t="shared" si="26"/>
        <v>0.4</v>
      </c>
      <c r="J217" s="43">
        <f t="shared" si="26"/>
        <v>0.4</v>
      </c>
      <c r="K217" s="43">
        <f t="shared" si="26"/>
        <v>0.4</v>
      </c>
      <c r="L217" s="43">
        <f t="shared" si="26"/>
        <v>0.4</v>
      </c>
      <c r="M217" s="43">
        <f t="shared" si="26"/>
        <v>0.4</v>
      </c>
      <c r="N217" s="43">
        <f t="shared" si="26"/>
        <v>0.4</v>
      </c>
      <c r="O217" s="43">
        <f t="shared" si="26"/>
        <v>0.4</v>
      </c>
      <c r="P217" s="43">
        <f t="shared" si="26"/>
        <v>0.4</v>
      </c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2">
        <v>2</v>
      </c>
      <c r="AH217" s="20"/>
      <c r="AI217" s="19"/>
      <c r="AK217" s="41"/>
    </row>
    <row r="218" spans="1:37" x14ac:dyDescent="0.25">
      <c r="A218" s="44" t="s">
        <v>21</v>
      </c>
      <c r="B218" s="43">
        <f t="shared" si="25"/>
        <v>0</v>
      </c>
      <c r="C218" s="43">
        <v>1.5</v>
      </c>
      <c r="D218" s="43">
        <f t="shared" si="26"/>
        <v>1.5</v>
      </c>
      <c r="E218" s="43">
        <f t="shared" si="26"/>
        <v>1.5</v>
      </c>
      <c r="F218" s="43">
        <f t="shared" si="26"/>
        <v>1.5</v>
      </c>
      <c r="G218" s="43">
        <f t="shared" si="26"/>
        <v>1.5</v>
      </c>
      <c r="H218" s="43">
        <f t="shared" si="26"/>
        <v>1.5</v>
      </c>
      <c r="I218" s="43">
        <f t="shared" si="26"/>
        <v>1.5</v>
      </c>
      <c r="J218" s="43">
        <f t="shared" si="26"/>
        <v>1.5</v>
      </c>
      <c r="K218" s="43">
        <f t="shared" si="26"/>
        <v>1.5</v>
      </c>
      <c r="L218" s="43">
        <f t="shared" si="26"/>
        <v>1.5</v>
      </c>
      <c r="M218" s="43">
        <f t="shared" si="26"/>
        <v>1.5</v>
      </c>
      <c r="N218" s="43">
        <f t="shared" si="26"/>
        <v>1.5</v>
      </c>
      <c r="O218" s="43">
        <f t="shared" si="26"/>
        <v>1.5</v>
      </c>
      <c r="P218" s="43">
        <f t="shared" si="26"/>
        <v>1.5</v>
      </c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2">
        <v>1.5</v>
      </c>
      <c r="AH218" s="20"/>
      <c r="AI218" s="19"/>
      <c r="AK218" s="41"/>
    </row>
    <row r="219" spans="1:37" x14ac:dyDescent="0.25">
      <c r="A219" s="44" t="s">
        <v>20</v>
      </c>
      <c r="B219" s="43">
        <f t="shared" si="25"/>
        <v>0</v>
      </c>
      <c r="C219" s="43">
        <v>0.3</v>
      </c>
      <c r="D219" s="43">
        <f t="shared" si="26"/>
        <v>0.3</v>
      </c>
      <c r="E219" s="43">
        <f t="shared" si="26"/>
        <v>0.3</v>
      </c>
      <c r="F219" s="43">
        <f t="shared" si="26"/>
        <v>0.3</v>
      </c>
      <c r="G219" s="43">
        <f t="shared" si="26"/>
        <v>0.3</v>
      </c>
      <c r="H219" s="43">
        <f t="shared" si="26"/>
        <v>0.3</v>
      </c>
      <c r="I219" s="43">
        <f t="shared" si="26"/>
        <v>0.3</v>
      </c>
      <c r="J219" s="43">
        <f t="shared" si="26"/>
        <v>0.3</v>
      </c>
      <c r="K219" s="43">
        <f t="shared" si="26"/>
        <v>0.3</v>
      </c>
      <c r="L219" s="43">
        <f t="shared" si="26"/>
        <v>0.3</v>
      </c>
      <c r="M219" s="43">
        <f t="shared" si="26"/>
        <v>0.3</v>
      </c>
      <c r="N219" s="43">
        <f t="shared" si="26"/>
        <v>0.3</v>
      </c>
      <c r="O219" s="43">
        <f t="shared" si="26"/>
        <v>0.3</v>
      </c>
      <c r="P219" s="43">
        <f t="shared" si="26"/>
        <v>0.3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1</v>
      </c>
      <c r="AH219" s="20"/>
      <c r="AI219" s="19"/>
      <c r="AK219" s="41"/>
    </row>
    <row r="220" spans="1:37" x14ac:dyDescent="0.25">
      <c r="A220" s="44" t="s">
        <v>19</v>
      </c>
      <c r="B220" s="43">
        <f t="shared" si="25"/>
        <v>0</v>
      </c>
      <c r="C220" s="43">
        <v>0.4</v>
      </c>
      <c r="D220" s="43">
        <f t="shared" si="26"/>
        <v>0.4</v>
      </c>
      <c r="E220" s="43">
        <f t="shared" si="26"/>
        <v>0.4</v>
      </c>
      <c r="F220" s="43">
        <f t="shared" si="26"/>
        <v>0.4</v>
      </c>
      <c r="G220" s="43">
        <f t="shared" si="26"/>
        <v>0.4</v>
      </c>
      <c r="H220" s="43">
        <f t="shared" si="26"/>
        <v>0.4</v>
      </c>
      <c r="I220" s="43">
        <f t="shared" si="26"/>
        <v>0.4</v>
      </c>
      <c r="J220" s="43">
        <f t="shared" si="26"/>
        <v>0.4</v>
      </c>
      <c r="K220" s="43">
        <f t="shared" si="26"/>
        <v>0.4</v>
      </c>
      <c r="L220" s="43">
        <f t="shared" si="26"/>
        <v>0.4</v>
      </c>
      <c r="M220" s="43">
        <f t="shared" si="26"/>
        <v>0.4</v>
      </c>
      <c r="N220" s="43">
        <f t="shared" si="26"/>
        <v>0.4</v>
      </c>
      <c r="O220" s="43">
        <f t="shared" si="26"/>
        <v>0.4</v>
      </c>
      <c r="P220" s="43">
        <f t="shared" si="26"/>
        <v>0.4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</v>
      </c>
      <c r="AH220" s="20"/>
      <c r="AI220" s="19"/>
      <c r="AK220" s="41"/>
    </row>
    <row r="221" spans="1:37" ht="15.75" thickBot="1" x14ac:dyDescent="0.3">
      <c r="A221" s="40" t="s">
        <v>18</v>
      </c>
      <c r="B221" s="39">
        <f t="shared" si="25"/>
        <v>0</v>
      </c>
      <c r="C221" s="39">
        <v>0.64</v>
      </c>
      <c r="D221" s="39">
        <f t="shared" si="26"/>
        <v>0.64</v>
      </c>
      <c r="E221" s="39">
        <f t="shared" si="26"/>
        <v>0.64</v>
      </c>
      <c r="F221" s="39">
        <f t="shared" si="26"/>
        <v>0.64</v>
      </c>
      <c r="G221" s="39">
        <f t="shared" si="26"/>
        <v>0.64</v>
      </c>
      <c r="H221" s="39">
        <f t="shared" si="26"/>
        <v>0.64</v>
      </c>
      <c r="I221" s="39">
        <f t="shared" si="26"/>
        <v>0.64</v>
      </c>
      <c r="J221" s="39">
        <f t="shared" si="26"/>
        <v>0.64</v>
      </c>
      <c r="K221" s="39">
        <f t="shared" si="26"/>
        <v>0.64</v>
      </c>
      <c r="L221" s="39">
        <f t="shared" si="26"/>
        <v>0.64</v>
      </c>
      <c r="M221" s="39">
        <f t="shared" si="26"/>
        <v>0.64</v>
      </c>
      <c r="N221" s="39">
        <f t="shared" si="26"/>
        <v>0.64</v>
      </c>
      <c r="O221" s="39">
        <f t="shared" si="26"/>
        <v>0.64</v>
      </c>
      <c r="P221" s="39">
        <f t="shared" si="26"/>
        <v>0.64</v>
      </c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8">
        <v>0.66</v>
      </c>
      <c r="AH221" s="20"/>
      <c r="AI221" s="19"/>
    </row>
    <row r="222" spans="1:37" ht="15.75" thickBot="1" x14ac:dyDescent="0.3">
      <c r="A222" s="37" t="s">
        <v>17</v>
      </c>
      <c r="B222" s="36">
        <f t="shared" ref="B222:AG222" si="27">SUM(B216:B221)</f>
        <v>0</v>
      </c>
      <c r="C222" s="36">
        <f t="shared" si="27"/>
        <v>3.54</v>
      </c>
      <c r="D222" s="36">
        <f t="shared" si="27"/>
        <v>3.54</v>
      </c>
      <c r="E222" s="36">
        <f t="shared" si="27"/>
        <v>3.54</v>
      </c>
      <c r="F222" s="36">
        <f t="shared" si="27"/>
        <v>3.54</v>
      </c>
      <c r="G222" s="36">
        <f t="shared" si="27"/>
        <v>3.54</v>
      </c>
      <c r="H222" s="36">
        <f t="shared" si="27"/>
        <v>3.54</v>
      </c>
      <c r="I222" s="36">
        <f t="shared" si="27"/>
        <v>3.54</v>
      </c>
      <c r="J222" s="36">
        <f t="shared" si="27"/>
        <v>3.54</v>
      </c>
      <c r="K222" s="36">
        <f t="shared" si="27"/>
        <v>3.54</v>
      </c>
      <c r="L222" s="36">
        <f t="shared" si="27"/>
        <v>3.54</v>
      </c>
      <c r="M222" s="36">
        <f t="shared" si="27"/>
        <v>3.54</v>
      </c>
      <c r="N222" s="36">
        <f t="shared" si="27"/>
        <v>3.54</v>
      </c>
      <c r="O222" s="36">
        <f t="shared" si="27"/>
        <v>3.54</v>
      </c>
      <c r="P222" s="36">
        <f t="shared" si="27"/>
        <v>3.54</v>
      </c>
      <c r="Q222" s="36">
        <f t="shared" si="27"/>
        <v>0</v>
      </c>
      <c r="R222" s="36">
        <f t="shared" si="27"/>
        <v>0</v>
      </c>
      <c r="S222" s="36">
        <f t="shared" si="27"/>
        <v>0</v>
      </c>
      <c r="T222" s="36">
        <f t="shared" si="27"/>
        <v>0</v>
      </c>
      <c r="U222" s="36">
        <f t="shared" si="27"/>
        <v>0</v>
      </c>
      <c r="V222" s="36">
        <f t="shared" si="27"/>
        <v>0</v>
      </c>
      <c r="W222" s="36">
        <f t="shared" si="27"/>
        <v>0</v>
      </c>
      <c r="X222" s="36">
        <f t="shared" si="27"/>
        <v>0</v>
      </c>
      <c r="Y222" s="36">
        <f t="shared" si="27"/>
        <v>0</v>
      </c>
      <c r="Z222" s="36">
        <f t="shared" si="27"/>
        <v>0</v>
      </c>
      <c r="AA222" s="36">
        <f t="shared" si="27"/>
        <v>0</v>
      </c>
      <c r="AB222" s="36">
        <f t="shared" si="27"/>
        <v>0</v>
      </c>
      <c r="AC222" s="36">
        <f t="shared" si="27"/>
        <v>0</v>
      </c>
      <c r="AD222" s="36">
        <f t="shared" si="27"/>
        <v>0</v>
      </c>
      <c r="AE222" s="36">
        <f t="shared" si="27"/>
        <v>0</v>
      </c>
      <c r="AF222" s="36">
        <f t="shared" si="27"/>
        <v>0</v>
      </c>
      <c r="AG222" s="35">
        <f t="shared" si="27"/>
        <v>8.56</v>
      </c>
      <c r="AH222" s="20"/>
      <c r="AI222" s="19"/>
    </row>
    <row r="223" spans="1:37" ht="15.75" thickBot="1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34"/>
      <c r="AH223" s="2"/>
    </row>
    <row r="224" spans="1:37" x14ac:dyDescent="0.25">
      <c r="A224" s="33" t="s">
        <v>0</v>
      </c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1"/>
      <c r="AG224" s="2"/>
      <c r="AH224" s="20"/>
      <c r="AI224" s="19"/>
    </row>
    <row r="225" spans="1:50" x14ac:dyDescent="0.25">
      <c r="A225" s="30" t="s">
        <v>16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8"/>
      <c r="AG225" s="21"/>
      <c r="AH225" s="20"/>
      <c r="AI225" s="19"/>
    </row>
    <row r="226" spans="1:50" x14ac:dyDescent="0.25">
      <c r="A226" s="27" t="s">
        <v>15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5"/>
      <c r="AG226" s="21"/>
      <c r="AH226" s="20"/>
      <c r="AI226" s="19"/>
    </row>
    <row r="227" spans="1:50" x14ac:dyDescent="0.25">
      <c r="A227" s="27" t="s">
        <v>14</v>
      </c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5"/>
      <c r="AG227" s="21"/>
      <c r="AH227" s="20"/>
      <c r="AI227" s="19"/>
    </row>
    <row r="228" spans="1:50" ht="15.75" thickBot="1" x14ac:dyDescent="0.3">
      <c r="A228" s="24" t="s">
        <v>13</v>
      </c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2"/>
      <c r="AG228" s="21"/>
      <c r="AH228" s="20"/>
      <c r="AI228" s="19"/>
    </row>
    <row r="229" spans="1:50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5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50" x14ac:dyDescent="0.25">
      <c r="A231" s="18" t="s">
        <v>12</v>
      </c>
      <c r="B231" s="17">
        <f>MAX(G79:N79)</f>
        <v>1763.14</v>
      </c>
      <c r="C231" s="16">
        <f>INDEX(G9:N9,1,MATCH(MAX(G79:N79),G79:N79,0))</f>
        <v>0.33333333333333331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15" t="str">
        <f ca="1">MID(CELL("filename",C7),FIND("]",CELL("filename",C7))+1,600)</f>
        <v>4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95" t="s">
        <v>11</v>
      </c>
      <c r="B233" s="195"/>
      <c r="C233" s="2"/>
      <c r="D233" s="15" t="str">
        <f ca="1">"Pie Chart of Daily Peak Demand(Inclusive of Export) of Nepal ("&amp;A4&amp;" "&amp;B4&amp;")"</f>
        <v>Pie Chart of Daily Peak Demand(Inclusive of Export) of Nepal (Nepali Date: 2079/06/4)</v>
      </c>
      <c r="E233" s="2"/>
      <c r="F233" s="2"/>
      <c r="G233" s="1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15" t="str">
        <f ca="1">"Daily Load Curve(Excluding of Export) of Nepal ("&amp;A4&amp;" "&amp;B4&amp;")"</f>
        <v>Daily Load Curve(Excluding of Export) of Nepal (Nepali Date: 2079/06/4)</v>
      </c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ht="12.75" customHeight="1" thickBot="1" x14ac:dyDescent="0.3">
      <c r="A234" s="7" t="s">
        <v>10</v>
      </c>
      <c r="B234" s="6"/>
      <c r="C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ht="15.75" thickTop="1" x14ac:dyDescent="0.25">
      <c r="A235" s="7" t="s">
        <v>9</v>
      </c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4" t="s">
        <v>8</v>
      </c>
      <c r="T235" s="13">
        <v>0</v>
      </c>
      <c r="U235" s="12">
        <v>4.1666666666666664E-2</v>
      </c>
      <c r="V235" s="10">
        <v>8.3333333333333301E-2</v>
      </c>
      <c r="W235" s="10">
        <v>0.125</v>
      </c>
      <c r="X235" s="10">
        <v>0.16666666666666699</v>
      </c>
      <c r="Y235" s="10">
        <v>0.20833333333333301</v>
      </c>
      <c r="Z235" s="10">
        <v>0.22916666666666666</v>
      </c>
      <c r="AA235" s="10">
        <v>0.25</v>
      </c>
      <c r="AB235" s="10">
        <v>0.27083333333333331</v>
      </c>
      <c r="AC235" s="10">
        <v>0.29166666666666669</v>
      </c>
      <c r="AD235" s="10">
        <v>0.3125</v>
      </c>
      <c r="AE235" s="11">
        <v>0.33333333333333331</v>
      </c>
      <c r="AF235" s="11">
        <v>0.375</v>
      </c>
      <c r="AG235" s="11">
        <v>0.41666666666666702</v>
      </c>
      <c r="AH235" s="11">
        <v>0.45833333333333298</v>
      </c>
      <c r="AI235" s="11">
        <v>0.5</v>
      </c>
      <c r="AJ235" s="11">
        <v>0.54166666666666696</v>
      </c>
      <c r="AK235" s="11">
        <v>0.58333333333333304</v>
      </c>
      <c r="AL235" s="11">
        <v>0.625</v>
      </c>
      <c r="AM235" s="11">
        <v>0.66666666666666696</v>
      </c>
      <c r="AN235" s="11">
        <v>0.70833333333333304</v>
      </c>
      <c r="AO235" s="11">
        <v>0.72916666666666663</v>
      </c>
      <c r="AP235" s="11">
        <v>0.75</v>
      </c>
      <c r="AQ235" s="11">
        <v>0.77083333333333337</v>
      </c>
      <c r="AR235" s="11">
        <v>0.79166666666666663</v>
      </c>
      <c r="AS235" s="11">
        <v>0.8125</v>
      </c>
      <c r="AT235" s="10">
        <v>0.83333333333333337</v>
      </c>
      <c r="AU235" s="10">
        <v>0.85416666666666663</v>
      </c>
      <c r="AV235" s="10">
        <v>0.875</v>
      </c>
      <c r="AW235" s="10">
        <v>0.91666666666666696</v>
      </c>
      <c r="AX235" s="10">
        <v>0.95833333333333304</v>
      </c>
    </row>
    <row r="236" spans="1:50" x14ac:dyDescent="0.25">
      <c r="A236" s="7" t="s">
        <v>7</v>
      </c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 t="s">
        <v>6</v>
      </c>
      <c r="T236" s="9">
        <f t="shared" ref="T236:AX236" si="28">B79</f>
        <v>1740.94</v>
      </c>
      <c r="U236" s="9">
        <f t="shared" si="28"/>
        <v>1732.3400000000001</v>
      </c>
      <c r="V236" s="9">
        <f t="shared" si="28"/>
        <v>1702.3400000000001</v>
      </c>
      <c r="W236" s="9">
        <f t="shared" si="28"/>
        <v>1666.04</v>
      </c>
      <c r="X236" s="9">
        <f t="shared" si="28"/>
        <v>1671.04</v>
      </c>
      <c r="Y236" s="9">
        <f t="shared" si="28"/>
        <v>1594.54</v>
      </c>
      <c r="Z236" s="9">
        <f t="shared" si="28"/>
        <v>1654.54</v>
      </c>
      <c r="AA236" s="9">
        <f t="shared" si="28"/>
        <v>1635.8400000000001</v>
      </c>
      <c r="AB236" s="9">
        <f t="shared" si="28"/>
        <v>1701.8400000000001</v>
      </c>
      <c r="AC236" s="9">
        <f t="shared" si="28"/>
        <v>1718.14</v>
      </c>
      <c r="AD236" s="9">
        <f t="shared" si="28"/>
        <v>1716.04</v>
      </c>
      <c r="AE236" s="9">
        <f t="shared" si="28"/>
        <v>1763.14</v>
      </c>
      <c r="AF236" s="9">
        <f t="shared" si="28"/>
        <v>1727.14</v>
      </c>
      <c r="AG236" s="9">
        <f t="shared" si="28"/>
        <v>1744.34</v>
      </c>
      <c r="AH236" s="9">
        <f t="shared" si="28"/>
        <v>1763.04</v>
      </c>
      <c r="AI236" s="9">
        <f t="shared" si="28"/>
        <v>1763.04</v>
      </c>
      <c r="AJ236" s="9">
        <f t="shared" si="28"/>
        <v>1762.04</v>
      </c>
      <c r="AK236" s="9">
        <f t="shared" si="28"/>
        <v>1772.5400000000002</v>
      </c>
      <c r="AL236" s="9">
        <f t="shared" si="28"/>
        <v>1779.04</v>
      </c>
      <c r="AM236" s="9">
        <f t="shared" si="28"/>
        <v>1785.04</v>
      </c>
      <c r="AN236" s="9">
        <f t="shared" si="28"/>
        <v>1793.04</v>
      </c>
      <c r="AO236" s="9">
        <f t="shared" si="28"/>
        <v>1793.04</v>
      </c>
      <c r="AP236" s="9">
        <f t="shared" si="28"/>
        <v>1795.04</v>
      </c>
      <c r="AQ236" s="9">
        <f t="shared" si="28"/>
        <v>1814.04</v>
      </c>
      <c r="AR236" s="9">
        <f t="shared" si="28"/>
        <v>1861.04</v>
      </c>
      <c r="AS236" s="9">
        <f t="shared" si="28"/>
        <v>1821.04</v>
      </c>
      <c r="AT236" s="9">
        <f t="shared" si="28"/>
        <v>1848.1399999999999</v>
      </c>
      <c r="AU236" s="9">
        <f t="shared" si="28"/>
        <v>1848.2399999999998</v>
      </c>
      <c r="AV236" s="9">
        <f t="shared" si="28"/>
        <v>1847.34</v>
      </c>
      <c r="AW236" s="9">
        <f t="shared" si="28"/>
        <v>1789.94</v>
      </c>
      <c r="AX236" s="9">
        <f t="shared" si="28"/>
        <v>3.54</v>
      </c>
    </row>
    <row r="237" spans="1:50" x14ac:dyDescent="0.25">
      <c r="A237" s="7" t="s">
        <v>5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50" x14ac:dyDescent="0.25">
      <c r="A238" s="7" t="s">
        <v>4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50" x14ac:dyDescent="0.25">
      <c r="A239" s="7" t="s">
        <v>3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2</v>
      </c>
      <c r="B240" s="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1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A257" s="5" t="s">
        <v>0</v>
      </c>
      <c r="B257" s="4">
        <f t="shared" ref="B257:AE257" si="29">C221</f>
        <v>0.64</v>
      </c>
      <c r="C257" s="4">
        <f t="shared" si="29"/>
        <v>0.64</v>
      </c>
      <c r="D257" s="4">
        <f t="shared" si="29"/>
        <v>0.64</v>
      </c>
      <c r="E257" s="4">
        <f t="shared" si="29"/>
        <v>0.64</v>
      </c>
      <c r="F257" s="4">
        <f t="shared" si="29"/>
        <v>0.64</v>
      </c>
      <c r="G257" s="4">
        <f t="shared" si="29"/>
        <v>0.64</v>
      </c>
      <c r="H257" s="4">
        <f t="shared" si="29"/>
        <v>0.64</v>
      </c>
      <c r="I257" s="4">
        <f t="shared" si="29"/>
        <v>0.64</v>
      </c>
      <c r="J257" s="4">
        <f t="shared" si="29"/>
        <v>0.64</v>
      </c>
      <c r="K257" s="4">
        <f t="shared" si="29"/>
        <v>0.64</v>
      </c>
      <c r="L257" s="4">
        <f t="shared" si="29"/>
        <v>0.64</v>
      </c>
      <c r="M257" s="4">
        <f t="shared" si="29"/>
        <v>0.64</v>
      </c>
      <c r="N257" s="4">
        <f t="shared" si="29"/>
        <v>0.64</v>
      </c>
      <c r="O257" s="4">
        <f t="shared" si="29"/>
        <v>0.64</v>
      </c>
      <c r="P257" s="4">
        <f t="shared" si="29"/>
        <v>0</v>
      </c>
      <c r="Q257" s="4">
        <f t="shared" si="29"/>
        <v>0</v>
      </c>
      <c r="R257" s="4">
        <f t="shared" si="29"/>
        <v>0</v>
      </c>
      <c r="S257" s="4">
        <f t="shared" si="29"/>
        <v>0</v>
      </c>
      <c r="T257" s="4">
        <f t="shared" si="29"/>
        <v>0</v>
      </c>
      <c r="U257" s="4">
        <f t="shared" si="29"/>
        <v>0</v>
      </c>
      <c r="V257" s="4">
        <f t="shared" si="29"/>
        <v>0</v>
      </c>
      <c r="W257" s="4">
        <f t="shared" si="29"/>
        <v>0</v>
      </c>
      <c r="X257" s="4">
        <f t="shared" si="29"/>
        <v>0</v>
      </c>
      <c r="Y257" s="4">
        <f t="shared" si="29"/>
        <v>0</v>
      </c>
      <c r="Z257" s="4">
        <f t="shared" si="29"/>
        <v>0</v>
      </c>
      <c r="AA257" s="4">
        <f t="shared" si="29"/>
        <v>0</v>
      </c>
      <c r="AB257" s="4">
        <f t="shared" si="29"/>
        <v>0</v>
      </c>
      <c r="AC257" s="4">
        <f t="shared" si="29"/>
        <v>0</v>
      </c>
      <c r="AD257" s="4">
        <f t="shared" si="29"/>
        <v>0</v>
      </c>
      <c r="AE257" s="4">
        <f t="shared" si="29"/>
        <v>0</v>
      </c>
      <c r="AF257" s="4">
        <f>B221</f>
        <v>0</v>
      </c>
      <c r="AG257" s="2"/>
      <c r="AH257" s="2"/>
    </row>
    <row r="258" spans="1:34" x14ac:dyDescent="0.25">
      <c r="A258" s="3" t="str">
        <f>A225</f>
        <v>KGA</v>
      </c>
      <c r="B258" s="3" t="str">
        <f t="shared" ref="B258:AF258" si="30">IF(B225&lt;100,"",B225-520)</f>
        <v/>
      </c>
      <c r="C258" s="3" t="str">
        <f t="shared" si="30"/>
        <v/>
      </c>
      <c r="D258" s="3" t="str">
        <f t="shared" si="30"/>
        <v/>
      </c>
      <c r="E258" s="3" t="str">
        <f t="shared" si="30"/>
        <v/>
      </c>
      <c r="F258" s="3" t="str">
        <f t="shared" si="30"/>
        <v/>
      </c>
      <c r="G258" s="3" t="str">
        <f t="shared" si="30"/>
        <v/>
      </c>
      <c r="H258" s="3" t="str">
        <f t="shared" si="30"/>
        <v/>
      </c>
      <c r="I258" s="3" t="str">
        <f t="shared" si="30"/>
        <v/>
      </c>
      <c r="J258" s="3" t="str">
        <f t="shared" si="30"/>
        <v/>
      </c>
      <c r="K258" s="3" t="str">
        <f t="shared" si="30"/>
        <v/>
      </c>
      <c r="L258" s="3" t="str">
        <f t="shared" si="30"/>
        <v/>
      </c>
      <c r="M258" s="3" t="str">
        <f t="shared" si="30"/>
        <v/>
      </c>
      <c r="N258" s="3" t="str">
        <f t="shared" si="30"/>
        <v/>
      </c>
      <c r="O258" s="3" t="str">
        <f t="shared" si="30"/>
        <v/>
      </c>
      <c r="P258" s="3" t="str">
        <f t="shared" si="30"/>
        <v/>
      </c>
      <c r="Q258" s="3" t="str">
        <f t="shared" si="30"/>
        <v/>
      </c>
      <c r="R258" s="3" t="str">
        <f t="shared" si="30"/>
        <v/>
      </c>
      <c r="S258" s="3" t="str">
        <f t="shared" si="30"/>
        <v/>
      </c>
      <c r="T258" s="3" t="str">
        <f t="shared" si="30"/>
        <v/>
      </c>
      <c r="U258" s="3" t="str">
        <f t="shared" si="30"/>
        <v/>
      </c>
      <c r="V258" s="3" t="str">
        <f t="shared" si="30"/>
        <v/>
      </c>
      <c r="W258" s="3" t="str">
        <f t="shared" si="30"/>
        <v/>
      </c>
      <c r="X258" s="3" t="str">
        <f t="shared" si="30"/>
        <v/>
      </c>
      <c r="Y258" s="3" t="str">
        <f t="shared" si="30"/>
        <v/>
      </c>
      <c r="Z258" s="3" t="str">
        <f t="shared" si="30"/>
        <v/>
      </c>
      <c r="AA258" s="3" t="str">
        <f t="shared" si="30"/>
        <v/>
      </c>
      <c r="AB258" s="3" t="str">
        <f t="shared" si="30"/>
        <v/>
      </c>
      <c r="AC258" s="3" t="str">
        <f t="shared" si="30"/>
        <v/>
      </c>
      <c r="AD258" s="3" t="str">
        <f t="shared" si="30"/>
        <v/>
      </c>
      <c r="AE258" s="3" t="str">
        <f t="shared" si="30"/>
        <v/>
      </c>
      <c r="AF258" s="3" t="str">
        <f t="shared" si="30"/>
        <v/>
      </c>
      <c r="AG258" s="2"/>
      <c r="AH258" s="2"/>
    </row>
    <row r="259" spans="1:34" x14ac:dyDescent="0.25">
      <c r="A259" s="3" t="str">
        <f>A226</f>
        <v>MMRS</v>
      </c>
      <c r="B259" s="3" t="str">
        <f t="shared" ref="B259:AF259" si="31">IF(B226&lt;100,"",B226-620)</f>
        <v/>
      </c>
      <c r="C259" s="3" t="str">
        <f t="shared" si="31"/>
        <v/>
      </c>
      <c r="D259" s="3" t="str">
        <f t="shared" si="31"/>
        <v/>
      </c>
      <c r="E259" s="3" t="str">
        <f t="shared" si="31"/>
        <v/>
      </c>
      <c r="F259" s="3" t="str">
        <f t="shared" si="31"/>
        <v/>
      </c>
      <c r="G259" s="3" t="str">
        <f t="shared" si="31"/>
        <v/>
      </c>
      <c r="H259" s="3" t="str">
        <f t="shared" si="31"/>
        <v/>
      </c>
      <c r="I259" s="3" t="str">
        <f t="shared" si="31"/>
        <v/>
      </c>
      <c r="J259" s="3" t="str">
        <f t="shared" si="31"/>
        <v/>
      </c>
      <c r="K259" s="3" t="str">
        <f t="shared" si="31"/>
        <v/>
      </c>
      <c r="L259" s="3" t="str">
        <f t="shared" si="31"/>
        <v/>
      </c>
      <c r="M259" s="3" t="str">
        <f t="shared" si="31"/>
        <v/>
      </c>
      <c r="N259" s="3" t="str">
        <f t="shared" si="31"/>
        <v/>
      </c>
      <c r="O259" s="3" t="str">
        <f t="shared" si="31"/>
        <v/>
      </c>
      <c r="P259" s="3" t="str">
        <f t="shared" si="31"/>
        <v/>
      </c>
      <c r="Q259" s="3" t="str">
        <f t="shared" si="31"/>
        <v/>
      </c>
      <c r="R259" s="3" t="str">
        <f t="shared" si="31"/>
        <v/>
      </c>
      <c r="S259" s="3" t="str">
        <f t="shared" si="31"/>
        <v/>
      </c>
      <c r="T259" s="3" t="str">
        <f t="shared" si="31"/>
        <v/>
      </c>
      <c r="U259" s="3" t="str">
        <f t="shared" si="31"/>
        <v/>
      </c>
      <c r="V259" s="3" t="str">
        <f t="shared" si="31"/>
        <v/>
      </c>
      <c r="W259" s="3" t="str">
        <f t="shared" si="31"/>
        <v/>
      </c>
      <c r="X259" s="3" t="str">
        <f t="shared" si="31"/>
        <v/>
      </c>
      <c r="Y259" s="3" t="str">
        <f t="shared" si="31"/>
        <v/>
      </c>
      <c r="Z259" s="3" t="str">
        <f t="shared" si="31"/>
        <v/>
      </c>
      <c r="AA259" s="3" t="str">
        <f t="shared" si="31"/>
        <v/>
      </c>
      <c r="AB259" s="3" t="str">
        <f t="shared" si="31"/>
        <v/>
      </c>
      <c r="AC259" s="3" t="str">
        <f t="shared" si="31"/>
        <v/>
      </c>
      <c r="AD259" s="3" t="str">
        <f t="shared" si="31"/>
        <v/>
      </c>
      <c r="AE259" s="3" t="str">
        <f t="shared" si="31"/>
        <v/>
      </c>
      <c r="AF259" s="3" t="str">
        <f t="shared" si="31"/>
        <v/>
      </c>
      <c r="AG259" s="2"/>
      <c r="AH259" s="2"/>
    </row>
    <row r="260" spans="1:34" x14ac:dyDescent="0.25">
      <c r="A260" s="3" t="str">
        <f>A227</f>
        <v>MRS</v>
      </c>
      <c r="B260" s="3" t="str">
        <f t="shared" ref="B260:AF260" si="32">IF(B227&lt;100,"",B227-330)</f>
        <v/>
      </c>
      <c r="C260" s="3" t="str">
        <f t="shared" si="32"/>
        <v/>
      </c>
      <c r="D260" s="3" t="str">
        <f t="shared" si="32"/>
        <v/>
      </c>
      <c r="E260" s="3" t="str">
        <f t="shared" si="32"/>
        <v/>
      </c>
      <c r="F260" s="3" t="str">
        <f t="shared" si="32"/>
        <v/>
      </c>
      <c r="G260" s="3" t="str">
        <f t="shared" si="32"/>
        <v/>
      </c>
      <c r="H260" s="3" t="str">
        <f t="shared" si="32"/>
        <v/>
      </c>
      <c r="I260" s="3" t="str">
        <f t="shared" si="32"/>
        <v/>
      </c>
      <c r="J260" s="3" t="str">
        <f t="shared" si="32"/>
        <v/>
      </c>
      <c r="K260" s="3" t="str">
        <f t="shared" si="32"/>
        <v/>
      </c>
      <c r="L260" s="3" t="str">
        <f t="shared" si="32"/>
        <v/>
      </c>
      <c r="M260" s="3" t="str">
        <f t="shared" si="32"/>
        <v/>
      </c>
      <c r="N260" s="3" t="str">
        <f t="shared" si="32"/>
        <v/>
      </c>
      <c r="O260" s="3" t="str">
        <f t="shared" si="32"/>
        <v/>
      </c>
      <c r="P260" s="3" t="str">
        <f t="shared" si="32"/>
        <v/>
      </c>
      <c r="Q260" s="3" t="str">
        <f t="shared" si="32"/>
        <v/>
      </c>
      <c r="R260" s="3" t="str">
        <f t="shared" si="32"/>
        <v/>
      </c>
      <c r="S260" s="3" t="str">
        <f t="shared" si="32"/>
        <v/>
      </c>
      <c r="T260" s="3" t="str">
        <f t="shared" si="32"/>
        <v/>
      </c>
      <c r="U260" s="3" t="str">
        <f t="shared" si="32"/>
        <v/>
      </c>
      <c r="V260" s="3" t="str">
        <f t="shared" si="32"/>
        <v/>
      </c>
      <c r="W260" s="3" t="str">
        <f t="shared" si="32"/>
        <v/>
      </c>
      <c r="X260" s="3" t="str">
        <f t="shared" si="32"/>
        <v/>
      </c>
      <c r="Y260" s="3" t="str">
        <f t="shared" si="32"/>
        <v/>
      </c>
      <c r="Z260" s="3" t="str">
        <f t="shared" si="32"/>
        <v/>
      </c>
      <c r="AA260" s="3" t="str">
        <f t="shared" si="32"/>
        <v/>
      </c>
      <c r="AB260" s="3" t="str">
        <f t="shared" si="32"/>
        <v/>
      </c>
      <c r="AC260" s="3" t="str">
        <f t="shared" si="32"/>
        <v/>
      </c>
      <c r="AD260" s="3" t="str">
        <f t="shared" si="32"/>
        <v/>
      </c>
      <c r="AE260" s="3" t="str">
        <f t="shared" si="32"/>
        <v/>
      </c>
      <c r="AF260" s="3" t="str">
        <f t="shared" si="32"/>
        <v/>
      </c>
      <c r="AG260" s="2"/>
      <c r="AH260" s="2"/>
    </row>
    <row r="261" spans="1:34" x14ac:dyDescent="0.25">
      <c r="A261" s="3" t="str">
        <f>A228</f>
        <v>KL 1</v>
      </c>
      <c r="B261" s="3" t="str">
        <f t="shared" ref="B261:AF261" si="33">IF(B228&lt;100,"",B228-1500)</f>
        <v/>
      </c>
      <c r="C261" s="3" t="str">
        <f t="shared" si="33"/>
        <v/>
      </c>
      <c r="D261" s="3" t="str">
        <f t="shared" si="33"/>
        <v/>
      </c>
      <c r="E261" s="3" t="str">
        <f t="shared" si="33"/>
        <v/>
      </c>
      <c r="F261" s="3" t="str">
        <f t="shared" si="33"/>
        <v/>
      </c>
      <c r="G261" s="3" t="str">
        <f t="shared" si="33"/>
        <v/>
      </c>
      <c r="H261" s="3" t="str">
        <f t="shared" si="33"/>
        <v/>
      </c>
      <c r="I261" s="3" t="str">
        <f t="shared" si="33"/>
        <v/>
      </c>
      <c r="J261" s="3" t="str">
        <f t="shared" si="33"/>
        <v/>
      </c>
      <c r="K261" s="3" t="str">
        <f t="shared" si="33"/>
        <v/>
      </c>
      <c r="L261" s="3" t="str">
        <f t="shared" si="33"/>
        <v/>
      </c>
      <c r="M261" s="3" t="str">
        <f t="shared" si="33"/>
        <v/>
      </c>
      <c r="N261" s="3" t="str">
        <f t="shared" si="33"/>
        <v/>
      </c>
      <c r="O261" s="3" t="str">
        <f t="shared" si="33"/>
        <v/>
      </c>
      <c r="P261" s="3" t="str">
        <f t="shared" si="33"/>
        <v/>
      </c>
      <c r="Q261" s="3" t="str">
        <f t="shared" si="33"/>
        <v/>
      </c>
      <c r="R261" s="3" t="str">
        <f t="shared" si="33"/>
        <v/>
      </c>
      <c r="S261" s="3" t="str">
        <f t="shared" si="33"/>
        <v/>
      </c>
      <c r="T261" s="3" t="str">
        <f t="shared" si="33"/>
        <v/>
      </c>
      <c r="U261" s="3" t="str">
        <f t="shared" si="33"/>
        <v/>
      </c>
      <c r="V261" s="3" t="str">
        <f t="shared" si="33"/>
        <v/>
      </c>
      <c r="W261" s="3" t="str">
        <f t="shared" si="33"/>
        <v/>
      </c>
      <c r="X261" s="3" t="str">
        <f t="shared" si="33"/>
        <v/>
      </c>
      <c r="Y261" s="3" t="str">
        <f t="shared" si="33"/>
        <v/>
      </c>
      <c r="Z261" s="3" t="str">
        <f t="shared" si="33"/>
        <v/>
      </c>
      <c r="AA261" s="3" t="str">
        <f t="shared" si="33"/>
        <v/>
      </c>
      <c r="AB261" s="3" t="str">
        <f t="shared" si="33"/>
        <v/>
      </c>
      <c r="AC261" s="3" t="str">
        <f t="shared" si="33"/>
        <v/>
      </c>
      <c r="AD261" s="3" t="str">
        <f t="shared" si="33"/>
        <v/>
      </c>
      <c r="AE261" s="3" t="str">
        <f t="shared" si="33"/>
        <v/>
      </c>
      <c r="AF261" s="3" t="str">
        <f t="shared" si="33"/>
        <v/>
      </c>
      <c r="AG261" s="2"/>
      <c r="AH261" s="2"/>
    </row>
    <row r="262" spans="1:34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</sheetData>
  <mergeCells count="48">
    <mergeCell ref="A233:B233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223">
    <cfRule type="expression" dxfId="580" priority="15">
      <formula>$AH11=0</formula>
    </cfRule>
  </conditionalFormatting>
  <conditionalFormatting sqref="B8 M8 S8 AB8">
    <cfRule type="expression" dxfId="579" priority="225">
      <formula>C$9&lt;8/24</formula>
    </cfRule>
    <cfRule type="expression" dxfId="578" priority="223">
      <formula>AND(C$9&gt;=14/24,C$9&lt;20/24)</formula>
    </cfRule>
    <cfRule type="expression" dxfId="577" priority="224">
      <formula>AND(C$9&gt;=8/24,C$9&lt;14/24)</formula>
    </cfRule>
  </conditionalFormatting>
  <conditionalFormatting sqref="B11:AA11">
    <cfRule type="expression" dxfId="576" priority="121">
      <formula>B$9&lt;8/24</formula>
    </cfRule>
    <cfRule type="expression" dxfId="575" priority="119">
      <formula>AND(B$9&gt;=14/24,B$9&lt;20/24)</formula>
    </cfRule>
    <cfRule type="expression" dxfId="574" priority="118">
      <formula>B$9&gt;=20/24</formula>
    </cfRule>
    <cfRule type="expression" dxfId="573" priority="120">
      <formula>AND(B$9&gt;=8/24,B$9&lt;14/24)</formula>
    </cfRule>
  </conditionalFormatting>
  <conditionalFormatting sqref="B11:AA16">
    <cfRule type="expression" dxfId="572" priority="113">
      <formula>B11&gt;$AG11</formula>
    </cfRule>
  </conditionalFormatting>
  <conditionalFormatting sqref="B12:AE23">
    <cfRule type="expression" dxfId="571" priority="66">
      <formula>AND(B$9&gt;=14/24,B$9&lt;20/24)</formula>
    </cfRule>
    <cfRule type="expression" dxfId="570" priority="67">
      <formula>AND(B$9&gt;=8/24,B$9&lt;14/24)</formula>
    </cfRule>
    <cfRule type="expression" dxfId="569" priority="68">
      <formula>B$9&lt;8/24</formula>
    </cfRule>
  </conditionalFormatting>
  <conditionalFormatting sqref="B24:AE26 C57:AF59 B57:B60 C60:AG60 C73:AF76 B73:B77 C77:AG77 B78:AF79">
    <cfRule type="expression" dxfId="568" priority="99">
      <formula>B$9&lt;8/24</formula>
    </cfRule>
    <cfRule type="expression" dxfId="567" priority="98">
      <formula>AND(B$9&gt;=8/24,B$9&lt;14/24)</formula>
    </cfRule>
    <cfRule type="expression" dxfId="566" priority="97">
      <formula>AND(B$9&gt;=14/24,B$9&lt;20/24)</formula>
    </cfRule>
  </conditionalFormatting>
  <conditionalFormatting sqref="B9:AF10 AB11:AF11 B214:AF214 B216:B222 D216:AF222 U235:AF235">
    <cfRule type="expression" dxfId="565" priority="218">
      <formula>AND(B$9&gt;=8/24,B$9&lt;14/24)</formula>
    </cfRule>
    <cfRule type="expression" dxfId="564" priority="217">
      <formula>AND(B$9&gt;=14/24,B$9&lt;20/24)</formula>
    </cfRule>
    <cfRule type="expression" dxfId="563" priority="219">
      <formula>B$9&lt;8/24</formula>
    </cfRule>
  </conditionalFormatting>
  <conditionalFormatting sqref="B12:AF23">
    <cfRule type="expression" dxfId="562" priority="65">
      <formula>B$9&gt;=20/24</formula>
    </cfRule>
  </conditionalFormatting>
  <conditionalFormatting sqref="B17:AF23">
    <cfRule type="expression" dxfId="561" priority="64">
      <formula>B17&gt;$AG17</formula>
    </cfRule>
  </conditionalFormatting>
  <conditionalFormatting sqref="B24:AF34">
    <cfRule type="expression" dxfId="560" priority="78">
      <formula>B24&gt;$AG24</formula>
    </cfRule>
  </conditionalFormatting>
  <conditionalFormatting sqref="B27:AF27">
    <cfRule type="expression" dxfId="559" priority="71">
      <formula>AND(B$9&gt;=8/24,B$9&lt;14/24)</formula>
    </cfRule>
    <cfRule type="expression" dxfId="558" priority="70">
      <formula>AND(B$9&gt;=14/24,B$9&lt;20/24)</formula>
    </cfRule>
    <cfRule type="expression" dxfId="557" priority="69">
      <formula>B$9&gt;=20/24</formula>
    </cfRule>
    <cfRule type="expression" dxfId="556" priority="72">
      <formula>B$9&lt;8/24</formula>
    </cfRule>
  </conditionalFormatting>
  <conditionalFormatting sqref="B28:AF35">
    <cfRule type="expression" dxfId="555" priority="80">
      <formula>AND(B$9&gt;=14/24,B$9&lt;20/24)</formula>
    </cfRule>
    <cfRule type="expression" dxfId="554" priority="81">
      <formula>AND(B$9&gt;=8/24,B$9&lt;14/24)</formula>
    </cfRule>
    <cfRule type="expression" dxfId="553" priority="82">
      <formula>B$9&lt;8/24</formula>
    </cfRule>
    <cfRule type="expression" dxfId="552" priority="79">
      <formula>B$9&gt;=20/24</formula>
    </cfRule>
  </conditionalFormatting>
  <conditionalFormatting sqref="B35:AF37">
    <cfRule type="expression" dxfId="551" priority="100">
      <formula>B35&gt;$AG35</formula>
    </cfRule>
  </conditionalFormatting>
  <conditionalFormatting sqref="B36:AF37">
    <cfRule type="expression" dxfId="550" priority="108">
      <formula>B$9&lt;8/24</formula>
    </cfRule>
    <cfRule type="expression" dxfId="549" priority="105">
      <formula>B$9&gt;=20/24</formula>
    </cfRule>
    <cfRule type="expression" dxfId="548" priority="107">
      <formula>AND(B$9&gt;=8/24,B$9&lt;14/24)</formula>
    </cfRule>
    <cfRule type="expression" dxfId="547" priority="106">
      <formula>AND(B$9&gt;=14/24,B$9&lt;20/24)</formula>
    </cfRule>
  </conditionalFormatting>
  <conditionalFormatting sqref="B43:AF45">
    <cfRule type="expression" dxfId="546" priority="102">
      <formula>AND(B$9&gt;=14/24,B$9&lt;20/24)</formula>
    </cfRule>
    <cfRule type="expression" dxfId="545" priority="103">
      <formula>AND(B$9&gt;=8/24,B$9&lt;14/24)</formula>
    </cfRule>
    <cfRule type="expression" dxfId="544" priority="104">
      <formula>B$9&lt;8/24</formula>
    </cfRule>
    <cfRule type="expression" dxfId="543" priority="101">
      <formula>B$9&gt;=20/24</formula>
    </cfRule>
  </conditionalFormatting>
  <conditionalFormatting sqref="B43:AF54">
    <cfRule type="expression" dxfId="542" priority="1">
      <formula>B43&gt;$AG43</formula>
    </cfRule>
  </conditionalFormatting>
  <conditionalFormatting sqref="B48:AF54">
    <cfRule type="expression" dxfId="541" priority="77">
      <formula>B$9&lt;8/24</formula>
    </cfRule>
    <cfRule type="expression" dxfId="540" priority="76">
      <formula>AND(B$9&gt;=8/24,B$9&lt;14/24)</formula>
    </cfRule>
    <cfRule type="expression" dxfId="539" priority="75">
      <formula>AND(B$9&gt;=14/24,B$9&lt;20/24)</formula>
    </cfRule>
    <cfRule type="expression" dxfId="538" priority="74">
      <formula>B$9&gt;=20/24</formula>
    </cfRule>
  </conditionalFormatting>
  <conditionalFormatting sqref="B61:AF72">
    <cfRule type="expression" dxfId="537" priority="62">
      <formula>B$9&lt;8/24</formula>
    </cfRule>
    <cfRule type="expression" dxfId="536" priority="60">
      <formula>AND(B$9&gt;=14/24,B$9&lt;20/24)</formula>
    </cfRule>
    <cfRule type="expression" dxfId="535" priority="59">
      <formula>B$9&gt;=20/24</formula>
    </cfRule>
    <cfRule type="expression" dxfId="534" priority="61">
      <formula>AND(B$9&gt;=8/24,B$9&lt;14/24)</formula>
    </cfRule>
  </conditionalFormatting>
  <conditionalFormatting sqref="B81:AF97">
    <cfRule type="expression" dxfId="529" priority="40">
      <formula>B$9&lt;8/24</formula>
    </cfRule>
    <cfRule type="expression" dxfId="528" priority="39">
      <formula>AND(B$9&gt;=8/24,B$9&lt;14/24)</formula>
    </cfRule>
    <cfRule type="expression" dxfId="527" priority="37">
      <formula>B$9&gt;=20/24</formula>
    </cfRule>
    <cfRule type="expression" dxfId="526" priority="38">
      <formula>AND(B$9&gt;=14/24,B$9&lt;20/24)</formula>
    </cfRule>
  </conditionalFormatting>
  <conditionalFormatting sqref="B99:AF106">
    <cfRule type="expression" dxfId="525" priority="12">
      <formula>AND(B$9&gt;=14/24,B$9&lt;20/24)</formula>
    </cfRule>
    <cfRule type="expression" dxfId="524" priority="13">
      <formula>AND(B$9&gt;=8/24,B$9&lt;14/24)</formula>
    </cfRule>
    <cfRule type="expression" dxfId="523" priority="14">
      <formula>B$9&lt;8/24</formula>
    </cfRule>
    <cfRule type="expression" dxfId="522" priority="11">
      <formula>B$9&gt;=20/24</formula>
    </cfRule>
  </conditionalFormatting>
  <conditionalFormatting sqref="B38:AG38 C55:AG56 B55:B60 C57:AF59 C60:AG60">
    <cfRule type="expression" dxfId="517" priority="91">
      <formula>B38&gt;$AG38</formula>
    </cfRule>
  </conditionalFormatting>
  <conditionalFormatting sqref="C39:AF41 B39:B42 C42:AG42">
    <cfRule type="expression" dxfId="516" priority="47">
      <formula>AND(B$9&gt;=14/24,B$9&lt;20/24)</formula>
    </cfRule>
    <cfRule type="expression" dxfId="515" priority="45">
      <formula>B39&gt;$AG39</formula>
    </cfRule>
    <cfRule type="expression" dxfId="514" priority="46">
      <formula>B$9&gt;=20/24</formula>
    </cfRule>
    <cfRule type="expression" dxfId="513" priority="48">
      <formula>AND(B$9&gt;=8/24,B$9&lt;14/24)</formula>
    </cfRule>
    <cfRule type="expression" dxfId="512" priority="49">
      <formula>B$9&lt;8/24</formula>
    </cfRule>
  </conditionalFormatting>
  <conditionalFormatting sqref="C57:AF59 B57:B60 C60:AG60 B24:AF26 C73:AF76 B73:B77 C77:AG77 B78:AF79">
    <cfRule type="expression" dxfId="511" priority="96">
      <formula>B$9&gt;=20/24</formula>
    </cfRule>
  </conditionalFormatting>
  <conditionalFormatting sqref="M46:AA47 AB47">
    <cfRule type="expression" dxfId="510" priority="3">
      <formula>AND(M$9&gt;=14/24,M$9&lt;20/24)</formula>
    </cfRule>
    <cfRule type="expression" dxfId="509" priority="4">
      <formula>AND(M$9&gt;=8/24,M$9&lt;14/24)</formula>
    </cfRule>
    <cfRule type="expression" dxfId="508" priority="5">
      <formula>M$9&lt;8/24</formula>
    </cfRule>
    <cfRule type="expression" dxfId="507" priority="2">
      <formula>M$9&gt;=20/24</formula>
    </cfRule>
  </conditionalFormatting>
  <conditionalFormatting sqref="O3:P3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506" priority="222">
      <formula>C$9&gt;=20/24</formula>
    </cfRule>
  </conditionalFormatting>
  <conditionalFormatting sqref="S8">
    <cfRule type="expression" dxfId="505" priority="191">
      <formula>U$9&gt;=20/24</formula>
    </cfRule>
    <cfRule type="expression" dxfId="504" priority="193">
      <formula>AND(U$9&gt;=8/24,U$9&lt;14/24)</formula>
    </cfRule>
    <cfRule type="expression" dxfId="503" priority="192">
      <formula>AND(U$9&gt;=14/24,U$9&lt;20/24)</formula>
    </cfRule>
    <cfRule type="expression" dxfId="502" priority="194">
      <formula>U$9&lt;8/24</formula>
    </cfRule>
  </conditionalFormatting>
  <conditionalFormatting sqref="T235">
    <cfRule type="expression" dxfId="501" priority="238">
      <formula>AX$9&lt;8/24</formula>
    </cfRule>
    <cfRule type="expression" dxfId="500" priority="235">
      <formula>AX$9&gt;=20/24</formula>
    </cfRule>
    <cfRule type="expression" dxfId="499" priority="236">
      <formula>AND(AX$9&gt;=14/24,AX$9&lt;20/24)</formula>
    </cfRule>
    <cfRule type="expression" dxfId="498" priority="237">
      <formula>AND(AX$9&gt;=8/24,AX$9&lt;14/24)</formula>
    </cfRule>
  </conditionalFormatting>
  <conditionalFormatting sqref="V3 AB3">
    <cfRule type="iconSet" priority="221">
      <iconSet iconSet="3TrafficLights2" reverse="1">
        <cfvo type="percent" val="0"/>
        <cfvo type="num" val="1"/>
        <cfvo type="num" val="1"/>
      </iconSet>
    </cfRule>
  </conditionalFormatting>
  <conditionalFormatting sqref="AB8">
    <cfRule type="expression" dxfId="497" priority="187">
      <formula>AD$9&gt;=20/24</formula>
    </cfRule>
    <cfRule type="expression" dxfId="496" priority="190">
      <formula>AD$9&lt;8/24</formula>
    </cfRule>
    <cfRule type="expression" dxfId="495" priority="189">
      <formula>AND(AD$9&gt;=8/24,AD$9&lt;14/24)</formula>
    </cfRule>
    <cfRule type="expression" dxfId="494" priority="188">
      <formula>AND(AD$9&gt;=14/24,AD$9&lt;20/24)</formula>
    </cfRule>
  </conditionalFormatting>
  <conditionalFormatting sqref="AB11:AF11 B9:AF10 B214:AF214 B216:B222 D216:AF222 U235:AF235">
    <cfRule type="expression" dxfId="493" priority="216">
      <formula>B$9&gt;=20/24</formula>
    </cfRule>
  </conditionalFormatting>
  <conditionalFormatting sqref="AB11:AF16">
    <cfRule type="expression" dxfId="492" priority="210">
      <formula>AB11&gt;$AG11</formula>
    </cfRule>
  </conditionalFormatting>
  <conditionalFormatting sqref="AF12:AF26">
    <cfRule type="expression" dxfId="491" priority="140">
      <formula>AF$9&lt;8/24</formula>
    </cfRule>
    <cfRule type="expression" dxfId="490" priority="138">
      <formula>AND(AF$9&gt;=14/24,AF$9&lt;20/24)</formula>
    </cfRule>
    <cfRule type="expression" dxfId="489" priority="139">
      <formula>AND(AF$9&gt;=8/24,AF$9&lt;14/24)</formula>
    </cfRule>
  </conditionalFormatting>
  <conditionalFormatting sqref="AG235">
    <cfRule type="expression" dxfId="488" priority="227">
      <formula>B$9&gt;=20/24</formula>
    </cfRule>
    <cfRule type="expression" dxfId="487" priority="228">
      <formula>AND(B$9&gt;=14/24,B$9&lt;20/24)</formula>
    </cfRule>
    <cfRule type="expression" dxfId="486" priority="229">
      <formula>AND(B$9&gt;=8/24,B$9&lt;14/24)</formula>
    </cfRule>
    <cfRule type="expression" dxfId="485" priority="230">
      <formula>B$9&lt;8/24</formula>
    </cfRule>
  </conditionalFormatting>
  <conditionalFormatting sqref="AH235:AX235">
    <cfRule type="expression" dxfId="484" priority="232">
      <formula>AND(AG$9&gt;=14/24,AG$9&lt;20/24)</formula>
    </cfRule>
    <cfRule type="expression" dxfId="483" priority="233">
      <formula>AND(AG$9&gt;=8/24,AG$9&lt;14/24)</formula>
    </cfRule>
    <cfRule type="expression" dxfId="482" priority="234">
      <formula>AG$9&lt;8/24</formula>
    </cfRule>
    <cfRule type="expression" dxfId="481" priority="231">
      <formula>AG$9&gt;=20/24</formula>
    </cfRule>
  </conditionalFormatting>
  <conditionalFormatting sqref="AL4:AL6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AL31">
    <cfRule type="iconSet" priority="36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207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95">
      <iconSet iconSet="3TrafficLights2" reverse="1">
        <cfvo type="percent" val="0"/>
        <cfvo type="num" val="1"/>
        <cfvo type="num" val="1"/>
      </iconSet>
    </cfRule>
  </conditionalFormatting>
  <conditionalFormatting sqref="AL35 AL7:AL30 AL32">
    <cfRule type="iconSet" priority="239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3" id="{0F9777EB-667A-4B55-B0F8-0357B14AE99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5" id="{EDCADD70-FAE8-49F1-AECD-9F52C91A63E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34" id="{E8E42B0A-BA5A-4F24-B09C-80C77DF0EB8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2" id="{78E326BF-380B-4B95-A3FB-B77F82C56B7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21" id="{9327820B-6335-44E7-AAEE-20FDCD229AC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4" id="{537108D8-5990-450A-9704-57506207E58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23" id="{73DFBC73-15E8-465F-BBB8-0448F7EE089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" id="{22067D81-C16A-4511-8BC7-35EE4F96876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m:sqref>B107:AF107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J268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L53" sqref="AL5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6" style="1" bestFit="1" customWidth="1"/>
    <col min="12" max="12" width="8.28515625" style="1" bestFit="1" customWidth="1"/>
    <col min="13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AG38</f>
        <v>665.78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AG56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2079/06/5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("&amp;ROUND(B239,0)&amp;" MW)"&amp;"    IPP   = "&amp;ROUND(B234,0)&amp;" MW     NEA RoR = "&amp;ROUND(B235,0)&amp;" MWImport   = "&amp;ROUND(B237,0)&amp;" MW      KL1+KL2+K3 = "&amp;ROUND(B236,0) &amp;" MW    EXPORT = "&amp;ROUND(B238,0)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AG60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C72</f>
        <v>5</v>
      </c>
      <c r="C5" s="148">
        <f t="shared" si="0"/>
        <v>5</v>
      </c>
      <c r="D5" s="148">
        <f t="shared" si="0"/>
        <v>5</v>
      </c>
      <c r="E5" s="148">
        <f t="shared" si="0"/>
        <v>5</v>
      </c>
      <c r="F5" s="148">
        <f t="shared" si="0"/>
        <v>5</v>
      </c>
      <c r="G5" s="148">
        <f t="shared" si="0"/>
        <v>5</v>
      </c>
      <c r="H5" s="148">
        <f t="shared" si="0"/>
        <v>5</v>
      </c>
      <c r="I5" s="148">
        <f t="shared" si="0"/>
        <v>5</v>
      </c>
      <c r="J5" s="148">
        <f t="shared" si="0"/>
        <v>5</v>
      </c>
      <c r="K5" s="148">
        <f t="shared" si="0"/>
        <v>5</v>
      </c>
      <c r="L5" s="148">
        <f t="shared" si="0"/>
        <v>5</v>
      </c>
      <c r="M5" s="148">
        <f t="shared" si="0"/>
        <v>5</v>
      </c>
      <c r="N5" s="148">
        <f t="shared" si="0"/>
        <v>0</v>
      </c>
      <c r="O5" s="148">
        <f t="shared" si="0"/>
        <v>5</v>
      </c>
      <c r="P5" s="148">
        <f t="shared" si="0"/>
        <v>5</v>
      </c>
      <c r="Q5" s="148">
        <f t="shared" si="0"/>
        <v>5</v>
      </c>
      <c r="R5" s="148">
        <f t="shared" si="0"/>
        <v>22.2</v>
      </c>
      <c r="S5" s="148">
        <f t="shared" si="0"/>
        <v>23.9</v>
      </c>
      <c r="T5" s="148">
        <f t="shared" si="0"/>
        <v>22.2</v>
      </c>
      <c r="U5" s="148">
        <f t="shared" si="0"/>
        <v>18</v>
      </c>
      <c r="V5" s="148">
        <f t="shared" si="0"/>
        <v>32</v>
      </c>
      <c r="W5" s="148">
        <f t="shared" si="0"/>
        <v>29.6</v>
      </c>
      <c r="X5" s="148">
        <f t="shared" si="0"/>
        <v>38.5</v>
      </c>
      <c r="Y5" s="148">
        <f t="shared" si="0"/>
        <v>49.2</v>
      </c>
      <c r="Z5" s="148">
        <f t="shared" si="0"/>
        <v>52</v>
      </c>
      <c r="AA5" s="148">
        <f t="shared" si="0"/>
        <v>51</v>
      </c>
      <c r="AB5" s="148">
        <f t="shared" si="0"/>
        <v>55</v>
      </c>
      <c r="AC5" s="148">
        <f t="shared" si="0"/>
        <v>54.98</v>
      </c>
      <c r="AD5" s="148">
        <f t="shared" si="0"/>
        <v>55.04</v>
      </c>
      <c r="AE5" s="148">
        <f t="shared" si="0"/>
        <v>12.5</v>
      </c>
      <c r="AF5" s="148">
        <f>B72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"&amp;ROUND(B239,0)&amp;"MW at "&amp;TRUNC(B240*24,0)&amp;":"&amp;ROUND((B240*24-TRUNC(B240*24,0))*60,0)&amp;"hr at "&amp;ROUND(B241,1)&amp;"Hz     "&amp;A231&amp;" "&amp;ROUND(B231,0)&amp;"MW at "&amp;TRUNC(C231*24,0)&amp;":"&amp;ROUND((C231*24-TRUNC(C231*24,0))*6,0)&amp;"0hr"</f>
        <v>Evening Peak 0MW at 0:0hr at 0Hz     Morning Peak 1797MW at 9:00hr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1261.69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Load=1685</v>
      </c>
      <c r="B7" s="137">
        <f t="shared" ref="B7:AF7" si="1">B79</f>
        <v>1737.14</v>
      </c>
      <c r="C7" s="137">
        <f t="shared" si="1"/>
        <v>1748.44</v>
      </c>
      <c r="D7" s="137">
        <f t="shared" si="1"/>
        <v>1748.64</v>
      </c>
      <c r="E7" s="137">
        <f t="shared" si="1"/>
        <v>1729.94</v>
      </c>
      <c r="F7" s="137">
        <f t="shared" si="1"/>
        <v>1700.44</v>
      </c>
      <c r="G7" s="137">
        <f t="shared" si="1"/>
        <v>1686.54</v>
      </c>
      <c r="H7" s="137">
        <f t="shared" si="1"/>
        <v>1687.54</v>
      </c>
      <c r="I7" s="137">
        <f t="shared" si="1"/>
        <v>1684.94</v>
      </c>
      <c r="J7" s="137">
        <f t="shared" si="1"/>
        <v>1730.44</v>
      </c>
      <c r="K7" s="137">
        <f t="shared" si="1"/>
        <v>1733.44</v>
      </c>
      <c r="L7" s="137">
        <f t="shared" si="1"/>
        <v>1790.3400000000001</v>
      </c>
      <c r="M7" s="137">
        <f t="shared" si="1"/>
        <v>1793.74</v>
      </c>
      <c r="N7" s="137">
        <f t="shared" si="1"/>
        <v>1796.74</v>
      </c>
      <c r="O7" s="137">
        <f t="shared" si="1"/>
        <v>1798.64</v>
      </c>
      <c r="P7" s="137">
        <f t="shared" si="1"/>
        <v>1796.94</v>
      </c>
      <c r="Q7" s="137">
        <f t="shared" si="1"/>
        <v>1801.3400000000001</v>
      </c>
      <c r="R7" s="137">
        <f t="shared" si="1"/>
        <v>1807.3400000000001</v>
      </c>
      <c r="S7" s="137">
        <f t="shared" si="1"/>
        <v>1823.7400000000002</v>
      </c>
      <c r="T7" s="137">
        <f t="shared" si="1"/>
        <v>1821.4400000000003</v>
      </c>
      <c r="U7" s="137">
        <f t="shared" si="1"/>
        <v>1822.7400000000002</v>
      </c>
      <c r="V7" s="137">
        <f t="shared" si="1"/>
        <v>1807.74</v>
      </c>
      <c r="W7" s="137">
        <f t="shared" si="1"/>
        <v>1820.74</v>
      </c>
      <c r="X7" s="137">
        <f t="shared" si="1"/>
        <v>1792.5399999999997</v>
      </c>
      <c r="Y7" s="137">
        <f t="shared" si="1"/>
        <v>1822.1399999999999</v>
      </c>
      <c r="Z7" s="137">
        <f t="shared" si="1"/>
        <v>1858.64</v>
      </c>
      <c r="AA7" s="137">
        <f t="shared" si="1"/>
        <v>1847.54</v>
      </c>
      <c r="AB7" s="137">
        <f t="shared" si="1"/>
        <v>1829.2399999999998</v>
      </c>
      <c r="AC7" s="137">
        <f t="shared" si="1"/>
        <v>1831.2399999999998</v>
      </c>
      <c r="AD7" s="137">
        <f t="shared" si="1"/>
        <v>1823.2199999999998</v>
      </c>
      <c r="AE7" s="137">
        <f t="shared" si="1"/>
        <v>1813.2799999999997</v>
      </c>
      <c r="AF7" s="137">
        <f t="shared" si="1"/>
        <v>1742.54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53.9</v>
      </c>
      <c r="C11" s="105">
        <v>53.9</v>
      </c>
      <c r="D11" s="105">
        <v>53.9</v>
      </c>
      <c r="E11" s="105">
        <v>53.9</v>
      </c>
      <c r="F11" s="105">
        <v>53.9</v>
      </c>
      <c r="G11" s="105">
        <v>53.9</v>
      </c>
      <c r="H11" s="105">
        <v>53.9</v>
      </c>
      <c r="I11" s="105">
        <v>53.9</v>
      </c>
      <c r="J11" s="105">
        <v>53.9</v>
      </c>
      <c r="K11" s="105">
        <v>53.9</v>
      </c>
      <c r="L11" s="105">
        <v>53.9</v>
      </c>
      <c r="M11" s="105">
        <v>53.9</v>
      </c>
      <c r="N11" s="105">
        <v>53.9</v>
      </c>
      <c r="O11" s="105">
        <v>53.9</v>
      </c>
      <c r="P11" s="105">
        <v>53.9</v>
      </c>
      <c r="Q11" s="105">
        <v>53.8</v>
      </c>
      <c r="R11" s="105">
        <v>53.8</v>
      </c>
      <c r="S11" s="105">
        <v>53.8</v>
      </c>
      <c r="T11" s="105">
        <v>53.8</v>
      </c>
      <c r="U11" s="105">
        <v>53.8</v>
      </c>
      <c r="V11" s="105">
        <v>53.8</v>
      </c>
      <c r="W11" s="105">
        <v>53.8</v>
      </c>
      <c r="X11" s="105">
        <v>53.8</v>
      </c>
      <c r="Y11" s="105">
        <v>53.8</v>
      </c>
      <c r="Z11" s="128">
        <v>53.8</v>
      </c>
      <c r="AA11" s="128">
        <v>53.8</v>
      </c>
      <c r="AB11" s="128">
        <v>53.8</v>
      </c>
      <c r="AC11" s="128">
        <v>53.8</v>
      </c>
      <c r="AD11" s="128">
        <v>53.8</v>
      </c>
      <c r="AE11" s="128">
        <v>53.8</v>
      </c>
      <c r="AF11" s="128">
        <v>53.8</v>
      </c>
      <c r="AG11" s="127">
        <v>52.4</v>
      </c>
      <c r="AH11" s="20">
        <f t="shared" ref="AH11:AH74" si="2">MAX(B11:AF11)</f>
        <v>53.9</v>
      </c>
      <c r="AI11" s="19">
        <f t="shared" ref="AI11:AI74" si="3">MIN(B11:AF11)</f>
        <v>53.8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50.5</v>
      </c>
      <c r="C12" s="105">
        <v>50.5</v>
      </c>
      <c r="D12" s="105">
        <v>50.5</v>
      </c>
      <c r="E12" s="105">
        <v>50.5</v>
      </c>
      <c r="F12" s="105">
        <v>50.5</v>
      </c>
      <c r="G12" s="105">
        <v>50.5</v>
      </c>
      <c r="H12" s="105">
        <v>50.5</v>
      </c>
      <c r="I12" s="105">
        <v>50.5</v>
      </c>
      <c r="J12" s="105">
        <v>50.5</v>
      </c>
      <c r="K12" s="105">
        <v>50.5</v>
      </c>
      <c r="L12" s="105">
        <v>50.5</v>
      </c>
      <c r="M12" s="105">
        <v>50.5</v>
      </c>
      <c r="N12" s="105">
        <v>50.5</v>
      </c>
      <c r="O12" s="105">
        <v>50.5</v>
      </c>
      <c r="P12" s="105">
        <v>50.5</v>
      </c>
      <c r="Q12" s="105">
        <v>50.4</v>
      </c>
      <c r="R12" s="105">
        <v>50.7</v>
      </c>
      <c r="S12" s="105">
        <v>50.7</v>
      </c>
      <c r="T12" s="105">
        <v>50.7</v>
      </c>
      <c r="U12" s="105">
        <v>50.7</v>
      </c>
      <c r="V12" s="105">
        <v>50.7</v>
      </c>
      <c r="W12" s="105">
        <v>50.7</v>
      </c>
      <c r="X12" s="105">
        <v>50.7</v>
      </c>
      <c r="Y12" s="105">
        <v>50.7</v>
      </c>
      <c r="Z12" s="105">
        <v>50.7</v>
      </c>
      <c r="AA12" s="105">
        <v>50.7</v>
      </c>
      <c r="AB12" s="105">
        <v>50.7</v>
      </c>
      <c r="AC12" s="105">
        <v>50.7</v>
      </c>
      <c r="AD12" s="105">
        <v>50.7</v>
      </c>
      <c r="AE12" s="105">
        <v>50.7</v>
      </c>
      <c r="AF12" s="105">
        <v>50.7</v>
      </c>
      <c r="AG12" s="126">
        <v>50</v>
      </c>
      <c r="AH12" s="20">
        <f t="shared" si="2"/>
        <v>50.7</v>
      </c>
      <c r="AI12" s="19">
        <f t="shared" si="3"/>
        <v>50.4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46</v>
      </c>
      <c r="C13" s="105">
        <v>46</v>
      </c>
      <c r="D13" s="105">
        <v>46</v>
      </c>
      <c r="E13" s="105">
        <v>46</v>
      </c>
      <c r="F13" s="105">
        <v>45.9</v>
      </c>
      <c r="G13" s="105">
        <v>45.9</v>
      </c>
      <c r="H13" s="105">
        <v>45.9</v>
      </c>
      <c r="I13" s="105">
        <v>45.9</v>
      </c>
      <c r="J13" s="105">
        <v>45.9</v>
      </c>
      <c r="K13" s="105">
        <v>45.9</v>
      </c>
      <c r="L13" s="105">
        <v>45.9</v>
      </c>
      <c r="M13" s="105">
        <v>45.9</v>
      </c>
      <c r="N13" s="105">
        <v>45.9</v>
      </c>
      <c r="O13" s="105">
        <v>45.9</v>
      </c>
      <c r="P13" s="105">
        <v>45.9</v>
      </c>
      <c r="Q13" s="105">
        <v>45.9</v>
      </c>
      <c r="R13" s="105">
        <v>46</v>
      </c>
      <c r="S13" s="105">
        <v>46</v>
      </c>
      <c r="T13" s="105">
        <v>46</v>
      </c>
      <c r="U13" s="105">
        <v>46</v>
      </c>
      <c r="V13" s="105">
        <v>46</v>
      </c>
      <c r="W13" s="105">
        <v>46</v>
      </c>
      <c r="X13" s="105">
        <v>46</v>
      </c>
      <c r="Y13" s="105">
        <v>46</v>
      </c>
      <c r="Z13" s="105">
        <v>46</v>
      </c>
      <c r="AA13" s="105">
        <v>46</v>
      </c>
      <c r="AB13" s="105">
        <v>46</v>
      </c>
      <c r="AC13" s="105">
        <v>46</v>
      </c>
      <c r="AD13" s="105">
        <v>46</v>
      </c>
      <c r="AE13" s="105">
        <v>46</v>
      </c>
      <c r="AF13" s="105">
        <v>46</v>
      </c>
      <c r="AG13" s="126">
        <v>45</v>
      </c>
      <c r="AH13" s="20">
        <f t="shared" si="2"/>
        <v>46</v>
      </c>
      <c r="AI13" s="19">
        <f t="shared" si="3"/>
        <v>45.9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20</v>
      </c>
      <c r="C14" s="105">
        <v>26</v>
      </c>
      <c r="D14" s="105">
        <v>26</v>
      </c>
      <c r="E14" s="105">
        <v>26</v>
      </c>
      <c r="F14" s="105">
        <v>20</v>
      </c>
      <c r="G14" s="105">
        <v>20</v>
      </c>
      <c r="H14" s="105">
        <v>20</v>
      </c>
      <c r="I14" s="105">
        <v>20</v>
      </c>
      <c r="J14" s="105">
        <v>20</v>
      </c>
      <c r="K14" s="105">
        <v>20</v>
      </c>
      <c r="L14" s="105">
        <v>36</v>
      </c>
      <c r="M14" s="105">
        <v>36</v>
      </c>
      <c r="N14" s="105">
        <v>36</v>
      </c>
      <c r="O14" s="105">
        <v>36</v>
      </c>
      <c r="P14" s="105">
        <v>36</v>
      </c>
      <c r="Q14" s="105">
        <v>36</v>
      </c>
      <c r="R14" s="105">
        <v>36</v>
      </c>
      <c r="S14" s="105">
        <v>36</v>
      </c>
      <c r="T14" s="105">
        <v>34</v>
      </c>
      <c r="U14" s="105">
        <v>35</v>
      </c>
      <c r="V14" s="105">
        <v>35</v>
      </c>
      <c r="W14" s="105">
        <v>35</v>
      </c>
      <c r="X14" s="105">
        <v>35</v>
      </c>
      <c r="Y14" s="105">
        <v>35</v>
      </c>
      <c r="Z14" s="105">
        <v>35</v>
      </c>
      <c r="AA14" s="105">
        <v>34</v>
      </c>
      <c r="AB14" s="105">
        <v>40</v>
      </c>
      <c r="AC14" s="105">
        <v>40</v>
      </c>
      <c r="AD14" s="105">
        <v>35</v>
      </c>
      <c r="AE14" s="105">
        <v>32</v>
      </c>
      <c r="AF14" s="105">
        <v>27</v>
      </c>
      <c r="AG14" s="126">
        <v>42</v>
      </c>
      <c r="AH14" s="20">
        <f t="shared" si="2"/>
        <v>40</v>
      </c>
      <c r="AI14" s="19">
        <f t="shared" si="3"/>
        <v>20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30</v>
      </c>
      <c r="M15" s="105">
        <v>30</v>
      </c>
      <c r="N15" s="105">
        <v>30</v>
      </c>
      <c r="O15" s="105">
        <v>30</v>
      </c>
      <c r="P15" s="105">
        <v>30</v>
      </c>
      <c r="Q15" s="105">
        <v>30</v>
      </c>
      <c r="R15" s="105">
        <v>30</v>
      </c>
      <c r="S15" s="105">
        <v>30</v>
      </c>
      <c r="T15" s="105">
        <v>30</v>
      </c>
      <c r="U15" s="105">
        <v>30</v>
      </c>
      <c r="V15" s="105">
        <v>20</v>
      </c>
      <c r="W15" s="105">
        <v>30</v>
      </c>
      <c r="X15" s="105">
        <v>30</v>
      </c>
      <c r="Y15" s="105">
        <v>30</v>
      </c>
      <c r="Z15" s="105">
        <v>25</v>
      </c>
      <c r="AA15" s="105">
        <v>20</v>
      </c>
      <c r="AB15" s="105">
        <v>17</v>
      </c>
      <c r="AC15" s="105">
        <v>17</v>
      </c>
      <c r="AD15" s="105">
        <v>17</v>
      </c>
      <c r="AE15" s="105">
        <v>10</v>
      </c>
      <c r="AF15" s="105">
        <v>0</v>
      </c>
      <c r="AG15" s="96">
        <v>30</v>
      </c>
      <c r="AH15" s="20">
        <f t="shared" si="2"/>
        <v>30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217</v>
      </c>
      <c r="B16" s="105">
        <v>25</v>
      </c>
      <c r="C16" s="105">
        <v>25</v>
      </c>
      <c r="D16" s="105">
        <v>25</v>
      </c>
      <c r="E16" s="105">
        <v>25</v>
      </c>
      <c r="F16" s="105">
        <v>25</v>
      </c>
      <c r="G16" s="105">
        <v>25</v>
      </c>
      <c r="H16" s="105">
        <v>25</v>
      </c>
      <c r="I16" s="105">
        <v>25</v>
      </c>
      <c r="J16" s="105">
        <v>25</v>
      </c>
      <c r="K16" s="105">
        <v>25</v>
      </c>
      <c r="L16" s="105">
        <v>25</v>
      </c>
      <c r="M16" s="105">
        <v>25</v>
      </c>
      <c r="N16" s="105">
        <v>25</v>
      </c>
      <c r="O16" s="105">
        <v>25</v>
      </c>
      <c r="P16" s="105">
        <v>25</v>
      </c>
      <c r="Q16" s="105">
        <v>26.3</v>
      </c>
      <c r="R16" s="105">
        <v>26.3</v>
      </c>
      <c r="S16" s="105">
        <v>26.3</v>
      </c>
      <c r="T16" s="105">
        <v>26.3</v>
      </c>
      <c r="U16" s="105">
        <v>26.3</v>
      </c>
      <c r="V16" s="105">
        <v>26.3</v>
      </c>
      <c r="W16" s="105">
        <v>26.3</v>
      </c>
      <c r="X16" s="105">
        <v>26.3</v>
      </c>
      <c r="Y16" s="105">
        <v>26.3</v>
      </c>
      <c r="Z16" s="105">
        <v>26.2</v>
      </c>
      <c r="AA16" s="105">
        <v>26.2</v>
      </c>
      <c r="AB16" s="105">
        <v>26.2</v>
      </c>
      <c r="AC16" s="105">
        <v>26.2</v>
      </c>
      <c r="AD16" s="105">
        <v>26.2</v>
      </c>
      <c r="AE16" s="105">
        <v>26.2</v>
      </c>
      <c r="AF16" s="105">
        <v>25</v>
      </c>
      <c r="AG16" s="126">
        <v>25</v>
      </c>
      <c r="AH16" s="20">
        <f t="shared" si="2"/>
        <v>26.3</v>
      </c>
      <c r="AI16" s="19">
        <f t="shared" si="3"/>
        <v>25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216</v>
      </c>
      <c r="B17" s="105">
        <v>25</v>
      </c>
      <c r="C17" s="105">
        <v>25</v>
      </c>
      <c r="D17" s="105">
        <v>25</v>
      </c>
      <c r="E17" s="105">
        <v>25</v>
      </c>
      <c r="F17" s="105">
        <v>25</v>
      </c>
      <c r="G17" s="105">
        <v>25</v>
      </c>
      <c r="H17" s="105">
        <v>25</v>
      </c>
      <c r="I17" s="105">
        <v>25</v>
      </c>
      <c r="J17" s="105">
        <v>25</v>
      </c>
      <c r="K17" s="105">
        <v>25</v>
      </c>
      <c r="L17" s="105">
        <v>25</v>
      </c>
      <c r="M17" s="105">
        <v>25</v>
      </c>
      <c r="N17" s="105">
        <v>25</v>
      </c>
      <c r="O17" s="105">
        <v>25</v>
      </c>
      <c r="P17" s="105">
        <v>25</v>
      </c>
      <c r="Q17" s="105">
        <v>25</v>
      </c>
      <c r="R17" s="105">
        <v>25</v>
      </c>
      <c r="S17" s="105">
        <v>25</v>
      </c>
      <c r="T17" s="105">
        <v>25</v>
      </c>
      <c r="U17" s="105">
        <v>25</v>
      </c>
      <c r="V17" s="105">
        <v>25</v>
      </c>
      <c r="W17" s="105">
        <v>25</v>
      </c>
      <c r="X17" s="105">
        <v>25</v>
      </c>
      <c r="Y17" s="105">
        <v>25</v>
      </c>
      <c r="Z17" s="105">
        <v>25</v>
      </c>
      <c r="AA17" s="105">
        <v>25</v>
      </c>
      <c r="AB17" s="105">
        <v>25</v>
      </c>
      <c r="AC17" s="105">
        <v>25</v>
      </c>
      <c r="AD17" s="105">
        <v>25</v>
      </c>
      <c r="AE17" s="105">
        <v>25</v>
      </c>
      <c r="AF17" s="105">
        <v>25</v>
      </c>
      <c r="AG17" s="126">
        <v>25</v>
      </c>
      <c r="AH17" s="20">
        <f t="shared" si="2"/>
        <v>25</v>
      </c>
      <c r="AI17" s="19">
        <f t="shared" si="3"/>
        <v>25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215</v>
      </c>
      <c r="B18" s="105">
        <v>22</v>
      </c>
      <c r="C18" s="105">
        <v>22</v>
      </c>
      <c r="D18" s="105">
        <v>22</v>
      </c>
      <c r="E18" s="105">
        <v>22</v>
      </c>
      <c r="F18" s="105">
        <v>22</v>
      </c>
      <c r="G18" s="105">
        <v>22</v>
      </c>
      <c r="H18" s="105">
        <v>22</v>
      </c>
      <c r="I18" s="105">
        <v>22</v>
      </c>
      <c r="J18" s="105">
        <v>22</v>
      </c>
      <c r="K18" s="105">
        <v>22</v>
      </c>
      <c r="L18" s="105">
        <v>22</v>
      </c>
      <c r="M18" s="105">
        <v>22</v>
      </c>
      <c r="N18" s="105">
        <v>22</v>
      </c>
      <c r="O18" s="105">
        <v>22</v>
      </c>
      <c r="P18" s="105">
        <v>22</v>
      </c>
      <c r="Q18" s="105">
        <v>22</v>
      </c>
      <c r="R18" s="105">
        <v>22</v>
      </c>
      <c r="S18" s="105">
        <v>22</v>
      </c>
      <c r="T18" s="105">
        <v>22</v>
      </c>
      <c r="U18" s="105">
        <v>22</v>
      </c>
      <c r="V18" s="105">
        <v>22</v>
      </c>
      <c r="W18" s="105">
        <v>22</v>
      </c>
      <c r="X18" s="105">
        <v>22</v>
      </c>
      <c r="Y18" s="105">
        <v>22</v>
      </c>
      <c r="Z18" s="105">
        <v>22</v>
      </c>
      <c r="AA18" s="105">
        <v>22</v>
      </c>
      <c r="AB18" s="105">
        <v>22</v>
      </c>
      <c r="AC18" s="105">
        <v>22</v>
      </c>
      <c r="AD18" s="105">
        <v>22</v>
      </c>
      <c r="AE18" s="105">
        <v>22</v>
      </c>
      <c r="AF18" s="105">
        <v>22</v>
      </c>
      <c r="AG18" s="126">
        <v>25</v>
      </c>
      <c r="AH18" s="20">
        <f t="shared" si="2"/>
        <v>22</v>
      </c>
      <c r="AI18" s="19">
        <f t="shared" si="3"/>
        <v>22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214</v>
      </c>
      <c r="B19" s="105">
        <v>25</v>
      </c>
      <c r="C19" s="105">
        <v>25</v>
      </c>
      <c r="D19" s="105">
        <v>25</v>
      </c>
      <c r="E19" s="105">
        <v>25</v>
      </c>
      <c r="F19" s="105">
        <v>25.6</v>
      </c>
      <c r="G19" s="105">
        <v>25.6</v>
      </c>
      <c r="H19" s="105">
        <v>25.6</v>
      </c>
      <c r="I19" s="105">
        <v>25.6</v>
      </c>
      <c r="J19" s="105">
        <v>25.6</v>
      </c>
      <c r="K19" s="105">
        <v>25.6</v>
      </c>
      <c r="L19" s="105">
        <v>25.6</v>
      </c>
      <c r="M19" s="105">
        <v>25.6</v>
      </c>
      <c r="N19" s="105">
        <v>25.6</v>
      </c>
      <c r="O19" s="105">
        <v>25.6</v>
      </c>
      <c r="P19" s="105">
        <v>25.6</v>
      </c>
      <c r="Q19" s="105">
        <v>25.8</v>
      </c>
      <c r="R19" s="105">
        <v>25.8</v>
      </c>
      <c r="S19" s="105">
        <v>25.8</v>
      </c>
      <c r="T19" s="105">
        <v>25.8</v>
      </c>
      <c r="U19" s="105">
        <v>25.8</v>
      </c>
      <c r="V19" s="105">
        <v>25.8</v>
      </c>
      <c r="W19" s="105">
        <v>25.8</v>
      </c>
      <c r="X19" s="105">
        <v>0</v>
      </c>
      <c r="Y19" s="105">
        <v>0</v>
      </c>
      <c r="Z19" s="105">
        <v>0</v>
      </c>
      <c r="AA19" s="105">
        <v>33.1</v>
      </c>
      <c r="AB19" s="105">
        <v>33.1</v>
      </c>
      <c r="AC19" s="105">
        <v>33.1</v>
      </c>
      <c r="AD19" s="105">
        <v>33.1</v>
      </c>
      <c r="AE19" s="105">
        <v>33.1</v>
      </c>
      <c r="AF19" s="105">
        <v>33.1</v>
      </c>
      <c r="AG19" s="126">
        <v>24.2</v>
      </c>
      <c r="AH19" s="20">
        <f t="shared" si="2"/>
        <v>33.1</v>
      </c>
      <c r="AI19" s="19">
        <f t="shared" si="3"/>
        <v>0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213</v>
      </c>
      <c r="B20" s="105">
        <v>23.5</v>
      </c>
      <c r="C20" s="105">
        <v>23.5</v>
      </c>
      <c r="D20" s="105">
        <v>23.5</v>
      </c>
      <c r="E20" s="105">
        <v>23.5</v>
      </c>
      <c r="F20" s="105">
        <v>23.5</v>
      </c>
      <c r="G20" s="105">
        <v>23.5</v>
      </c>
      <c r="H20" s="105">
        <v>23.5</v>
      </c>
      <c r="I20" s="105">
        <v>23.5</v>
      </c>
      <c r="J20" s="105">
        <v>23.5</v>
      </c>
      <c r="K20" s="105">
        <v>23.5</v>
      </c>
      <c r="L20" s="105">
        <v>23.5</v>
      </c>
      <c r="M20" s="105">
        <v>23.5</v>
      </c>
      <c r="N20" s="105">
        <v>23.5</v>
      </c>
      <c r="O20" s="105">
        <v>23.5</v>
      </c>
      <c r="P20" s="105">
        <v>23.5</v>
      </c>
      <c r="Q20" s="105">
        <v>23.5</v>
      </c>
      <c r="R20" s="105">
        <v>23.5</v>
      </c>
      <c r="S20" s="105">
        <v>23.5</v>
      </c>
      <c r="T20" s="105">
        <v>23.5</v>
      </c>
      <c r="U20" s="105">
        <v>23.5</v>
      </c>
      <c r="V20" s="105">
        <v>23.5</v>
      </c>
      <c r="W20" s="105">
        <v>23.5</v>
      </c>
      <c r="X20" s="105">
        <v>23.5</v>
      </c>
      <c r="Y20" s="105">
        <v>23.5</v>
      </c>
      <c r="Z20" s="105">
        <v>23.5</v>
      </c>
      <c r="AA20" s="105">
        <v>23.5</v>
      </c>
      <c r="AB20" s="105">
        <v>23.5</v>
      </c>
      <c r="AC20" s="105">
        <v>23.5</v>
      </c>
      <c r="AD20" s="105">
        <v>23.5</v>
      </c>
      <c r="AE20" s="105">
        <v>23.5</v>
      </c>
      <c r="AF20" s="105">
        <v>23.5</v>
      </c>
      <c r="AG20" s="126">
        <v>23.5</v>
      </c>
      <c r="AH20" s="20">
        <f t="shared" si="2"/>
        <v>23.5</v>
      </c>
      <c r="AI20" s="19">
        <f t="shared" si="3"/>
        <v>23.5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212</v>
      </c>
      <c r="B21" s="105">
        <v>22</v>
      </c>
      <c r="C21" s="105">
        <v>22</v>
      </c>
      <c r="D21" s="105">
        <v>22</v>
      </c>
      <c r="E21" s="105">
        <v>22</v>
      </c>
      <c r="F21" s="105">
        <v>22</v>
      </c>
      <c r="G21" s="105">
        <v>22</v>
      </c>
      <c r="H21" s="105">
        <v>22</v>
      </c>
      <c r="I21" s="105">
        <v>22</v>
      </c>
      <c r="J21" s="105">
        <v>22</v>
      </c>
      <c r="K21" s="105">
        <v>22</v>
      </c>
      <c r="L21" s="105">
        <v>22</v>
      </c>
      <c r="M21" s="105">
        <v>22</v>
      </c>
      <c r="N21" s="105">
        <v>22</v>
      </c>
      <c r="O21" s="105">
        <v>22</v>
      </c>
      <c r="P21" s="105">
        <v>22</v>
      </c>
      <c r="Q21" s="105">
        <v>22</v>
      </c>
      <c r="R21" s="105">
        <v>22</v>
      </c>
      <c r="S21" s="105">
        <v>22</v>
      </c>
      <c r="T21" s="105">
        <v>22</v>
      </c>
      <c r="U21" s="105">
        <v>22</v>
      </c>
      <c r="V21" s="105">
        <v>22</v>
      </c>
      <c r="W21" s="105">
        <v>11</v>
      </c>
      <c r="X21" s="105">
        <v>11</v>
      </c>
      <c r="Y21" s="105">
        <v>11</v>
      </c>
      <c r="Z21" s="105">
        <v>11</v>
      </c>
      <c r="AA21" s="105">
        <v>11</v>
      </c>
      <c r="AB21" s="105">
        <v>11</v>
      </c>
      <c r="AC21" s="105">
        <v>11</v>
      </c>
      <c r="AD21" s="105">
        <v>11</v>
      </c>
      <c r="AE21" s="105">
        <v>11</v>
      </c>
      <c r="AF21" s="105">
        <v>11</v>
      </c>
      <c r="AG21" s="126">
        <v>22.2</v>
      </c>
      <c r="AH21" s="20">
        <f t="shared" si="2"/>
        <v>22</v>
      </c>
      <c r="AI21" s="19">
        <f t="shared" si="3"/>
        <v>11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211</v>
      </c>
      <c r="B22" s="105">
        <v>22</v>
      </c>
      <c r="C22" s="105">
        <v>22</v>
      </c>
      <c r="D22" s="105">
        <v>22</v>
      </c>
      <c r="E22" s="105">
        <v>22</v>
      </c>
      <c r="F22" s="105">
        <v>22</v>
      </c>
      <c r="G22" s="105">
        <v>22</v>
      </c>
      <c r="H22" s="105">
        <v>22</v>
      </c>
      <c r="I22" s="105">
        <v>22</v>
      </c>
      <c r="J22" s="105">
        <v>22</v>
      </c>
      <c r="K22" s="105">
        <v>22</v>
      </c>
      <c r="L22" s="105">
        <v>22</v>
      </c>
      <c r="M22" s="105">
        <v>22</v>
      </c>
      <c r="N22" s="105">
        <v>22</v>
      </c>
      <c r="O22" s="105">
        <v>22</v>
      </c>
      <c r="P22" s="105">
        <v>22</v>
      </c>
      <c r="Q22" s="105">
        <v>22</v>
      </c>
      <c r="R22" s="105">
        <v>22</v>
      </c>
      <c r="S22" s="105">
        <v>22</v>
      </c>
      <c r="T22" s="105">
        <v>22</v>
      </c>
      <c r="U22" s="105">
        <v>22</v>
      </c>
      <c r="V22" s="105">
        <v>22</v>
      </c>
      <c r="W22" s="105">
        <v>22</v>
      </c>
      <c r="X22" s="105">
        <v>22</v>
      </c>
      <c r="Y22" s="105">
        <v>22</v>
      </c>
      <c r="Z22" s="105">
        <v>22</v>
      </c>
      <c r="AA22" s="105">
        <v>22</v>
      </c>
      <c r="AB22" s="105">
        <v>22</v>
      </c>
      <c r="AC22" s="105">
        <v>22</v>
      </c>
      <c r="AD22" s="105">
        <v>22</v>
      </c>
      <c r="AE22" s="105">
        <v>22</v>
      </c>
      <c r="AF22" s="105">
        <v>22</v>
      </c>
      <c r="AG22" s="126">
        <v>22.1</v>
      </c>
      <c r="AH22" s="20">
        <f t="shared" si="2"/>
        <v>22</v>
      </c>
      <c r="AI22" s="19">
        <f t="shared" si="3"/>
        <v>22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210</v>
      </c>
      <c r="B23" s="105">
        <v>22</v>
      </c>
      <c r="C23" s="105">
        <v>22</v>
      </c>
      <c r="D23" s="105">
        <v>22</v>
      </c>
      <c r="E23" s="105">
        <v>22</v>
      </c>
      <c r="F23" s="105">
        <v>22</v>
      </c>
      <c r="G23" s="105">
        <v>22</v>
      </c>
      <c r="H23" s="105">
        <v>22</v>
      </c>
      <c r="I23" s="105">
        <v>22</v>
      </c>
      <c r="J23" s="105">
        <v>22</v>
      </c>
      <c r="K23" s="105">
        <v>22</v>
      </c>
      <c r="L23" s="105">
        <v>22</v>
      </c>
      <c r="M23" s="105">
        <v>22</v>
      </c>
      <c r="N23" s="105">
        <v>22</v>
      </c>
      <c r="O23" s="105">
        <v>22</v>
      </c>
      <c r="P23" s="105">
        <v>22</v>
      </c>
      <c r="Q23" s="105">
        <v>22</v>
      </c>
      <c r="R23" s="105">
        <v>22</v>
      </c>
      <c r="S23" s="105">
        <v>22</v>
      </c>
      <c r="T23" s="105">
        <v>22</v>
      </c>
      <c r="U23" s="105">
        <v>22</v>
      </c>
      <c r="V23" s="105">
        <v>22</v>
      </c>
      <c r="W23" s="105">
        <v>22</v>
      </c>
      <c r="X23" s="105">
        <v>22</v>
      </c>
      <c r="Y23" s="105">
        <v>22</v>
      </c>
      <c r="Z23" s="105">
        <v>22</v>
      </c>
      <c r="AA23" s="105">
        <v>22</v>
      </c>
      <c r="AB23" s="105">
        <v>22</v>
      </c>
      <c r="AC23" s="105">
        <v>22</v>
      </c>
      <c r="AD23" s="105">
        <v>22</v>
      </c>
      <c r="AE23" s="105">
        <v>22</v>
      </c>
      <c r="AF23" s="105">
        <v>22</v>
      </c>
      <c r="AG23" s="126">
        <v>22</v>
      </c>
      <c r="AH23" s="20">
        <f t="shared" si="2"/>
        <v>22</v>
      </c>
      <c r="AI23" s="19">
        <f t="shared" si="3"/>
        <v>22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209</v>
      </c>
      <c r="B24" s="105">
        <v>22</v>
      </c>
      <c r="C24" s="105">
        <v>22</v>
      </c>
      <c r="D24" s="105">
        <v>22</v>
      </c>
      <c r="E24" s="105">
        <v>22</v>
      </c>
      <c r="F24" s="105">
        <v>22</v>
      </c>
      <c r="G24" s="105">
        <v>22</v>
      </c>
      <c r="H24" s="105">
        <v>22</v>
      </c>
      <c r="I24" s="105">
        <v>22</v>
      </c>
      <c r="J24" s="105">
        <v>22</v>
      </c>
      <c r="K24" s="105">
        <v>22</v>
      </c>
      <c r="L24" s="105">
        <v>22</v>
      </c>
      <c r="M24" s="105">
        <v>22</v>
      </c>
      <c r="N24" s="105">
        <v>22</v>
      </c>
      <c r="O24" s="105">
        <v>22</v>
      </c>
      <c r="P24" s="105">
        <v>22</v>
      </c>
      <c r="Q24" s="105">
        <v>22</v>
      </c>
      <c r="R24" s="105">
        <v>22</v>
      </c>
      <c r="S24" s="105">
        <v>22</v>
      </c>
      <c r="T24" s="105">
        <v>22</v>
      </c>
      <c r="U24" s="105">
        <v>22</v>
      </c>
      <c r="V24" s="105">
        <v>22</v>
      </c>
      <c r="W24" s="105">
        <v>22</v>
      </c>
      <c r="X24" s="105">
        <v>22</v>
      </c>
      <c r="Y24" s="105">
        <v>22</v>
      </c>
      <c r="Z24" s="105">
        <v>22</v>
      </c>
      <c r="AA24" s="105">
        <v>22</v>
      </c>
      <c r="AB24" s="105">
        <v>22</v>
      </c>
      <c r="AC24" s="105">
        <v>22</v>
      </c>
      <c r="AD24" s="105">
        <v>22</v>
      </c>
      <c r="AE24" s="105">
        <v>22</v>
      </c>
      <c r="AF24" s="105">
        <v>22</v>
      </c>
      <c r="AG24" s="126">
        <v>22</v>
      </c>
      <c r="AH24" s="20">
        <f t="shared" si="2"/>
        <v>22</v>
      </c>
      <c r="AI24" s="19">
        <f t="shared" si="3"/>
        <v>22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208</v>
      </c>
      <c r="B25" s="105">
        <v>0</v>
      </c>
      <c r="C25" s="105">
        <v>0</v>
      </c>
      <c r="D25" s="105">
        <v>0</v>
      </c>
      <c r="E25" s="105">
        <v>0</v>
      </c>
      <c r="F25" s="105">
        <v>0</v>
      </c>
      <c r="G25" s="105">
        <v>0</v>
      </c>
      <c r="H25" s="105">
        <v>0</v>
      </c>
      <c r="I25" s="105">
        <v>0</v>
      </c>
      <c r="J25" s="105">
        <v>0</v>
      </c>
      <c r="K25" s="105">
        <v>0</v>
      </c>
      <c r="L25" s="105">
        <v>10</v>
      </c>
      <c r="M25" s="105">
        <v>10</v>
      </c>
      <c r="N25" s="105">
        <v>10</v>
      </c>
      <c r="O25" s="105">
        <v>10</v>
      </c>
      <c r="P25" s="105">
        <v>10</v>
      </c>
      <c r="Q25" s="105">
        <v>10</v>
      </c>
      <c r="R25" s="105">
        <v>10</v>
      </c>
      <c r="S25" s="105">
        <v>10</v>
      </c>
      <c r="T25" s="105">
        <v>8</v>
      </c>
      <c r="U25" s="105">
        <v>10</v>
      </c>
      <c r="V25" s="105">
        <v>10</v>
      </c>
      <c r="W25" s="105">
        <v>10</v>
      </c>
      <c r="X25" s="105">
        <v>10</v>
      </c>
      <c r="Y25" s="105">
        <v>10</v>
      </c>
      <c r="Z25" s="105">
        <v>11</v>
      </c>
      <c r="AA25" s="105">
        <v>11</v>
      </c>
      <c r="AB25" s="105">
        <v>17</v>
      </c>
      <c r="AC25" s="105">
        <v>15</v>
      </c>
      <c r="AD25" s="105">
        <v>12</v>
      </c>
      <c r="AE25" s="105">
        <v>12</v>
      </c>
      <c r="AF25" s="105">
        <v>0</v>
      </c>
      <c r="AG25" s="126">
        <v>20</v>
      </c>
      <c r="AH25" s="20">
        <f t="shared" si="2"/>
        <v>17</v>
      </c>
      <c r="AI25" s="19">
        <f t="shared" si="3"/>
        <v>0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207</v>
      </c>
      <c r="B26" s="105">
        <v>14</v>
      </c>
      <c r="C26" s="105">
        <v>14</v>
      </c>
      <c r="D26" s="105">
        <v>14</v>
      </c>
      <c r="E26" s="105">
        <v>14</v>
      </c>
      <c r="F26" s="105">
        <v>14</v>
      </c>
      <c r="G26" s="105">
        <v>14</v>
      </c>
      <c r="H26" s="105">
        <v>14</v>
      </c>
      <c r="I26" s="105">
        <v>14</v>
      </c>
      <c r="J26" s="105">
        <v>14</v>
      </c>
      <c r="K26" s="105">
        <v>14</v>
      </c>
      <c r="L26" s="105">
        <v>14</v>
      </c>
      <c r="M26" s="105">
        <v>14</v>
      </c>
      <c r="N26" s="105">
        <v>14</v>
      </c>
      <c r="O26" s="105">
        <v>14</v>
      </c>
      <c r="P26" s="105">
        <v>14</v>
      </c>
      <c r="Q26" s="105">
        <v>14</v>
      </c>
      <c r="R26" s="105">
        <v>14</v>
      </c>
      <c r="S26" s="105">
        <v>14</v>
      </c>
      <c r="T26" s="105">
        <v>14</v>
      </c>
      <c r="U26" s="105">
        <v>14</v>
      </c>
      <c r="V26" s="105">
        <v>14</v>
      </c>
      <c r="W26" s="105">
        <v>14</v>
      </c>
      <c r="X26" s="105">
        <v>14</v>
      </c>
      <c r="Y26" s="105">
        <v>14</v>
      </c>
      <c r="Z26" s="105">
        <v>14</v>
      </c>
      <c r="AA26" s="105">
        <v>14</v>
      </c>
      <c r="AB26" s="105">
        <v>14</v>
      </c>
      <c r="AC26" s="105">
        <v>14</v>
      </c>
      <c r="AD26" s="105">
        <v>14</v>
      </c>
      <c r="AE26" s="105">
        <v>14</v>
      </c>
      <c r="AF26" s="105">
        <v>14</v>
      </c>
      <c r="AG26" s="126">
        <v>14.9</v>
      </c>
      <c r="AH26" s="20">
        <f t="shared" si="2"/>
        <v>14</v>
      </c>
      <c r="AI26" s="19">
        <f t="shared" si="3"/>
        <v>14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206</v>
      </c>
      <c r="B27" s="105">
        <v>8</v>
      </c>
      <c r="C27" s="105">
        <v>8</v>
      </c>
      <c r="D27" s="105">
        <v>8</v>
      </c>
      <c r="E27" s="105">
        <v>8</v>
      </c>
      <c r="F27" s="105">
        <v>8</v>
      </c>
      <c r="G27" s="105">
        <v>8</v>
      </c>
      <c r="H27" s="105">
        <v>8</v>
      </c>
      <c r="I27" s="105">
        <v>8</v>
      </c>
      <c r="J27" s="105">
        <v>8</v>
      </c>
      <c r="K27" s="105">
        <v>8</v>
      </c>
      <c r="L27" s="105">
        <v>8</v>
      </c>
      <c r="M27" s="105">
        <v>8</v>
      </c>
      <c r="N27" s="105">
        <v>8</v>
      </c>
      <c r="O27" s="105">
        <v>8</v>
      </c>
      <c r="P27" s="105">
        <v>8</v>
      </c>
      <c r="Q27" s="105">
        <v>8</v>
      </c>
      <c r="R27" s="105">
        <v>8</v>
      </c>
      <c r="S27" s="105">
        <v>8</v>
      </c>
      <c r="T27" s="105">
        <v>8</v>
      </c>
      <c r="U27" s="105">
        <v>8</v>
      </c>
      <c r="V27" s="105">
        <v>8</v>
      </c>
      <c r="W27" s="105">
        <v>8</v>
      </c>
      <c r="X27" s="105">
        <v>8</v>
      </c>
      <c r="Y27" s="105">
        <v>8</v>
      </c>
      <c r="Z27" s="105">
        <v>8</v>
      </c>
      <c r="AA27" s="105">
        <v>8</v>
      </c>
      <c r="AB27" s="105">
        <v>8</v>
      </c>
      <c r="AC27" s="105">
        <v>8</v>
      </c>
      <c r="AD27" s="105">
        <v>8</v>
      </c>
      <c r="AE27" s="105">
        <v>8</v>
      </c>
      <c r="AF27" s="105">
        <v>8</v>
      </c>
      <c r="AG27" s="126">
        <v>13.6</v>
      </c>
      <c r="AH27" s="20">
        <f t="shared" si="2"/>
        <v>8</v>
      </c>
      <c r="AI27" s="19">
        <f t="shared" si="3"/>
        <v>8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205</v>
      </c>
      <c r="B28" s="105">
        <v>11</v>
      </c>
      <c r="C28" s="105">
        <v>11</v>
      </c>
      <c r="D28" s="105">
        <v>11</v>
      </c>
      <c r="E28" s="105">
        <v>11</v>
      </c>
      <c r="F28" s="105">
        <v>11</v>
      </c>
      <c r="G28" s="105">
        <v>11</v>
      </c>
      <c r="H28" s="105">
        <v>11</v>
      </c>
      <c r="I28" s="105">
        <v>11</v>
      </c>
      <c r="J28" s="105">
        <v>11</v>
      </c>
      <c r="K28" s="105">
        <v>11</v>
      </c>
      <c r="L28" s="105">
        <v>11</v>
      </c>
      <c r="M28" s="105">
        <v>11</v>
      </c>
      <c r="N28" s="105">
        <v>11</v>
      </c>
      <c r="O28" s="105">
        <v>11</v>
      </c>
      <c r="P28" s="105">
        <v>11</v>
      </c>
      <c r="Q28" s="105">
        <v>11</v>
      </c>
      <c r="R28" s="105">
        <v>11</v>
      </c>
      <c r="S28" s="105">
        <v>11</v>
      </c>
      <c r="T28" s="105">
        <v>11</v>
      </c>
      <c r="U28" s="105">
        <v>11</v>
      </c>
      <c r="V28" s="105">
        <v>11</v>
      </c>
      <c r="W28" s="105">
        <v>11</v>
      </c>
      <c r="X28" s="105">
        <v>11</v>
      </c>
      <c r="Y28" s="105">
        <v>11</v>
      </c>
      <c r="Z28" s="105">
        <v>11</v>
      </c>
      <c r="AA28" s="105">
        <v>11</v>
      </c>
      <c r="AB28" s="105">
        <v>11</v>
      </c>
      <c r="AC28" s="105">
        <v>11</v>
      </c>
      <c r="AD28" s="105">
        <v>11</v>
      </c>
      <c r="AE28" s="105">
        <v>11</v>
      </c>
      <c r="AF28" s="105">
        <v>11</v>
      </c>
      <c r="AG28" s="126">
        <v>13</v>
      </c>
      <c r="AH28" s="20">
        <f t="shared" si="2"/>
        <v>11</v>
      </c>
      <c r="AI28" s="19">
        <f t="shared" si="3"/>
        <v>11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204</v>
      </c>
      <c r="B29" s="105">
        <v>12</v>
      </c>
      <c r="C29" s="105">
        <v>12</v>
      </c>
      <c r="D29" s="105">
        <v>12</v>
      </c>
      <c r="E29" s="105">
        <v>12</v>
      </c>
      <c r="F29" s="105">
        <v>12</v>
      </c>
      <c r="G29" s="105">
        <v>12</v>
      </c>
      <c r="H29" s="105">
        <v>12</v>
      </c>
      <c r="I29" s="105">
        <v>12</v>
      </c>
      <c r="J29" s="105">
        <v>12</v>
      </c>
      <c r="K29" s="105">
        <v>12</v>
      </c>
      <c r="L29" s="105">
        <v>12</v>
      </c>
      <c r="M29" s="105">
        <v>12</v>
      </c>
      <c r="N29" s="105">
        <v>12</v>
      </c>
      <c r="O29" s="105">
        <v>12</v>
      </c>
      <c r="P29" s="105">
        <v>12</v>
      </c>
      <c r="Q29" s="105">
        <v>12</v>
      </c>
      <c r="R29" s="105">
        <v>12</v>
      </c>
      <c r="S29" s="105">
        <v>12</v>
      </c>
      <c r="T29" s="105">
        <v>12</v>
      </c>
      <c r="U29" s="105">
        <v>12</v>
      </c>
      <c r="V29" s="105">
        <v>12</v>
      </c>
      <c r="W29" s="105">
        <v>12</v>
      </c>
      <c r="X29" s="105">
        <v>12</v>
      </c>
      <c r="Y29" s="105">
        <v>12</v>
      </c>
      <c r="Z29" s="105">
        <v>12</v>
      </c>
      <c r="AA29" s="105">
        <v>12</v>
      </c>
      <c r="AB29" s="105">
        <v>12</v>
      </c>
      <c r="AC29" s="105">
        <v>12</v>
      </c>
      <c r="AD29" s="105">
        <v>12</v>
      </c>
      <c r="AE29" s="105">
        <v>12</v>
      </c>
      <c r="AF29" s="105">
        <v>12</v>
      </c>
      <c r="AG29" s="126">
        <v>12</v>
      </c>
      <c r="AH29" s="20">
        <f t="shared" si="2"/>
        <v>12</v>
      </c>
      <c r="AI29" s="19">
        <f t="shared" si="3"/>
        <v>12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203</v>
      </c>
      <c r="B30" s="105">
        <v>2</v>
      </c>
      <c r="C30" s="105">
        <v>2</v>
      </c>
      <c r="D30" s="105">
        <v>2</v>
      </c>
      <c r="E30" s="105">
        <v>2</v>
      </c>
      <c r="F30" s="105">
        <v>2</v>
      </c>
      <c r="G30" s="105">
        <v>2</v>
      </c>
      <c r="H30" s="105">
        <v>2</v>
      </c>
      <c r="I30" s="105">
        <v>2</v>
      </c>
      <c r="J30" s="105">
        <v>2</v>
      </c>
      <c r="K30" s="105">
        <v>2</v>
      </c>
      <c r="L30" s="105">
        <v>2</v>
      </c>
      <c r="M30" s="105">
        <v>2</v>
      </c>
      <c r="N30" s="105">
        <v>2</v>
      </c>
      <c r="O30" s="105">
        <v>2</v>
      </c>
      <c r="P30" s="105">
        <v>2</v>
      </c>
      <c r="Q30" s="105">
        <v>2</v>
      </c>
      <c r="R30" s="105">
        <v>2</v>
      </c>
      <c r="S30" s="105">
        <v>2</v>
      </c>
      <c r="T30" s="105">
        <v>2</v>
      </c>
      <c r="U30" s="105">
        <v>2</v>
      </c>
      <c r="V30" s="105">
        <v>2</v>
      </c>
      <c r="W30" s="105">
        <v>2</v>
      </c>
      <c r="X30" s="105">
        <v>2</v>
      </c>
      <c r="Y30" s="105">
        <v>2</v>
      </c>
      <c r="Z30" s="105">
        <v>2</v>
      </c>
      <c r="AA30" s="105">
        <v>2</v>
      </c>
      <c r="AB30" s="105">
        <v>2</v>
      </c>
      <c r="AC30" s="105">
        <v>2</v>
      </c>
      <c r="AD30" s="105">
        <v>2</v>
      </c>
      <c r="AE30" s="105">
        <v>2</v>
      </c>
      <c r="AF30" s="105">
        <v>2</v>
      </c>
      <c r="AG30" s="126">
        <v>12</v>
      </c>
      <c r="AH30" s="20">
        <f t="shared" si="2"/>
        <v>2</v>
      </c>
      <c r="AI30" s="19">
        <f t="shared" si="3"/>
        <v>2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ht="14.25" customHeight="1" x14ac:dyDescent="0.25">
      <c r="A31" s="97" t="s">
        <v>202</v>
      </c>
      <c r="B31" s="105">
        <v>12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>
        <v>12</v>
      </c>
      <c r="AE31" s="105">
        <v>12</v>
      </c>
      <c r="AF31" s="105">
        <v>12</v>
      </c>
      <c r="AG31" s="125">
        <v>22</v>
      </c>
      <c r="AH31" s="20">
        <f t="shared" si="2"/>
        <v>12</v>
      </c>
      <c r="AI31" s="19">
        <f t="shared" si="3"/>
        <v>12</v>
      </c>
      <c r="AK31" s="41"/>
      <c r="AL31" s="124"/>
      <c r="AM31" s="121"/>
      <c r="AN31" s="121"/>
      <c r="AO31" s="121"/>
      <c r="AP31" s="121"/>
      <c r="AQ31" s="123"/>
      <c r="AR31" s="122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ht="14.25" customHeight="1" x14ac:dyDescent="0.25">
      <c r="A32" s="97" t="s">
        <v>201</v>
      </c>
      <c r="B32" s="105">
        <v>11</v>
      </c>
      <c r="C32" s="105">
        <v>11</v>
      </c>
      <c r="D32" s="105">
        <v>11</v>
      </c>
      <c r="E32" s="105">
        <v>0</v>
      </c>
      <c r="F32" s="105">
        <v>0</v>
      </c>
      <c r="G32" s="105">
        <v>0</v>
      </c>
      <c r="H32" s="105">
        <v>0</v>
      </c>
      <c r="I32" s="105">
        <v>0</v>
      </c>
      <c r="J32" s="105">
        <v>0</v>
      </c>
      <c r="K32" s="105">
        <v>0</v>
      </c>
      <c r="L32" s="105">
        <v>0</v>
      </c>
      <c r="M32" s="105">
        <v>0</v>
      </c>
      <c r="N32" s="105">
        <v>0</v>
      </c>
      <c r="O32" s="105">
        <v>0</v>
      </c>
      <c r="P32" s="105">
        <v>0</v>
      </c>
      <c r="Q32" s="105">
        <v>0</v>
      </c>
      <c r="R32" s="105">
        <v>0</v>
      </c>
      <c r="S32" s="105">
        <v>0</v>
      </c>
      <c r="T32" s="105">
        <v>0</v>
      </c>
      <c r="U32" s="105">
        <v>0</v>
      </c>
      <c r="V32" s="105">
        <v>0</v>
      </c>
      <c r="W32" s="105">
        <v>0</v>
      </c>
      <c r="X32" s="105">
        <v>0</v>
      </c>
      <c r="Y32" s="105">
        <v>0</v>
      </c>
      <c r="Z32" s="105">
        <v>0</v>
      </c>
      <c r="AA32" s="105">
        <v>0</v>
      </c>
      <c r="AB32" s="105">
        <v>0</v>
      </c>
      <c r="AC32" s="105">
        <v>0</v>
      </c>
      <c r="AD32" s="105">
        <v>0</v>
      </c>
      <c r="AE32" s="105">
        <v>0</v>
      </c>
      <c r="AF32" s="105">
        <v>0</v>
      </c>
      <c r="AG32" s="96">
        <v>11.88</v>
      </c>
      <c r="AH32" s="20">
        <f t="shared" si="2"/>
        <v>11</v>
      </c>
      <c r="AI32" s="19">
        <f t="shared" si="3"/>
        <v>0</v>
      </c>
      <c r="AK32" s="41"/>
      <c r="AL32" s="124"/>
      <c r="AM32" s="121"/>
      <c r="AN32" s="121"/>
      <c r="AO32" s="121"/>
      <c r="AP32" s="121"/>
      <c r="AQ32" s="123"/>
      <c r="AR32" s="122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5" t="s">
        <v>200</v>
      </c>
      <c r="B33" s="105">
        <v>11</v>
      </c>
      <c r="C33" s="105">
        <v>11</v>
      </c>
      <c r="D33" s="105">
        <v>11</v>
      </c>
      <c r="E33" s="105">
        <v>11</v>
      </c>
      <c r="F33" s="105">
        <v>11</v>
      </c>
      <c r="G33" s="105">
        <v>11</v>
      </c>
      <c r="H33" s="105">
        <v>11</v>
      </c>
      <c r="I33" s="105">
        <v>11</v>
      </c>
      <c r="J33" s="105">
        <v>11</v>
      </c>
      <c r="K33" s="105">
        <v>11</v>
      </c>
      <c r="L33" s="105">
        <v>11</v>
      </c>
      <c r="M33" s="105">
        <v>11</v>
      </c>
      <c r="N33" s="105">
        <v>11</v>
      </c>
      <c r="O33" s="105">
        <v>11</v>
      </c>
      <c r="P33" s="105">
        <v>11</v>
      </c>
      <c r="Q33" s="105">
        <v>11</v>
      </c>
      <c r="R33" s="105">
        <v>11</v>
      </c>
      <c r="S33" s="105">
        <v>11</v>
      </c>
      <c r="T33" s="105">
        <v>11</v>
      </c>
      <c r="U33" s="105">
        <v>11</v>
      </c>
      <c r="V33" s="105">
        <v>11</v>
      </c>
      <c r="W33" s="105">
        <v>11</v>
      </c>
      <c r="X33" s="105">
        <v>11</v>
      </c>
      <c r="Y33" s="105">
        <v>11</v>
      </c>
      <c r="Z33" s="105">
        <v>11</v>
      </c>
      <c r="AA33" s="105">
        <v>11</v>
      </c>
      <c r="AB33" s="105">
        <v>11</v>
      </c>
      <c r="AC33" s="105">
        <v>11</v>
      </c>
      <c r="AD33" s="105">
        <v>11</v>
      </c>
      <c r="AE33" s="105">
        <v>11</v>
      </c>
      <c r="AF33" s="105">
        <v>11</v>
      </c>
      <c r="AG33" s="94">
        <v>11</v>
      </c>
      <c r="AH33" s="20">
        <f t="shared" si="2"/>
        <v>11</v>
      </c>
      <c r="AI33" s="19">
        <f t="shared" si="3"/>
        <v>11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5" t="s">
        <v>199</v>
      </c>
      <c r="B34" s="105">
        <v>8.8000000000000007</v>
      </c>
      <c r="C34" s="105">
        <v>8.8000000000000007</v>
      </c>
      <c r="D34" s="105">
        <v>8.8000000000000007</v>
      </c>
      <c r="E34" s="105">
        <v>8.8000000000000007</v>
      </c>
      <c r="F34" s="105">
        <v>8.8000000000000007</v>
      </c>
      <c r="G34" s="105">
        <v>8.8000000000000007</v>
      </c>
      <c r="H34" s="105">
        <v>8.8000000000000007</v>
      </c>
      <c r="I34" s="105">
        <v>8.8000000000000007</v>
      </c>
      <c r="J34" s="105">
        <v>8.8000000000000007</v>
      </c>
      <c r="K34" s="105">
        <v>8.8000000000000007</v>
      </c>
      <c r="L34" s="105">
        <v>8.8000000000000007</v>
      </c>
      <c r="M34" s="105">
        <v>8.8000000000000007</v>
      </c>
      <c r="N34" s="105">
        <v>8.8000000000000007</v>
      </c>
      <c r="O34" s="105">
        <v>8.8000000000000007</v>
      </c>
      <c r="P34" s="105">
        <v>8.8000000000000007</v>
      </c>
      <c r="Q34" s="105">
        <v>8.8000000000000007</v>
      </c>
      <c r="R34" s="105">
        <v>8.8000000000000007</v>
      </c>
      <c r="S34" s="105">
        <v>8.8000000000000007</v>
      </c>
      <c r="T34" s="105">
        <v>8.8000000000000007</v>
      </c>
      <c r="U34" s="105">
        <v>8.8000000000000007</v>
      </c>
      <c r="V34" s="105">
        <v>8.8000000000000007</v>
      </c>
      <c r="W34" s="105">
        <v>8.8000000000000007</v>
      </c>
      <c r="X34" s="105">
        <v>8.8000000000000007</v>
      </c>
      <c r="Y34" s="105">
        <v>8.8000000000000007</v>
      </c>
      <c r="Z34" s="105">
        <v>8.8000000000000007</v>
      </c>
      <c r="AA34" s="105">
        <v>8.8000000000000007</v>
      </c>
      <c r="AB34" s="105">
        <v>8.8000000000000007</v>
      </c>
      <c r="AC34" s="105">
        <v>8.8000000000000007</v>
      </c>
      <c r="AD34" s="105">
        <v>8.8000000000000007</v>
      </c>
      <c r="AE34" s="105">
        <v>8.8000000000000007</v>
      </c>
      <c r="AF34" s="105">
        <v>8.8000000000000007</v>
      </c>
      <c r="AG34" s="94">
        <v>10</v>
      </c>
      <c r="AH34" s="20">
        <f t="shared" si="2"/>
        <v>8.8000000000000007</v>
      </c>
      <c r="AI34" s="19">
        <f t="shared" si="3"/>
        <v>8.8000000000000007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x14ac:dyDescent="0.25">
      <c r="A35" s="95" t="s">
        <v>198</v>
      </c>
      <c r="B35" s="105">
        <v>0</v>
      </c>
      <c r="C35" s="105">
        <v>0</v>
      </c>
      <c r="D35" s="105">
        <v>0</v>
      </c>
      <c r="E35" s="105">
        <v>0</v>
      </c>
      <c r="F35" s="105">
        <v>0</v>
      </c>
      <c r="G35" s="105">
        <v>0</v>
      </c>
      <c r="H35" s="105">
        <v>0</v>
      </c>
      <c r="I35" s="105">
        <v>0</v>
      </c>
      <c r="J35" s="105">
        <v>0</v>
      </c>
      <c r="K35" s="105">
        <v>0</v>
      </c>
      <c r="L35" s="105">
        <v>0</v>
      </c>
      <c r="M35" s="105">
        <v>2</v>
      </c>
      <c r="N35" s="105">
        <v>3</v>
      </c>
      <c r="O35" s="105">
        <v>4</v>
      </c>
      <c r="P35" s="105">
        <v>4</v>
      </c>
      <c r="Q35" s="105">
        <v>4</v>
      </c>
      <c r="R35" s="105">
        <v>4</v>
      </c>
      <c r="S35" s="105">
        <v>4</v>
      </c>
      <c r="T35" s="105">
        <v>4</v>
      </c>
      <c r="U35" s="105">
        <v>4</v>
      </c>
      <c r="V35" s="105">
        <v>4</v>
      </c>
      <c r="W35" s="105">
        <v>4</v>
      </c>
      <c r="X35" s="105">
        <v>4</v>
      </c>
      <c r="Y35" s="105">
        <v>4</v>
      </c>
      <c r="Z35" s="105">
        <v>4</v>
      </c>
      <c r="AA35" s="105">
        <v>4</v>
      </c>
      <c r="AB35" s="105">
        <v>4</v>
      </c>
      <c r="AC35" s="105">
        <v>4</v>
      </c>
      <c r="AD35" s="105">
        <v>4</v>
      </c>
      <c r="AE35" s="105">
        <v>4</v>
      </c>
      <c r="AF35" s="105">
        <v>4</v>
      </c>
      <c r="AG35" s="94">
        <v>10</v>
      </c>
      <c r="AH35" s="20">
        <f t="shared" si="2"/>
        <v>4</v>
      </c>
      <c r="AI35" s="19">
        <f t="shared" si="3"/>
        <v>0</v>
      </c>
      <c r="AK35" s="41"/>
      <c r="AL35" s="124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x14ac:dyDescent="0.25">
      <c r="A36" s="111" t="s">
        <v>197</v>
      </c>
      <c r="B36" s="113">
        <v>300</v>
      </c>
      <c r="C36" s="113">
        <v>300</v>
      </c>
      <c r="D36" s="113">
        <v>300</v>
      </c>
      <c r="E36" s="113">
        <v>300</v>
      </c>
      <c r="F36" s="113">
        <v>300</v>
      </c>
      <c r="G36" s="113">
        <v>300</v>
      </c>
      <c r="H36" s="113">
        <v>300</v>
      </c>
      <c r="I36" s="113">
        <v>300</v>
      </c>
      <c r="J36" s="113">
        <v>300</v>
      </c>
      <c r="K36" s="113">
        <v>300</v>
      </c>
      <c r="L36" s="113">
        <v>300</v>
      </c>
      <c r="M36" s="113">
        <v>300</v>
      </c>
      <c r="N36" s="113">
        <v>300</v>
      </c>
      <c r="O36" s="113">
        <v>300</v>
      </c>
      <c r="P36" s="113">
        <v>300</v>
      </c>
      <c r="Q36" s="113">
        <v>300</v>
      </c>
      <c r="R36" s="113">
        <v>300</v>
      </c>
      <c r="S36" s="113">
        <v>300</v>
      </c>
      <c r="T36" s="113">
        <v>300</v>
      </c>
      <c r="U36" s="113">
        <v>300</v>
      </c>
      <c r="V36" s="113">
        <v>300</v>
      </c>
      <c r="W36" s="113">
        <v>300</v>
      </c>
      <c r="X36" s="113">
        <v>300</v>
      </c>
      <c r="Y36" s="113">
        <v>300</v>
      </c>
      <c r="Z36" s="113">
        <v>300</v>
      </c>
      <c r="AA36" s="113">
        <v>300</v>
      </c>
      <c r="AB36" s="113">
        <v>300</v>
      </c>
      <c r="AC36" s="113">
        <v>300</v>
      </c>
      <c r="AD36" s="113">
        <v>300</v>
      </c>
      <c r="AE36" s="113">
        <v>300</v>
      </c>
      <c r="AF36" s="113">
        <v>300</v>
      </c>
      <c r="AG36" s="94">
        <v>85</v>
      </c>
      <c r="AH36" s="20">
        <f t="shared" si="2"/>
        <v>300</v>
      </c>
      <c r="AI36" s="19">
        <f t="shared" si="3"/>
        <v>300</v>
      </c>
      <c r="AK36" s="41"/>
    </row>
    <row r="37" spans="1:88" ht="15.75" thickBot="1" x14ac:dyDescent="0.3">
      <c r="A37" s="120" t="s">
        <v>196</v>
      </c>
      <c r="B37" s="119">
        <v>170.4</v>
      </c>
      <c r="C37" s="119">
        <v>170</v>
      </c>
      <c r="D37" s="119">
        <f>171.4</f>
        <v>171.4</v>
      </c>
      <c r="E37" s="119">
        <f>101.3+70.1</f>
        <v>171.39999999999998</v>
      </c>
      <c r="F37" s="119">
        <v>171.4</v>
      </c>
      <c r="G37" s="119">
        <f>170.8</f>
        <v>170.8</v>
      </c>
      <c r="H37" s="119">
        <f>100.6+70</f>
        <v>170.6</v>
      </c>
      <c r="I37" s="119">
        <v>170.2</v>
      </c>
      <c r="J37" s="119">
        <v>170.5</v>
      </c>
      <c r="K37" s="119">
        <v>170.3</v>
      </c>
      <c r="L37" s="113">
        <v>168.3</v>
      </c>
      <c r="M37" s="113">
        <f>69+99.2</f>
        <v>168.2</v>
      </c>
      <c r="N37" s="113">
        <f>69.3+99.8</f>
        <v>169.1</v>
      </c>
      <c r="O37" s="113">
        <f>69.3+100</f>
        <v>169.3</v>
      </c>
      <c r="P37" s="113">
        <f>69.8+99</f>
        <v>168.8</v>
      </c>
      <c r="Q37" s="113">
        <f>69.6+100.4</f>
        <v>170</v>
      </c>
      <c r="R37" s="113">
        <f>70.4+100.7</f>
        <v>171.10000000000002</v>
      </c>
      <c r="S37" s="119">
        <f>70.3+101</f>
        <v>171.3</v>
      </c>
      <c r="T37" s="119">
        <f>69.3+100.8</f>
        <v>170.1</v>
      </c>
      <c r="U37" s="119">
        <f>70.5+101</f>
        <v>171.5</v>
      </c>
      <c r="V37" s="119">
        <f>70.5+101</f>
        <v>171.5</v>
      </c>
      <c r="W37" s="119">
        <f>68.8+99.8</f>
        <v>168.6</v>
      </c>
      <c r="X37" s="119">
        <f>69.4+99.1</f>
        <v>168.5</v>
      </c>
      <c r="Y37" s="119">
        <f>64.7+97.3</f>
        <v>162</v>
      </c>
      <c r="Z37" s="119">
        <v>150.9</v>
      </c>
      <c r="AA37" s="119">
        <f>68.5+98.2</f>
        <v>166.7</v>
      </c>
      <c r="AB37" s="119">
        <f>68.5+98.2</f>
        <v>166.7</v>
      </c>
      <c r="AC37" s="119">
        <f>68.5+98.2</f>
        <v>166.7</v>
      </c>
      <c r="AD37" s="119">
        <f>68.5+98.2</f>
        <v>166.7</v>
      </c>
      <c r="AE37" s="119">
        <v>170</v>
      </c>
      <c r="AF37" s="119">
        <v>170</v>
      </c>
      <c r="AG37" s="94">
        <v>240</v>
      </c>
      <c r="AH37" s="20">
        <f t="shared" si="2"/>
        <v>171.5</v>
      </c>
      <c r="AI37" s="19">
        <f t="shared" si="3"/>
        <v>150.9</v>
      </c>
      <c r="AK37" s="41"/>
    </row>
    <row r="38" spans="1:88" ht="15.75" thickBot="1" x14ac:dyDescent="0.3">
      <c r="A38" s="118" t="s">
        <v>195</v>
      </c>
      <c r="B38" s="86">
        <f>SUM(B11:B36)</f>
        <v>768.7</v>
      </c>
      <c r="C38" s="86">
        <f t="shared" ref="C38:AG38" si="4">SUM(C11:C36)</f>
        <v>774.7</v>
      </c>
      <c r="D38" s="86">
        <f t="shared" si="4"/>
        <v>774.7</v>
      </c>
      <c r="E38" s="86">
        <f t="shared" si="4"/>
        <v>763.7</v>
      </c>
      <c r="F38" s="86">
        <f t="shared" si="4"/>
        <v>758.2</v>
      </c>
      <c r="G38" s="86">
        <f t="shared" si="4"/>
        <v>758.2</v>
      </c>
      <c r="H38" s="86">
        <f t="shared" si="4"/>
        <v>758.2</v>
      </c>
      <c r="I38" s="86">
        <f t="shared" si="4"/>
        <v>758.2</v>
      </c>
      <c r="J38" s="86">
        <f t="shared" si="4"/>
        <v>758.2</v>
      </c>
      <c r="K38" s="86">
        <f t="shared" si="4"/>
        <v>758.2</v>
      </c>
      <c r="L38" s="86">
        <f t="shared" si="4"/>
        <v>814.2</v>
      </c>
      <c r="M38" s="86">
        <f t="shared" si="4"/>
        <v>816.2</v>
      </c>
      <c r="N38" s="86">
        <f t="shared" si="4"/>
        <v>817.2</v>
      </c>
      <c r="O38" s="86">
        <f t="shared" si="4"/>
        <v>818.2</v>
      </c>
      <c r="P38" s="86">
        <f t="shared" si="4"/>
        <v>818.2</v>
      </c>
      <c r="Q38" s="86">
        <f t="shared" si="4"/>
        <v>819.5</v>
      </c>
      <c r="R38" s="86">
        <f t="shared" si="4"/>
        <v>819.9</v>
      </c>
      <c r="S38" s="86">
        <f t="shared" si="4"/>
        <v>819.9</v>
      </c>
      <c r="T38" s="86">
        <f t="shared" si="4"/>
        <v>815.90000000000009</v>
      </c>
      <c r="U38" s="86">
        <f t="shared" si="4"/>
        <v>818.9</v>
      </c>
      <c r="V38" s="86">
        <f t="shared" si="4"/>
        <v>808.90000000000009</v>
      </c>
      <c r="W38" s="86">
        <f t="shared" si="4"/>
        <v>807.90000000000009</v>
      </c>
      <c r="X38" s="86">
        <f t="shared" si="4"/>
        <v>782.1</v>
      </c>
      <c r="Y38" s="86">
        <f t="shared" si="4"/>
        <v>782.1</v>
      </c>
      <c r="Z38" s="86">
        <f t="shared" si="4"/>
        <v>778</v>
      </c>
      <c r="AA38" s="86">
        <f t="shared" si="4"/>
        <v>805.1</v>
      </c>
      <c r="AB38" s="86">
        <f t="shared" si="4"/>
        <v>814.1</v>
      </c>
      <c r="AC38" s="86">
        <f t="shared" si="4"/>
        <v>812.1</v>
      </c>
      <c r="AD38" s="86">
        <f t="shared" si="4"/>
        <v>804.1</v>
      </c>
      <c r="AE38" s="86">
        <f t="shared" si="4"/>
        <v>794.1</v>
      </c>
      <c r="AF38" s="86">
        <f t="shared" si="4"/>
        <v>765.90000000000009</v>
      </c>
      <c r="AG38" s="101">
        <f t="shared" si="4"/>
        <v>665.78</v>
      </c>
      <c r="AH38" s="20">
        <f t="shared" si="2"/>
        <v>819.9</v>
      </c>
      <c r="AI38" s="19">
        <f t="shared" si="3"/>
        <v>758.2</v>
      </c>
      <c r="AK38" s="41"/>
    </row>
    <row r="39" spans="1:88" x14ac:dyDescent="0.25">
      <c r="A39" s="117" t="s">
        <v>194</v>
      </c>
      <c r="B39" s="105">
        <v>456</v>
      </c>
      <c r="C39" s="105">
        <v>456</v>
      </c>
      <c r="D39" s="105">
        <v>456</v>
      </c>
      <c r="E39" s="105">
        <v>456</v>
      </c>
      <c r="F39" s="105">
        <v>456</v>
      </c>
      <c r="G39" s="105">
        <v>430</v>
      </c>
      <c r="H39" s="105">
        <v>430</v>
      </c>
      <c r="I39" s="105">
        <v>430</v>
      </c>
      <c r="J39" s="105">
        <v>456</v>
      </c>
      <c r="K39" s="105">
        <v>456</v>
      </c>
      <c r="L39" s="105">
        <v>456</v>
      </c>
      <c r="M39" s="105">
        <v>456</v>
      </c>
      <c r="N39" s="105">
        <v>456</v>
      </c>
      <c r="O39" s="105">
        <v>456</v>
      </c>
      <c r="P39" s="105">
        <v>456</v>
      </c>
      <c r="Q39" s="105">
        <v>456</v>
      </c>
      <c r="R39" s="105">
        <v>456</v>
      </c>
      <c r="S39" s="105">
        <v>456</v>
      </c>
      <c r="T39" s="105">
        <v>456</v>
      </c>
      <c r="U39" s="105">
        <v>456</v>
      </c>
      <c r="V39" s="105">
        <v>456</v>
      </c>
      <c r="W39" s="105">
        <v>456</v>
      </c>
      <c r="X39" s="105">
        <v>456</v>
      </c>
      <c r="Y39" s="105">
        <v>456</v>
      </c>
      <c r="Z39" s="105">
        <v>456</v>
      </c>
      <c r="AA39" s="105">
        <v>456</v>
      </c>
      <c r="AB39" s="105">
        <v>456</v>
      </c>
      <c r="AC39" s="105">
        <v>456</v>
      </c>
      <c r="AD39" s="105">
        <v>456</v>
      </c>
      <c r="AE39" s="105">
        <v>456</v>
      </c>
      <c r="AF39" s="105">
        <v>456</v>
      </c>
      <c r="AG39" s="96">
        <v>456</v>
      </c>
      <c r="AH39" s="20">
        <f t="shared" si="2"/>
        <v>456</v>
      </c>
      <c r="AI39" s="19">
        <f t="shared" si="3"/>
        <v>430</v>
      </c>
      <c r="AK39" s="41"/>
    </row>
    <row r="40" spans="1:88" x14ac:dyDescent="0.25">
      <c r="A40" s="116" t="s">
        <v>193</v>
      </c>
      <c r="B40" s="80">
        <v>60</v>
      </c>
      <c r="C40" s="80">
        <v>60</v>
      </c>
      <c r="D40" s="80">
        <v>60</v>
      </c>
      <c r="E40" s="80">
        <v>60</v>
      </c>
      <c r="F40" s="80">
        <v>60</v>
      </c>
      <c r="G40" s="80">
        <v>60</v>
      </c>
      <c r="H40" s="80">
        <v>60</v>
      </c>
      <c r="I40" s="80">
        <v>60</v>
      </c>
      <c r="J40" s="80">
        <v>60</v>
      </c>
      <c r="K40" s="80">
        <v>60</v>
      </c>
      <c r="L40" s="80">
        <v>60</v>
      </c>
      <c r="M40" s="80">
        <v>60</v>
      </c>
      <c r="N40" s="80">
        <v>60</v>
      </c>
      <c r="O40" s="80">
        <v>60</v>
      </c>
      <c r="P40" s="80">
        <v>60</v>
      </c>
      <c r="Q40" s="80">
        <v>60</v>
      </c>
      <c r="R40" s="80">
        <v>60</v>
      </c>
      <c r="S40" s="80">
        <v>60</v>
      </c>
      <c r="T40" s="80">
        <v>60</v>
      </c>
      <c r="U40" s="80">
        <v>60</v>
      </c>
      <c r="V40" s="80">
        <v>60</v>
      </c>
      <c r="W40" s="80">
        <v>60</v>
      </c>
      <c r="X40" s="80">
        <v>60</v>
      </c>
      <c r="Y40" s="80">
        <v>60</v>
      </c>
      <c r="Z40" s="80">
        <v>60</v>
      </c>
      <c r="AA40" s="80">
        <v>60</v>
      </c>
      <c r="AB40" s="80">
        <v>60</v>
      </c>
      <c r="AC40" s="80">
        <v>60</v>
      </c>
      <c r="AD40" s="80">
        <v>60</v>
      </c>
      <c r="AE40" s="80">
        <v>60</v>
      </c>
      <c r="AF40" s="80">
        <v>60</v>
      </c>
      <c r="AG40" s="94">
        <v>60</v>
      </c>
      <c r="AH40" s="20">
        <f t="shared" si="2"/>
        <v>60</v>
      </c>
      <c r="AI40" s="19">
        <f t="shared" si="3"/>
        <v>60</v>
      </c>
      <c r="AK40" s="41"/>
    </row>
    <row r="41" spans="1:88" ht="15.75" thickBot="1" x14ac:dyDescent="0.3">
      <c r="A41" s="115" t="s">
        <v>192</v>
      </c>
      <c r="B41" s="107">
        <v>22</v>
      </c>
      <c r="C41" s="107">
        <v>22</v>
      </c>
      <c r="D41" s="107">
        <v>22</v>
      </c>
      <c r="E41" s="107">
        <v>22</v>
      </c>
      <c r="F41" s="107">
        <v>22</v>
      </c>
      <c r="G41" s="107">
        <v>22</v>
      </c>
      <c r="H41" s="107">
        <v>22</v>
      </c>
      <c r="I41" s="107">
        <v>22</v>
      </c>
      <c r="J41" s="107">
        <v>22</v>
      </c>
      <c r="K41" s="107">
        <v>22</v>
      </c>
      <c r="L41" s="107">
        <v>22</v>
      </c>
      <c r="M41" s="107">
        <v>22</v>
      </c>
      <c r="N41" s="107">
        <v>22</v>
      </c>
      <c r="O41" s="107">
        <v>22</v>
      </c>
      <c r="P41" s="107">
        <v>22</v>
      </c>
      <c r="Q41" s="107">
        <v>22</v>
      </c>
      <c r="R41" s="107">
        <v>22</v>
      </c>
      <c r="S41" s="107">
        <v>22</v>
      </c>
      <c r="T41" s="107">
        <v>22</v>
      </c>
      <c r="U41" s="107">
        <v>22</v>
      </c>
      <c r="V41" s="107">
        <v>22</v>
      </c>
      <c r="W41" s="107">
        <v>22</v>
      </c>
      <c r="X41" s="107">
        <v>22</v>
      </c>
      <c r="Y41" s="107">
        <v>22</v>
      </c>
      <c r="Z41" s="107">
        <v>22</v>
      </c>
      <c r="AA41" s="107">
        <v>22</v>
      </c>
      <c r="AB41" s="107">
        <v>22</v>
      </c>
      <c r="AC41" s="107">
        <v>22</v>
      </c>
      <c r="AD41" s="107">
        <v>22</v>
      </c>
      <c r="AE41" s="107">
        <v>22</v>
      </c>
      <c r="AF41" s="107">
        <v>22</v>
      </c>
      <c r="AG41" s="106">
        <v>22.1</v>
      </c>
      <c r="AH41" s="20">
        <f t="shared" si="2"/>
        <v>22</v>
      </c>
      <c r="AI41" s="19">
        <f t="shared" si="3"/>
        <v>22</v>
      </c>
      <c r="AK41" s="41"/>
    </row>
    <row r="42" spans="1:88" ht="15.75" thickBot="1" x14ac:dyDescent="0.3">
      <c r="A42" s="114" t="s">
        <v>191</v>
      </c>
      <c r="B42" s="86">
        <f>SUM(B39:B41)</f>
        <v>538</v>
      </c>
      <c r="C42" s="86">
        <f t="shared" ref="C42:AG42" si="5">SUM(C39:C41)</f>
        <v>538</v>
      </c>
      <c r="D42" s="86">
        <f t="shared" si="5"/>
        <v>538</v>
      </c>
      <c r="E42" s="86">
        <f t="shared" si="5"/>
        <v>538</v>
      </c>
      <c r="F42" s="86">
        <f t="shared" si="5"/>
        <v>538</v>
      </c>
      <c r="G42" s="86">
        <f t="shared" si="5"/>
        <v>512</v>
      </c>
      <c r="H42" s="86">
        <f t="shared" si="5"/>
        <v>512</v>
      </c>
      <c r="I42" s="86">
        <f t="shared" si="5"/>
        <v>512</v>
      </c>
      <c r="J42" s="86">
        <f t="shared" si="5"/>
        <v>538</v>
      </c>
      <c r="K42" s="86">
        <f t="shared" si="5"/>
        <v>538</v>
      </c>
      <c r="L42" s="86">
        <f t="shared" si="5"/>
        <v>538</v>
      </c>
      <c r="M42" s="86">
        <f t="shared" si="5"/>
        <v>538</v>
      </c>
      <c r="N42" s="86">
        <f t="shared" si="5"/>
        <v>538</v>
      </c>
      <c r="O42" s="86">
        <f t="shared" si="5"/>
        <v>538</v>
      </c>
      <c r="P42" s="86">
        <f t="shared" si="5"/>
        <v>538</v>
      </c>
      <c r="Q42" s="86">
        <f t="shared" si="5"/>
        <v>538</v>
      </c>
      <c r="R42" s="86">
        <f t="shared" si="5"/>
        <v>538</v>
      </c>
      <c r="S42" s="86">
        <f t="shared" si="5"/>
        <v>538</v>
      </c>
      <c r="T42" s="86">
        <f t="shared" si="5"/>
        <v>538</v>
      </c>
      <c r="U42" s="86">
        <f t="shared" si="5"/>
        <v>538</v>
      </c>
      <c r="V42" s="86">
        <f t="shared" si="5"/>
        <v>538</v>
      </c>
      <c r="W42" s="86">
        <f t="shared" si="5"/>
        <v>538</v>
      </c>
      <c r="X42" s="86">
        <f t="shared" si="5"/>
        <v>538</v>
      </c>
      <c r="Y42" s="86">
        <f t="shared" si="5"/>
        <v>538</v>
      </c>
      <c r="Z42" s="86">
        <f t="shared" si="5"/>
        <v>538</v>
      </c>
      <c r="AA42" s="86">
        <f t="shared" si="5"/>
        <v>538</v>
      </c>
      <c r="AB42" s="86">
        <f t="shared" si="5"/>
        <v>538</v>
      </c>
      <c r="AC42" s="86">
        <f t="shared" si="5"/>
        <v>538</v>
      </c>
      <c r="AD42" s="86">
        <f t="shared" si="5"/>
        <v>538</v>
      </c>
      <c r="AE42" s="86">
        <f t="shared" si="5"/>
        <v>538</v>
      </c>
      <c r="AF42" s="86">
        <f t="shared" si="5"/>
        <v>538</v>
      </c>
      <c r="AG42" s="101">
        <f t="shared" si="5"/>
        <v>538.1</v>
      </c>
      <c r="AH42" s="20">
        <f t="shared" si="2"/>
        <v>538</v>
      </c>
      <c r="AI42" s="19">
        <f t="shared" si="3"/>
        <v>512</v>
      </c>
      <c r="AK42" s="41"/>
    </row>
    <row r="43" spans="1:88" x14ac:dyDescent="0.25">
      <c r="A43" s="97" t="s">
        <v>190</v>
      </c>
      <c r="B43" s="105">
        <v>142.30000000000001</v>
      </c>
      <c r="C43" s="105">
        <v>143</v>
      </c>
      <c r="D43" s="105">
        <v>143.1</v>
      </c>
      <c r="E43" s="105">
        <v>142.69999999999999</v>
      </c>
      <c r="F43" s="105">
        <v>142.5</v>
      </c>
      <c r="G43" s="105">
        <v>141.80000000000001</v>
      </c>
      <c r="H43" s="105">
        <v>141.80000000000001</v>
      </c>
      <c r="I43" s="105">
        <v>142.1</v>
      </c>
      <c r="J43" s="105">
        <v>142.6</v>
      </c>
      <c r="K43" s="105">
        <v>142.80000000000001</v>
      </c>
      <c r="L43" s="105">
        <v>142.9</v>
      </c>
      <c r="M43" s="105">
        <v>143</v>
      </c>
      <c r="N43" s="105">
        <v>143</v>
      </c>
      <c r="O43" s="105">
        <v>143.1</v>
      </c>
      <c r="P43" s="105">
        <v>143.1</v>
      </c>
      <c r="Q43" s="105">
        <v>142.9</v>
      </c>
      <c r="R43" s="105">
        <v>142.69999999999999</v>
      </c>
      <c r="S43" s="105">
        <v>142.80000000000001</v>
      </c>
      <c r="T43" s="105">
        <v>142.80000000000001</v>
      </c>
      <c r="U43" s="105">
        <v>142.80000000000001</v>
      </c>
      <c r="V43" s="105">
        <v>142</v>
      </c>
      <c r="W43" s="105">
        <v>142</v>
      </c>
      <c r="X43" s="105">
        <v>142</v>
      </c>
      <c r="Y43" s="105">
        <v>142</v>
      </c>
      <c r="Z43" s="105">
        <v>143.1</v>
      </c>
      <c r="AA43" s="105">
        <v>143.19999999999999</v>
      </c>
      <c r="AB43" s="105">
        <v>143.19999999999999</v>
      </c>
      <c r="AC43" s="105">
        <v>143.19999999999999</v>
      </c>
      <c r="AD43" s="105">
        <v>143.19999999999999</v>
      </c>
      <c r="AE43" s="105">
        <v>143.19999999999999</v>
      </c>
      <c r="AF43" s="105">
        <v>143.19999999999999</v>
      </c>
      <c r="AG43" s="96">
        <v>144</v>
      </c>
      <c r="AH43" s="20">
        <f t="shared" si="2"/>
        <v>143.19999999999999</v>
      </c>
      <c r="AI43" s="19">
        <f t="shared" si="3"/>
        <v>141.80000000000001</v>
      </c>
      <c r="AK43" s="41"/>
    </row>
    <row r="44" spans="1:88" x14ac:dyDescent="0.25">
      <c r="A44" s="95" t="s">
        <v>189</v>
      </c>
      <c r="B44" s="80">
        <v>71.3</v>
      </c>
      <c r="C44" s="80">
        <v>71.099999999999994</v>
      </c>
      <c r="D44" s="80">
        <v>71.2</v>
      </c>
      <c r="E44" s="80">
        <v>71.2</v>
      </c>
      <c r="F44" s="80">
        <v>61.9</v>
      </c>
      <c r="G44" s="80">
        <v>62.1</v>
      </c>
      <c r="H44" s="80">
        <v>61.9</v>
      </c>
      <c r="I44" s="80">
        <v>61.5</v>
      </c>
      <c r="J44" s="80">
        <v>69.5</v>
      </c>
      <c r="K44" s="80">
        <v>72.900000000000006</v>
      </c>
      <c r="L44" s="80">
        <v>73.400000000000006</v>
      </c>
      <c r="M44" s="80">
        <v>72.8</v>
      </c>
      <c r="N44" s="80">
        <v>72.8</v>
      </c>
      <c r="O44" s="105">
        <v>72.900000000000006</v>
      </c>
      <c r="P44" s="105">
        <v>72.900000000000006</v>
      </c>
      <c r="Q44" s="105">
        <v>73.099999999999994</v>
      </c>
      <c r="R44" s="105">
        <v>72.400000000000006</v>
      </c>
      <c r="S44" s="80">
        <v>71.400000000000006</v>
      </c>
      <c r="T44" s="80">
        <v>71.400000000000006</v>
      </c>
      <c r="U44" s="80">
        <v>71.400000000000006</v>
      </c>
      <c r="V44" s="80">
        <v>71.400000000000006</v>
      </c>
      <c r="W44" s="80">
        <v>71.400000000000006</v>
      </c>
      <c r="X44" s="80">
        <v>71.400000000000006</v>
      </c>
      <c r="Y44" s="80">
        <v>71.400000000000006</v>
      </c>
      <c r="Z44" s="80">
        <v>73.2</v>
      </c>
      <c r="AA44" s="80">
        <v>71.8</v>
      </c>
      <c r="AB44" s="80">
        <v>71.8</v>
      </c>
      <c r="AC44" s="80">
        <v>71.8</v>
      </c>
      <c r="AD44" s="80">
        <v>71.8</v>
      </c>
      <c r="AE44" s="80">
        <v>71.8</v>
      </c>
      <c r="AF44" s="80">
        <v>71.8</v>
      </c>
      <c r="AG44" s="94">
        <v>70</v>
      </c>
      <c r="AH44" s="20">
        <f t="shared" si="2"/>
        <v>73.400000000000006</v>
      </c>
      <c r="AI44" s="19">
        <f t="shared" si="3"/>
        <v>61.5</v>
      </c>
      <c r="AK44" s="41"/>
    </row>
    <row r="45" spans="1:88" x14ac:dyDescent="0.25">
      <c r="A45" s="95" t="s">
        <v>188</v>
      </c>
      <c r="B45" s="80">
        <v>64.7</v>
      </c>
      <c r="C45" s="80">
        <v>64.7</v>
      </c>
      <c r="D45" s="80">
        <v>64.7</v>
      </c>
      <c r="E45" s="80">
        <v>65.3</v>
      </c>
      <c r="F45" s="80">
        <v>50.3</v>
      </c>
      <c r="G45" s="80">
        <v>55.4</v>
      </c>
      <c r="H45" s="80">
        <v>56.6</v>
      </c>
      <c r="I45" s="80">
        <v>54.1</v>
      </c>
      <c r="J45" s="80">
        <v>65.099999999999994</v>
      </c>
      <c r="K45" s="80">
        <v>64.5</v>
      </c>
      <c r="L45" s="80">
        <v>64.8</v>
      </c>
      <c r="M45" s="80">
        <v>65.099999999999994</v>
      </c>
      <c r="N45" s="80">
        <v>65.099999999999994</v>
      </c>
      <c r="O45" s="105">
        <v>64.5</v>
      </c>
      <c r="P45" s="105">
        <v>64.5</v>
      </c>
      <c r="Q45" s="105">
        <v>65.099999999999994</v>
      </c>
      <c r="R45" s="105">
        <v>65.3</v>
      </c>
      <c r="S45" s="80">
        <v>65.5</v>
      </c>
      <c r="T45" s="80">
        <v>65.5</v>
      </c>
      <c r="U45" s="80">
        <v>65.5</v>
      </c>
      <c r="V45" s="80">
        <v>65.5</v>
      </c>
      <c r="W45" s="80">
        <v>65.5</v>
      </c>
      <c r="X45" s="80">
        <v>65.5</v>
      </c>
      <c r="Y45" s="80">
        <v>65.5</v>
      </c>
      <c r="Z45" s="80">
        <v>64.5</v>
      </c>
      <c r="AA45" s="80">
        <v>65.2</v>
      </c>
      <c r="AB45" s="80">
        <v>65.2</v>
      </c>
      <c r="AC45" s="80">
        <v>65.2</v>
      </c>
      <c r="AD45" s="80">
        <v>65.2</v>
      </c>
      <c r="AE45" s="80">
        <v>65.2</v>
      </c>
      <c r="AF45" s="80">
        <v>65.2</v>
      </c>
      <c r="AG45" s="94">
        <v>69</v>
      </c>
      <c r="AH45" s="20">
        <f t="shared" si="2"/>
        <v>65.5</v>
      </c>
      <c r="AI45" s="19">
        <f t="shared" si="3"/>
        <v>50.3</v>
      </c>
      <c r="AK45" s="41"/>
    </row>
    <row r="46" spans="1:88" x14ac:dyDescent="0.25">
      <c r="A46" s="95" t="s">
        <v>187</v>
      </c>
      <c r="B46" s="113">
        <v>60.9</v>
      </c>
      <c r="C46" s="113">
        <v>60.7</v>
      </c>
      <c r="D46" s="113">
        <v>60.7</v>
      </c>
      <c r="E46" s="113">
        <v>60</v>
      </c>
      <c r="F46" s="113">
        <v>53.2</v>
      </c>
      <c r="G46" s="113">
        <v>60.7</v>
      </c>
      <c r="H46" s="113">
        <v>60.7</v>
      </c>
      <c r="I46" s="113">
        <v>60.7</v>
      </c>
      <c r="J46" s="113">
        <v>60.7</v>
      </c>
      <c r="K46" s="113">
        <v>60.7</v>
      </c>
      <c r="L46" s="113">
        <v>60.7</v>
      </c>
      <c r="M46" s="113">
        <v>60.7</v>
      </c>
      <c r="N46" s="113">
        <v>60.7</v>
      </c>
      <c r="O46" s="105">
        <v>60.4</v>
      </c>
      <c r="P46" s="105">
        <v>60.4</v>
      </c>
      <c r="Q46" s="105">
        <v>60.4</v>
      </c>
      <c r="R46" s="105">
        <v>60.7</v>
      </c>
      <c r="S46" s="105">
        <v>60.7</v>
      </c>
      <c r="T46" s="105">
        <v>60.7</v>
      </c>
      <c r="U46" s="105">
        <v>60.7</v>
      </c>
      <c r="V46" s="105">
        <v>60.7</v>
      </c>
      <c r="W46" s="105">
        <v>60.7</v>
      </c>
      <c r="X46" s="105">
        <v>60.7</v>
      </c>
      <c r="Y46" s="105">
        <v>60.7</v>
      </c>
      <c r="Z46" s="80">
        <v>60.7</v>
      </c>
      <c r="AA46" s="80">
        <v>60.7</v>
      </c>
      <c r="AB46" s="80">
        <v>60.7</v>
      </c>
      <c r="AC46" s="80">
        <v>60.7</v>
      </c>
      <c r="AD46" s="80">
        <v>60.7</v>
      </c>
      <c r="AE46" s="80">
        <v>60.7</v>
      </c>
      <c r="AF46" s="80">
        <v>60.7</v>
      </c>
      <c r="AG46" s="94">
        <v>60</v>
      </c>
      <c r="AH46" s="20">
        <f t="shared" si="2"/>
        <v>60.9</v>
      </c>
      <c r="AI46" s="19">
        <f t="shared" si="3"/>
        <v>53.2</v>
      </c>
      <c r="AK46" s="41"/>
    </row>
    <row r="47" spans="1:88" x14ac:dyDescent="0.25">
      <c r="A47" s="95" t="s">
        <v>186</v>
      </c>
      <c r="B47" s="113">
        <v>28.6</v>
      </c>
      <c r="C47" s="113">
        <v>28.6</v>
      </c>
      <c r="D47" s="113">
        <v>28.6</v>
      </c>
      <c r="E47" s="113">
        <v>28.6</v>
      </c>
      <c r="F47" s="113">
        <v>28.6</v>
      </c>
      <c r="G47" s="113">
        <v>28.6</v>
      </c>
      <c r="H47" s="113">
        <v>28.6</v>
      </c>
      <c r="I47" s="113">
        <v>28.6</v>
      </c>
      <c r="J47" s="113">
        <v>28.6</v>
      </c>
      <c r="K47" s="113">
        <v>28.6</v>
      </c>
      <c r="L47" s="113">
        <v>28.6</v>
      </c>
      <c r="M47" s="113">
        <v>28.9</v>
      </c>
      <c r="N47" s="113">
        <v>28.9</v>
      </c>
      <c r="O47" s="113">
        <v>28.7</v>
      </c>
      <c r="P47" s="113">
        <v>28.7</v>
      </c>
      <c r="Q47" s="113">
        <v>28.8</v>
      </c>
      <c r="R47" s="105">
        <v>28.7</v>
      </c>
      <c r="S47" s="105">
        <v>28.6</v>
      </c>
      <c r="T47" s="105">
        <v>28.6</v>
      </c>
      <c r="U47" s="105">
        <v>28.6</v>
      </c>
      <c r="V47" s="105">
        <v>28.6</v>
      </c>
      <c r="W47" s="105">
        <v>28.6</v>
      </c>
      <c r="X47" s="105">
        <v>28.6</v>
      </c>
      <c r="Y47" s="105">
        <v>28.6</v>
      </c>
      <c r="Z47" s="80">
        <v>28.6</v>
      </c>
      <c r="AA47" s="80">
        <v>28.6</v>
      </c>
      <c r="AB47" s="80">
        <v>28.6</v>
      </c>
      <c r="AC47" s="80">
        <v>28.6</v>
      </c>
      <c r="AD47" s="80">
        <v>28.6</v>
      </c>
      <c r="AE47" s="80">
        <v>28.6</v>
      </c>
      <c r="AF47" s="80">
        <v>28.6</v>
      </c>
      <c r="AG47" s="94">
        <v>30</v>
      </c>
      <c r="AH47" s="20">
        <f t="shared" si="2"/>
        <v>28.9</v>
      </c>
      <c r="AI47" s="19">
        <f t="shared" si="3"/>
        <v>28.6</v>
      </c>
      <c r="AK47" s="41"/>
    </row>
    <row r="48" spans="1:88" x14ac:dyDescent="0.25">
      <c r="A48" s="95" t="s">
        <v>185</v>
      </c>
      <c r="B48" s="80">
        <v>0</v>
      </c>
      <c r="C48" s="80">
        <v>0</v>
      </c>
      <c r="D48" s="80">
        <v>0</v>
      </c>
      <c r="E48" s="80">
        <v>0</v>
      </c>
      <c r="F48" s="80">
        <v>0</v>
      </c>
      <c r="G48" s="80">
        <v>0</v>
      </c>
      <c r="H48" s="80">
        <v>0</v>
      </c>
      <c r="I48" s="80">
        <v>0</v>
      </c>
      <c r="J48" s="80">
        <v>0</v>
      </c>
      <c r="K48" s="80">
        <v>0</v>
      </c>
      <c r="L48" s="80">
        <v>0</v>
      </c>
      <c r="M48" s="80">
        <v>6</v>
      </c>
      <c r="N48" s="80">
        <v>8</v>
      </c>
      <c r="O48" s="80">
        <v>12</v>
      </c>
      <c r="P48" s="80">
        <v>14</v>
      </c>
      <c r="Q48" s="80">
        <v>18</v>
      </c>
      <c r="R48" s="105">
        <v>18</v>
      </c>
      <c r="S48" s="105">
        <v>18</v>
      </c>
      <c r="T48" s="105">
        <v>18</v>
      </c>
      <c r="U48" s="105">
        <v>18</v>
      </c>
      <c r="V48" s="105">
        <v>18</v>
      </c>
      <c r="W48" s="105">
        <v>18</v>
      </c>
      <c r="X48" s="105">
        <v>18</v>
      </c>
      <c r="Y48" s="105">
        <v>18</v>
      </c>
      <c r="Z48" s="105">
        <v>18</v>
      </c>
      <c r="AA48" s="105">
        <v>18</v>
      </c>
      <c r="AB48" s="105">
        <v>0</v>
      </c>
      <c r="AC48" s="105">
        <v>0</v>
      </c>
      <c r="AD48" s="105">
        <v>0</v>
      </c>
      <c r="AE48" s="105">
        <v>0</v>
      </c>
      <c r="AF48" s="105">
        <v>0</v>
      </c>
      <c r="AG48" s="94">
        <v>25</v>
      </c>
      <c r="AH48" s="20">
        <f t="shared" si="2"/>
        <v>18</v>
      </c>
      <c r="AI48" s="19">
        <f t="shared" si="3"/>
        <v>0</v>
      </c>
      <c r="AK48" s="41"/>
    </row>
    <row r="49" spans="1:41" x14ac:dyDescent="0.25">
      <c r="A49" s="95" t="s">
        <v>184</v>
      </c>
      <c r="B49" s="80">
        <v>17</v>
      </c>
      <c r="C49" s="80">
        <v>17</v>
      </c>
      <c r="D49" s="80">
        <v>17</v>
      </c>
      <c r="E49" s="80">
        <v>17</v>
      </c>
      <c r="F49" s="80">
        <v>17</v>
      </c>
      <c r="G49" s="80">
        <v>17</v>
      </c>
      <c r="H49" s="80">
        <v>17</v>
      </c>
      <c r="I49" s="80">
        <v>17</v>
      </c>
      <c r="J49" s="80">
        <v>17</v>
      </c>
      <c r="K49" s="80">
        <v>17</v>
      </c>
      <c r="L49" s="80">
        <v>17</v>
      </c>
      <c r="M49" s="80">
        <v>16.2</v>
      </c>
      <c r="N49" s="80">
        <v>16.2</v>
      </c>
      <c r="O49" s="80">
        <v>15.3</v>
      </c>
      <c r="P49" s="80">
        <v>14.9</v>
      </c>
      <c r="Q49" s="80">
        <v>14.6</v>
      </c>
      <c r="R49" s="105">
        <v>15.9</v>
      </c>
      <c r="S49" s="105">
        <v>15.9</v>
      </c>
      <c r="T49" s="105">
        <v>15.9</v>
      </c>
      <c r="U49" s="105">
        <v>15.9</v>
      </c>
      <c r="V49" s="105">
        <v>15.9</v>
      </c>
      <c r="W49" s="105">
        <v>15.9</v>
      </c>
      <c r="X49" s="105">
        <v>15.9</v>
      </c>
      <c r="Y49" s="105">
        <v>15.9</v>
      </c>
      <c r="Z49" s="105">
        <v>15.9</v>
      </c>
      <c r="AA49" s="105">
        <v>15.9</v>
      </c>
      <c r="AB49" s="105">
        <v>15.9</v>
      </c>
      <c r="AC49" s="105">
        <v>15.9</v>
      </c>
      <c r="AD49" s="105">
        <v>15.9</v>
      </c>
      <c r="AE49" s="105">
        <v>15.9</v>
      </c>
      <c r="AF49" s="105">
        <v>15.9</v>
      </c>
      <c r="AG49" s="94">
        <v>24</v>
      </c>
      <c r="AH49" s="20">
        <f t="shared" si="2"/>
        <v>17</v>
      </c>
      <c r="AI49" s="19">
        <f t="shared" si="3"/>
        <v>14.6</v>
      </c>
      <c r="AK49" s="41"/>
    </row>
    <row r="50" spans="1:41" x14ac:dyDescent="0.25">
      <c r="A50" s="95" t="s">
        <v>183</v>
      </c>
      <c r="B50" s="80">
        <v>3</v>
      </c>
      <c r="C50" s="80">
        <v>3</v>
      </c>
      <c r="D50" s="80">
        <v>3</v>
      </c>
      <c r="E50" s="80">
        <v>3</v>
      </c>
      <c r="F50" s="80">
        <v>3</v>
      </c>
      <c r="G50" s="80">
        <v>3</v>
      </c>
      <c r="H50" s="80">
        <v>3</v>
      </c>
      <c r="I50" s="80">
        <v>3</v>
      </c>
      <c r="J50" s="80">
        <v>3</v>
      </c>
      <c r="K50" s="80">
        <v>3</v>
      </c>
      <c r="L50" s="80">
        <v>3</v>
      </c>
      <c r="M50" s="80">
        <v>3</v>
      </c>
      <c r="N50" s="80">
        <v>3</v>
      </c>
      <c r="O50" s="80">
        <v>3</v>
      </c>
      <c r="P50" s="80">
        <v>3</v>
      </c>
      <c r="Q50" s="80">
        <v>3</v>
      </c>
      <c r="R50" s="80">
        <v>3</v>
      </c>
      <c r="S50" s="80">
        <v>3</v>
      </c>
      <c r="T50" s="80">
        <v>3</v>
      </c>
      <c r="U50" s="80">
        <v>3</v>
      </c>
      <c r="V50" s="80">
        <v>3</v>
      </c>
      <c r="W50" s="80">
        <v>3</v>
      </c>
      <c r="X50" s="80">
        <v>3</v>
      </c>
      <c r="Y50" s="80">
        <v>3</v>
      </c>
      <c r="Z50" s="80">
        <v>3</v>
      </c>
      <c r="AA50" s="80">
        <v>3</v>
      </c>
      <c r="AB50" s="80">
        <v>3</v>
      </c>
      <c r="AC50" s="80">
        <v>3</v>
      </c>
      <c r="AD50" s="80">
        <v>3</v>
      </c>
      <c r="AE50" s="80">
        <v>3</v>
      </c>
      <c r="AF50" s="80">
        <v>3</v>
      </c>
      <c r="AG50" s="94">
        <v>15</v>
      </c>
      <c r="AH50" s="20">
        <f t="shared" si="2"/>
        <v>3</v>
      </c>
      <c r="AI50" s="19">
        <f t="shared" si="3"/>
        <v>3</v>
      </c>
      <c r="AK50" s="41"/>
      <c r="AL50" s="112"/>
      <c r="AO50" s="112"/>
    </row>
    <row r="51" spans="1:41" s="112" customFormat="1" x14ac:dyDescent="0.25">
      <c r="A51" s="95" t="s">
        <v>182</v>
      </c>
      <c r="B51" s="80">
        <v>9.6999999999999993</v>
      </c>
      <c r="C51" s="80">
        <v>9.6999999999999993</v>
      </c>
      <c r="D51" s="80">
        <v>9.6999999999999993</v>
      </c>
      <c r="E51" s="80">
        <v>9.6999999999999993</v>
      </c>
      <c r="F51" s="80">
        <v>9.6999999999999993</v>
      </c>
      <c r="G51" s="80">
        <v>9.6999999999999993</v>
      </c>
      <c r="H51" s="80">
        <v>9.6999999999999993</v>
      </c>
      <c r="I51" s="80">
        <v>9.6999999999999993</v>
      </c>
      <c r="J51" s="80">
        <v>9.6999999999999993</v>
      </c>
      <c r="K51" s="80">
        <v>9.6999999999999993</v>
      </c>
      <c r="L51" s="80">
        <v>9.6999999999999993</v>
      </c>
      <c r="M51" s="80">
        <v>7.5</v>
      </c>
      <c r="N51" s="80">
        <v>7.5</v>
      </c>
      <c r="O51" s="80">
        <v>9.5</v>
      </c>
      <c r="P51" s="80">
        <v>1.2</v>
      </c>
      <c r="Q51" s="80">
        <v>0</v>
      </c>
      <c r="R51" s="80">
        <v>4.8</v>
      </c>
      <c r="S51" s="80">
        <v>4.8</v>
      </c>
      <c r="T51" s="80">
        <v>4.8</v>
      </c>
      <c r="U51" s="80">
        <v>4.8</v>
      </c>
      <c r="V51" s="80">
        <v>4.8</v>
      </c>
      <c r="W51" s="80">
        <v>4.8</v>
      </c>
      <c r="X51" s="80">
        <v>4.8</v>
      </c>
      <c r="Y51" s="80">
        <v>4.8</v>
      </c>
      <c r="Z51" s="80">
        <v>4.8</v>
      </c>
      <c r="AA51" s="80">
        <v>4.8</v>
      </c>
      <c r="AB51" s="80">
        <v>4.8</v>
      </c>
      <c r="AC51" s="80">
        <v>4.8</v>
      </c>
      <c r="AD51" s="80">
        <v>4.8</v>
      </c>
      <c r="AE51" s="80">
        <v>4.8</v>
      </c>
      <c r="AF51" s="80">
        <v>4.8</v>
      </c>
      <c r="AG51" s="94">
        <v>14.1</v>
      </c>
      <c r="AH51" s="20">
        <f t="shared" si="2"/>
        <v>9.6999999999999993</v>
      </c>
      <c r="AI51" s="19">
        <f t="shared" si="3"/>
        <v>0</v>
      </c>
      <c r="AJ51" s="1"/>
      <c r="AK51" s="41"/>
      <c r="AL51" s="1"/>
      <c r="AM51" s="1"/>
      <c r="AN51" s="1"/>
      <c r="AO51" s="1"/>
    </row>
    <row r="52" spans="1:41" x14ac:dyDescent="0.25">
      <c r="A52" s="108" t="s">
        <v>181</v>
      </c>
      <c r="B52" s="80">
        <v>14.2</v>
      </c>
      <c r="C52" s="80">
        <v>14.2</v>
      </c>
      <c r="D52" s="80">
        <v>14.2</v>
      </c>
      <c r="E52" s="80">
        <v>7</v>
      </c>
      <c r="F52" s="80">
        <v>14.3</v>
      </c>
      <c r="G52" s="80">
        <v>14.3</v>
      </c>
      <c r="H52" s="80">
        <v>14.3</v>
      </c>
      <c r="I52" s="80">
        <v>14.3</v>
      </c>
      <c r="J52" s="80">
        <v>14.3</v>
      </c>
      <c r="K52" s="80">
        <v>14.3</v>
      </c>
      <c r="L52" s="80">
        <v>14.3</v>
      </c>
      <c r="M52" s="80">
        <v>12.6</v>
      </c>
      <c r="N52" s="80">
        <v>12.6</v>
      </c>
      <c r="O52" s="80">
        <v>14.3</v>
      </c>
      <c r="P52" s="80">
        <v>14.3</v>
      </c>
      <c r="Q52" s="80">
        <v>14.2</v>
      </c>
      <c r="R52" s="80">
        <v>14.2</v>
      </c>
      <c r="S52" s="80">
        <v>14.2</v>
      </c>
      <c r="T52" s="80">
        <v>14.2</v>
      </c>
      <c r="U52" s="80">
        <v>14.2</v>
      </c>
      <c r="V52" s="80">
        <v>14.2</v>
      </c>
      <c r="W52" s="80">
        <v>14.2</v>
      </c>
      <c r="X52" s="80">
        <v>14.2</v>
      </c>
      <c r="Y52" s="80">
        <v>14.2</v>
      </c>
      <c r="Z52" s="80">
        <v>14.2</v>
      </c>
      <c r="AA52" s="80">
        <v>14.2</v>
      </c>
      <c r="AB52" s="80">
        <v>14.2</v>
      </c>
      <c r="AC52" s="80">
        <v>14.2</v>
      </c>
      <c r="AD52" s="80">
        <v>14.2</v>
      </c>
      <c r="AE52" s="80">
        <v>14.2</v>
      </c>
      <c r="AF52" s="80">
        <v>14.2</v>
      </c>
      <c r="AG52" s="94">
        <v>14</v>
      </c>
      <c r="AH52" s="20">
        <f t="shared" si="2"/>
        <v>14.3</v>
      </c>
      <c r="AI52" s="19">
        <f t="shared" si="3"/>
        <v>7</v>
      </c>
      <c r="AK52" s="41"/>
    </row>
    <row r="53" spans="1:41" x14ac:dyDescent="0.25">
      <c r="A53" s="95" t="s">
        <v>180</v>
      </c>
      <c r="B53" s="80">
        <v>9</v>
      </c>
      <c r="C53" s="80">
        <v>9</v>
      </c>
      <c r="D53" s="80">
        <v>9</v>
      </c>
      <c r="E53" s="80">
        <v>9</v>
      </c>
      <c r="F53" s="80">
        <v>9</v>
      </c>
      <c r="G53" s="80">
        <v>9</v>
      </c>
      <c r="H53" s="80">
        <v>9</v>
      </c>
      <c r="I53" s="80">
        <v>9</v>
      </c>
      <c r="J53" s="80">
        <v>9</v>
      </c>
      <c r="K53" s="80">
        <v>9</v>
      </c>
      <c r="L53" s="80">
        <v>9</v>
      </c>
      <c r="M53" s="80">
        <v>9</v>
      </c>
      <c r="N53" s="80">
        <v>9</v>
      </c>
      <c r="O53" s="80">
        <v>9</v>
      </c>
      <c r="P53" s="80">
        <v>9</v>
      </c>
      <c r="Q53" s="80">
        <v>9</v>
      </c>
      <c r="R53" s="80">
        <v>9</v>
      </c>
      <c r="S53" s="80">
        <v>9</v>
      </c>
      <c r="T53" s="80">
        <v>9</v>
      </c>
      <c r="U53" s="80">
        <v>9</v>
      </c>
      <c r="V53" s="80">
        <v>9</v>
      </c>
      <c r="W53" s="80">
        <v>9</v>
      </c>
      <c r="X53" s="80">
        <v>9</v>
      </c>
      <c r="Y53" s="80">
        <v>9</v>
      </c>
      <c r="Z53" s="80">
        <v>9</v>
      </c>
      <c r="AA53" s="80">
        <v>9</v>
      </c>
      <c r="AB53" s="80">
        <v>9</v>
      </c>
      <c r="AC53" s="80">
        <v>9</v>
      </c>
      <c r="AD53" s="80">
        <v>9</v>
      </c>
      <c r="AE53" s="80">
        <v>9</v>
      </c>
      <c r="AF53" s="80">
        <v>9</v>
      </c>
      <c r="AG53" s="94">
        <v>10.050000000000001</v>
      </c>
      <c r="AH53" s="20">
        <f t="shared" si="2"/>
        <v>9</v>
      </c>
      <c r="AI53" s="19">
        <f t="shared" si="3"/>
        <v>9</v>
      </c>
      <c r="AK53" s="41"/>
    </row>
    <row r="54" spans="1:41" x14ac:dyDescent="0.25">
      <c r="A54" s="95" t="s">
        <v>179</v>
      </c>
      <c r="B54" s="80">
        <v>6.2</v>
      </c>
      <c r="C54" s="80">
        <v>6.2</v>
      </c>
      <c r="D54" s="80">
        <v>6.2</v>
      </c>
      <c r="E54" s="80">
        <v>6.2</v>
      </c>
      <c r="F54" s="80">
        <v>6.2</v>
      </c>
      <c r="G54" s="80">
        <v>6.2</v>
      </c>
      <c r="H54" s="80">
        <v>6.2</v>
      </c>
      <c r="I54" s="80">
        <v>6.2</v>
      </c>
      <c r="J54" s="80">
        <v>6.2</v>
      </c>
      <c r="K54" s="80">
        <v>6.2</v>
      </c>
      <c r="L54" s="80">
        <v>6.2</v>
      </c>
      <c r="M54" s="80">
        <v>6.2</v>
      </c>
      <c r="N54" s="80">
        <v>6.2</v>
      </c>
      <c r="O54" s="80">
        <v>6.2</v>
      </c>
      <c r="P54" s="80">
        <v>6.2</v>
      </c>
      <c r="Q54" s="80">
        <v>6.2</v>
      </c>
      <c r="R54" s="80">
        <v>6.2</v>
      </c>
      <c r="S54" s="80">
        <v>6.2</v>
      </c>
      <c r="T54" s="80">
        <v>6.2</v>
      </c>
      <c r="U54" s="80">
        <v>6.2</v>
      </c>
      <c r="V54" s="80">
        <v>6.2</v>
      </c>
      <c r="W54" s="80">
        <v>6.2</v>
      </c>
      <c r="X54" s="80">
        <v>6.2</v>
      </c>
      <c r="Y54" s="80">
        <v>6.2</v>
      </c>
      <c r="Z54" s="80">
        <v>6.2</v>
      </c>
      <c r="AA54" s="80">
        <v>6.2</v>
      </c>
      <c r="AB54" s="80">
        <v>6.2</v>
      </c>
      <c r="AC54" s="80">
        <v>6.2</v>
      </c>
      <c r="AD54" s="80">
        <v>6.2</v>
      </c>
      <c r="AE54" s="80">
        <v>6.2</v>
      </c>
      <c r="AF54" s="80">
        <v>6.2</v>
      </c>
      <c r="AG54" s="94">
        <v>6.2</v>
      </c>
      <c r="AH54" s="20">
        <f t="shared" si="2"/>
        <v>6.2</v>
      </c>
      <c r="AI54" s="19">
        <f t="shared" si="3"/>
        <v>6.2</v>
      </c>
      <c r="AK54" s="41"/>
    </row>
    <row r="55" spans="1:41" ht="15.75" thickBot="1" x14ac:dyDescent="0.3">
      <c r="A55" s="111" t="s">
        <v>17</v>
      </c>
      <c r="B55" s="110">
        <v>3.54</v>
      </c>
      <c r="C55" s="110">
        <v>3.54</v>
      </c>
      <c r="D55" s="110">
        <v>3.54</v>
      </c>
      <c r="E55" s="110">
        <v>3.54</v>
      </c>
      <c r="F55" s="110">
        <v>3.54</v>
      </c>
      <c r="G55" s="110">
        <v>3.54</v>
      </c>
      <c r="H55" s="110">
        <v>3.54</v>
      </c>
      <c r="I55" s="110">
        <v>3.54</v>
      </c>
      <c r="J55" s="110">
        <v>3.54</v>
      </c>
      <c r="K55" s="110">
        <v>3.54</v>
      </c>
      <c r="L55" s="110">
        <v>3.54</v>
      </c>
      <c r="M55" s="110">
        <v>3.54</v>
      </c>
      <c r="N55" s="110">
        <v>3.54</v>
      </c>
      <c r="O55" s="110">
        <v>3.54</v>
      </c>
      <c r="P55" s="110">
        <v>3.54</v>
      </c>
      <c r="Q55" s="110">
        <v>3.54</v>
      </c>
      <c r="R55" s="110">
        <v>3.54</v>
      </c>
      <c r="S55" s="110">
        <v>3.54</v>
      </c>
      <c r="T55" s="110">
        <v>3.54</v>
      </c>
      <c r="U55" s="110">
        <v>3.54</v>
      </c>
      <c r="V55" s="110">
        <v>3.54</v>
      </c>
      <c r="W55" s="110">
        <v>3.54</v>
      </c>
      <c r="X55" s="110">
        <v>3.54</v>
      </c>
      <c r="Y55" s="110">
        <v>3.54</v>
      </c>
      <c r="Z55" s="110">
        <v>3.54</v>
      </c>
      <c r="AA55" s="110">
        <v>3.54</v>
      </c>
      <c r="AB55" s="110">
        <v>3.54</v>
      </c>
      <c r="AC55" s="110">
        <v>3.54</v>
      </c>
      <c r="AD55" s="110">
        <v>3.54</v>
      </c>
      <c r="AE55" s="110">
        <v>3.54</v>
      </c>
      <c r="AF55" s="110">
        <v>3.54</v>
      </c>
      <c r="AG55" s="109">
        <f>AG222</f>
        <v>8.56</v>
      </c>
      <c r="AH55" s="20">
        <f t="shared" si="2"/>
        <v>3.54</v>
      </c>
      <c r="AI55" s="19">
        <f t="shared" si="3"/>
        <v>3.54</v>
      </c>
      <c r="AK55" s="41"/>
    </row>
    <row r="56" spans="1:41" ht="15.75" thickBot="1" x14ac:dyDescent="0.3">
      <c r="A56" s="87" t="s">
        <v>178</v>
      </c>
      <c r="B56" s="86">
        <f>SUM(B43:B55)</f>
        <v>430.44</v>
      </c>
      <c r="C56" s="86">
        <f t="shared" ref="C56:AG56" si="6">SUM(C43:C55)</f>
        <v>430.74</v>
      </c>
      <c r="D56" s="86">
        <f t="shared" si="6"/>
        <v>430.94</v>
      </c>
      <c r="E56" s="86">
        <f t="shared" si="6"/>
        <v>423.24</v>
      </c>
      <c r="F56" s="86">
        <f t="shared" si="6"/>
        <v>399.24</v>
      </c>
      <c r="G56" s="86">
        <f t="shared" si="6"/>
        <v>411.34000000000003</v>
      </c>
      <c r="H56" s="86">
        <f t="shared" si="6"/>
        <v>412.34000000000003</v>
      </c>
      <c r="I56" s="86">
        <f t="shared" si="6"/>
        <v>409.74</v>
      </c>
      <c r="J56" s="86">
        <f t="shared" si="6"/>
        <v>429.24</v>
      </c>
      <c r="K56" s="86">
        <f t="shared" si="6"/>
        <v>432.24000000000007</v>
      </c>
      <c r="L56" s="86">
        <f t="shared" si="6"/>
        <v>433.14000000000004</v>
      </c>
      <c r="M56" s="86">
        <f t="shared" si="6"/>
        <v>434.53999999999996</v>
      </c>
      <c r="N56" s="86">
        <f t="shared" si="6"/>
        <v>436.53999999999996</v>
      </c>
      <c r="O56" s="86">
        <f t="shared" si="6"/>
        <v>442.44</v>
      </c>
      <c r="P56" s="86">
        <f t="shared" si="6"/>
        <v>435.73999999999995</v>
      </c>
      <c r="Q56" s="86">
        <f t="shared" si="6"/>
        <v>438.84000000000003</v>
      </c>
      <c r="R56" s="86">
        <f t="shared" si="6"/>
        <v>444.43999999999994</v>
      </c>
      <c r="S56" s="86">
        <f t="shared" si="6"/>
        <v>443.64000000000004</v>
      </c>
      <c r="T56" s="86">
        <f t="shared" si="6"/>
        <v>443.64000000000004</v>
      </c>
      <c r="U56" s="86">
        <f t="shared" si="6"/>
        <v>443.64000000000004</v>
      </c>
      <c r="V56" s="86">
        <f t="shared" si="6"/>
        <v>442.84</v>
      </c>
      <c r="W56" s="86">
        <f t="shared" si="6"/>
        <v>442.84</v>
      </c>
      <c r="X56" s="86">
        <f t="shared" si="6"/>
        <v>442.84</v>
      </c>
      <c r="Y56" s="86">
        <f t="shared" si="6"/>
        <v>442.84</v>
      </c>
      <c r="Z56" s="86">
        <f t="shared" si="6"/>
        <v>444.74</v>
      </c>
      <c r="AA56" s="86">
        <f t="shared" si="6"/>
        <v>444.14</v>
      </c>
      <c r="AB56" s="86">
        <f t="shared" si="6"/>
        <v>426.14</v>
      </c>
      <c r="AC56" s="86">
        <f t="shared" si="6"/>
        <v>426.14</v>
      </c>
      <c r="AD56" s="86">
        <f t="shared" si="6"/>
        <v>426.14</v>
      </c>
      <c r="AE56" s="86">
        <f t="shared" si="6"/>
        <v>426.14</v>
      </c>
      <c r="AF56" s="86">
        <f t="shared" si="6"/>
        <v>426.14</v>
      </c>
      <c r="AG56" s="101">
        <f t="shared" si="6"/>
        <v>489.91</v>
      </c>
      <c r="AH56" s="20">
        <f t="shared" si="2"/>
        <v>444.74</v>
      </c>
      <c r="AI56" s="19">
        <f t="shared" si="3"/>
        <v>399.24</v>
      </c>
      <c r="AK56" s="41"/>
    </row>
    <row r="57" spans="1:41" x14ac:dyDescent="0.25">
      <c r="A57" s="97" t="s">
        <v>177</v>
      </c>
      <c r="B57" s="105">
        <v>0</v>
      </c>
      <c r="C57" s="105">
        <v>0</v>
      </c>
      <c r="D57" s="105">
        <v>0</v>
      </c>
      <c r="E57" s="105">
        <v>0</v>
      </c>
      <c r="F57" s="105">
        <v>0</v>
      </c>
      <c r="G57" s="105">
        <v>0</v>
      </c>
      <c r="H57" s="105">
        <v>0</v>
      </c>
      <c r="I57" s="105">
        <v>0</v>
      </c>
      <c r="J57" s="105">
        <v>0</v>
      </c>
      <c r="K57" s="105">
        <v>0</v>
      </c>
      <c r="L57" s="105">
        <v>0</v>
      </c>
      <c r="M57" s="105">
        <v>0</v>
      </c>
      <c r="N57" s="105">
        <v>0</v>
      </c>
      <c r="O57" s="105">
        <v>0</v>
      </c>
      <c r="P57" s="105">
        <v>0</v>
      </c>
      <c r="Q57" s="105">
        <v>0</v>
      </c>
      <c r="R57" s="105">
        <v>0</v>
      </c>
      <c r="S57" s="105">
        <v>0</v>
      </c>
      <c r="T57" s="105">
        <v>0</v>
      </c>
      <c r="U57" s="105">
        <v>0</v>
      </c>
      <c r="V57" s="105">
        <v>0</v>
      </c>
      <c r="W57" s="105">
        <v>0</v>
      </c>
      <c r="X57" s="105">
        <v>0</v>
      </c>
      <c r="Y57" s="105">
        <v>14.5</v>
      </c>
      <c r="Z57" s="105">
        <v>29.6</v>
      </c>
      <c r="AA57" s="105">
        <v>0</v>
      </c>
      <c r="AB57" s="105">
        <v>0</v>
      </c>
      <c r="AC57" s="105">
        <v>0</v>
      </c>
      <c r="AD57" s="105">
        <v>0</v>
      </c>
      <c r="AE57" s="105">
        <v>0</v>
      </c>
      <c r="AF57" s="105">
        <v>0</v>
      </c>
      <c r="AG57" s="96">
        <v>60</v>
      </c>
      <c r="AH57" s="20">
        <f t="shared" si="2"/>
        <v>29.6</v>
      </c>
      <c r="AI57" s="19">
        <f t="shared" si="3"/>
        <v>0</v>
      </c>
      <c r="AK57" s="41"/>
    </row>
    <row r="58" spans="1:41" x14ac:dyDescent="0.25">
      <c r="A58" s="95" t="s">
        <v>176</v>
      </c>
      <c r="B58" s="80">
        <v>0</v>
      </c>
      <c r="C58" s="80">
        <v>0</v>
      </c>
      <c r="D58" s="80">
        <v>0</v>
      </c>
      <c r="E58" s="80">
        <v>0</v>
      </c>
      <c r="F58" s="80">
        <v>0</v>
      </c>
      <c r="G58" s="80">
        <v>0</v>
      </c>
      <c r="H58" s="80">
        <v>0</v>
      </c>
      <c r="I58" s="80">
        <v>0</v>
      </c>
      <c r="J58" s="80">
        <v>0</v>
      </c>
      <c r="K58" s="80">
        <v>0</v>
      </c>
      <c r="L58" s="80">
        <v>0</v>
      </c>
      <c r="M58" s="80">
        <v>0</v>
      </c>
      <c r="N58" s="80">
        <v>0</v>
      </c>
      <c r="O58" s="80">
        <v>0</v>
      </c>
      <c r="P58" s="80">
        <v>0</v>
      </c>
      <c r="Q58" s="80">
        <v>0</v>
      </c>
      <c r="R58" s="80">
        <v>0</v>
      </c>
      <c r="S58" s="80">
        <v>0</v>
      </c>
      <c r="T58" s="80">
        <v>0</v>
      </c>
      <c r="U58" s="80">
        <v>0</v>
      </c>
      <c r="V58" s="80">
        <v>0</v>
      </c>
      <c r="W58" s="80">
        <v>0</v>
      </c>
      <c r="X58" s="80">
        <v>0</v>
      </c>
      <c r="Y58" s="80">
        <v>4.5</v>
      </c>
      <c r="Z58" s="80">
        <v>14</v>
      </c>
      <c r="AA58" s="80">
        <v>6.1</v>
      </c>
      <c r="AB58" s="80">
        <v>0</v>
      </c>
      <c r="AC58" s="80">
        <v>0</v>
      </c>
      <c r="AD58" s="80">
        <v>0</v>
      </c>
      <c r="AE58" s="80">
        <v>0</v>
      </c>
      <c r="AF58" s="80">
        <v>0</v>
      </c>
      <c r="AG58" s="94">
        <v>32</v>
      </c>
      <c r="AH58" s="20">
        <f t="shared" si="2"/>
        <v>14</v>
      </c>
      <c r="AI58" s="19">
        <f t="shared" si="3"/>
        <v>0</v>
      </c>
      <c r="AK58" s="41"/>
    </row>
    <row r="59" spans="1:41" ht="15.75" thickBot="1" x14ac:dyDescent="0.3">
      <c r="A59" s="108" t="s">
        <v>175</v>
      </c>
      <c r="B59" s="107">
        <v>0</v>
      </c>
      <c r="C59" s="107">
        <v>0</v>
      </c>
      <c r="D59" s="107">
        <v>0</v>
      </c>
      <c r="E59" s="107">
        <v>0</v>
      </c>
      <c r="F59" s="107">
        <v>0</v>
      </c>
      <c r="G59" s="107">
        <v>0</v>
      </c>
      <c r="H59" s="107">
        <v>0</v>
      </c>
      <c r="I59" s="107">
        <v>0</v>
      </c>
      <c r="J59" s="107">
        <v>0</v>
      </c>
      <c r="K59" s="107">
        <v>0</v>
      </c>
      <c r="L59" s="107">
        <v>0</v>
      </c>
      <c r="M59" s="107">
        <v>0</v>
      </c>
      <c r="N59" s="107">
        <v>0</v>
      </c>
      <c r="O59" s="107">
        <v>0</v>
      </c>
      <c r="P59" s="107">
        <v>0</v>
      </c>
      <c r="Q59" s="107">
        <v>0</v>
      </c>
      <c r="R59" s="107">
        <v>0</v>
      </c>
      <c r="S59" s="107">
        <v>0</v>
      </c>
      <c r="T59" s="107">
        <v>0</v>
      </c>
      <c r="U59" s="107">
        <v>0</v>
      </c>
      <c r="V59" s="107">
        <v>0</v>
      </c>
      <c r="W59" s="107">
        <v>0</v>
      </c>
      <c r="X59" s="107">
        <v>0</v>
      </c>
      <c r="Y59" s="107">
        <v>1.7</v>
      </c>
      <c r="Z59" s="107">
        <v>5.0999999999999996</v>
      </c>
      <c r="AA59" s="107">
        <v>2.2000000000000002</v>
      </c>
      <c r="AB59" s="107">
        <v>0</v>
      </c>
      <c r="AC59" s="107">
        <v>0</v>
      </c>
      <c r="AD59" s="107">
        <v>0</v>
      </c>
      <c r="AE59" s="107">
        <v>0</v>
      </c>
      <c r="AF59" s="107">
        <v>0</v>
      </c>
      <c r="AG59" s="106">
        <v>14</v>
      </c>
      <c r="AH59" s="20">
        <f t="shared" si="2"/>
        <v>5.0999999999999996</v>
      </c>
      <c r="AI59" s="19">
        <f t="shared" si="3"/>
        <v>0</v>
      </c>
      <c r="AK59" s="41"/>
    </row>
    <row r="60" spans="1:41" ht="15.75" thickBot="1" x14ac:dyDescent="0.3">
      <c r="A60" s="87" t="s">
        <v>174</v>
      </c>
      <c r="B60" s="86">
        <f>SUM(B57:B59)</f>
        <v>0</v>
      </c>
      <c r="C60" s="86">
        <f t="shared" ref="C60:AG60" si="7">SUM(C57:C59)</f>
        <v>0</v>
      </c>
      <c r="D60" s="86">
        <f t="shared" si="7"/>
        <v>0</v>
      </c>
      <c r="E60" s="86">
        <f t="shared" si="7"/>
        <v>0</v>
      </c>
      <c r="F60" s="86">
        <f t="shared" si="7"/>
        <v>0</v>
      </c>
      <c r="G60" s="86">
        <f t="shared" si="7"/>
        <v>0</v>
      </c>
      <c r="H60" s="86">
        <f t="shared" si="7"/>
        <v>0</v>
      </c>
      <c r="I60" s="86">
        <f t="shared" si="7"/>
        <v>0</v>
      </c>
      <c r="J60" s="86">
        <f t="shared" si="7"/>
        <v>0</v>
      </c>
      <c r="K60" s="86">
        <f t="shared" si="7"/>
        <v>0</v>
      </c>
      <c r="L60" s="86">
        <f t="shared" si="7"/>
        <v>0</v>
      </c>
      <c r="M60" s="86">
        <f t="shared" si="7"/>
        <v>0</v>
      </c>
      <c r="N60" s="86">
        <f t="shared" si="7"/>
        <v>0</v>
      </c>
      <c r="O60" s="86">
        <f t="shared" si="7"/>
        <v>0</v>
      </c>
      <c r="P60" s="86">
        <f t="shared" si="7"/>
        <v>0</v>
      </c>
      <c r="Q60" s="86">
        <f t="shared" si="7"/>
        <v>0</v>
      </c>
      <c r="R60" s="86">
        <f t="shared" si="7"/>
        <v>0</v>
      </c>
      <c r="S60" s="86">
        <f t="shared" si="7"/>
        <v>0</v>
      </c>
      <c r="T60" s="86">
        <f t="shared" si="7"/>
        <v>0</v>
      </c>
      <c r="U60" s="86">
        <f t="shared" si="7"/>
        <v>0</v>
      </c>
      <c r="V60" s="86">
        <f t="shared" si="7"/>
        <v>0</v>
      </c>
      <c r="W60" s="86">
        <f t="shared" si="7"/>
        <v>0</v>
      </c>
      <c r="X60" s="86">
        <v>0</v>
      </c>
      <c r="Y60" s="86">
        <f t="shared" si="7"/>
        <v>20.7</v>
      </c>
      <c r="Z60" s="86">
        <f t="shared" si="7"/>
        <v>48.7</v>
      </c>
      <c r="AA60" s="86">
        <f t="shared" si="7"/>
        <v>8.3000000000000007</v>
      </c>
      <c r="AB60" s="86">
        <f t="shared" si="7"/>
        <v>0</v>
      </c>
      <c r="AC60" s="86">
        <f t="shared" si="7"/>
        <v>0</v>
      </c>
      <c r="AD60" s="86">
        <f t="shared" si="7"/>
        <v>0</v>
      </c>
      <c r="AE60" s="86">
        <f t="shared" si="7"/>
        <v>0</v>
      </c>
      <c r="AF60" s="86">
        <f t="shared" si="7"/>
        <v>0</v>
      </c>
      <c r="AG60" s="101">
        <f t="shared" si="7"/>
        <v>106</v>
      </c>
      <c r="AH60" s="20">
        <f t="shared" si="2"/>
        <v>48.7</v>
      </c>
      <c r="AI60" s="19">
        <f t="shared" si="3"/>
        <v>0</v>
      </c>
      <c r="AK60" s="41"/>
    </row>
    <row r="61" spans="1:41" x14ac:dyDescent="0.25">
      <c r="A61" s="97" t="s">
        <v>152</v>
      </c>
      <c r="B61" s="105">
        <v>0</v>
      </c>
      <c r="C61" s="105">
        <v>0</v>
      </c>
      <c r="D61" s="105">
        <v>0</v>
      </c>
      <c r="E61" s="105">
        <v>0</v>
      </c>
      <c r="F61" s="105">
        <v>0</v>
      </c>
      <c r="G61" s="105">
        <v>0</v>
      </c>
      <c r="H61" s="105">
        <v>0</v>
      </c>
      <c r="I61" s="105">
        <v>0</v>
      </c>
      <c r="J61" s="105">
        <v>0</v>
      </c>
      <c r="K61" s="105">
        <v>0</v>
      </c>
      <c r="L61" s="105">
        <v>0</v>
      </c>
      <c r="M61" s="105">
        <v>0</v>
      </c>
      <c r="N61" s="105">
        <v>0</v>
      </c>
      <c r="O61" s="105">
        <v>0</v>
      </c>
      <c r="P61" s="105">
        <v>0</v>
      </c>
      <c r="Q61" s="105">
        <v>0</v>
      </c>
      <c r="R61" s="105">
        <v>0</v>
      </c>
      <c r="S61" s="105">
        <v>17.2</v>
      </c>
      <c r="T61" s="105">
        <v>18.899999999999999</v>
      </c>
      <c r="U61" s="105">
        <v>17.2</v>
      </c>
      <c r="V61" s="105">
        <v>13</v>
      </c>
      <c r="W61" s="105">
        <v>27</v>
      </c>
      <c r="X61" s="105">
        <v>24.6</v>
      </c>
      <c r="Y61" s="105">
        <v>33.5</v>
      </c>
      <c r="Z61" s="105">
        <v>44.2</v>
      </c>
      <c r="AA61" s="105">
        <v>47</v>
      </c>
      <c r="AB61" s="105">
        <v>46</v>
      </c>
      <c r="AC61" s="105">
        <v>50</v>
      </c>
      <c r="AD61" s="105">
        <v>49.98</v>
      </c>
      <c r="AE61" s="105">
        <v>50.04</v>
      </c>
      <c r="AF61" s="105">
        <v>12.5</v>
      </c>
      <c r="AG61" s="96"/>
      <c r="AH61" s="20">
        <f t="shared" si="2"/>
        <v>50.04</v>
      </c>
      <c r="AI61" s="19">
        <f t="shared" si="3"/>
        <v>0</v>
      </c>
      <c r="AK61" s="41"/>
    </row>
    <row r="62" spans="1:41" x14ac:dyDescent="0.25">
      <c r="A62" s="95" t="s">
        <v>155</v>
      </c>
      <c r="B62" s="80">
        <v>0</v>
      </c>
      <c r="C62" s="80">
        <v>0</v>
      </c>
      <c r="D62" s="80">
        <v>0</v>
      </c>
      <c r="E62" s="80">
        <v>0</v>
      </c>
      <c r="F62" s="80">
        <v>0</v>
      </c>
      <c r="G62" s="80">
        <v>0</v>
      </c>
      <c r="H62" s="80">
        <v>0</v>
      </c>
      <c r="I62" s="80">
        <v>0</v>
      </c>
      <c r="J62" s="80">
        <v>0</v>
      </c>
      <c r="K62" s="80">
        <v>0</v>
      </c>
      <c r="L62" s="80">
        <v>0</v>
      </c>
      <c r="M62" s="80">
        <v>0</v>
      </c>
      <c r="N62" s="80">
        <v>0</v>
      </c>
      <c r="O62" s="80">
        <v>0</v>
      </c>
      <c r="P62" s="80">
        <v>0</v>
      </c>
      <c r="Q62" s="80">
        <v>0</v>
      </c>
      <c r="R62" s="80">
        <v>0</v>
      </c>
      <c r="S62" s="80">
        <v>0</v>
      </c>
      <c r="T62" s="80">
        <v>0</v>
      </c>
      <c r="U62" s="80">
        <v>0</v>
      </c>
      <c r="V62" s="80">
        <v>0</v>
      </c>
      <c r="W62" s="80">
        <v>0</v>
      </c>
      <c r="X62" s="80">
        <v>0</v>
      </c>
      <c r="Y62" s="80">
        <v>0</v>
      </c>
      <c r="Z62" s="80">
        <v>0</v>
      </c>
      <c r="AA62" s="80">
        <v>0</v>
      </c>
      <c r="AB62" s="80">
        <v>0</v>
      </c>
      <c r="AC62" s="80">
        <v>0</v>
      </c>
      <c r="AD62" s="80">
        <v>0</v>
      </c>
      <c r="AE62" s="80">
        <v>0</v>
      </c>
      <c r="AF62" s="80">
        <v>0</v>
      </c>
      <c r="AG62" s="94"/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5" t="s">
        <v>173</v>
      </c>
      <c r="B63" s="80">
        <v>-410</v>
      </c>
      <c r="C63" s="80">
        <v>-390</v>
      </c>
      <c r="D63" s="80">
        <v>-380.2</v>
      </c>
      <c r="E63" s="80">
        <v>-420</v>
      </c>
      <c r="F63" s="80">
        <v>-425</v>
      </c>
      <c r="G63" s="80">
        <v>-410</v>
      </c>
      <c r="H63" s="80">
        <v>-411</v>
      </c>
      <c r="I63" s="80">
        <v>-420</v>
      </c>
      <c r="J63" s="80">
        <v>-430</v>
      </c>
      <c r="K63" s="80">
        <v>-390</v>
      </c>
      <c r="L63" s="80">
        <v>-372</v>
      </c>
      <c r="M63" s="80">
        <v>-405.7</v>
      </c>
      <c r="N63" s="80">
        <v>-378</v>
      </c>
      <c r="O63" s="80">
        <v>-374.1</v>
      </c>
      <c r="P63" s="80">
        <v>-354</v>
      </c>
      <c r="Q63" s="80">
        <v>-335</v>
      </c>
      <c r="R63" s="80">
        <v>-373.6</v>
      </c>
      <c r="S63" s="80">
        <v>-332</v>
      </c>
      <c r="T63" s="80">
        <v>-330.4</v>
      </c>
      <c r="U63" s="80">
        <v>-339</v>
      </c>
      <c r="V63" s="80">
        <v>-380</v>
      </c>
      <c r="W63" s="80">
        <v>-381.5</v>
      </c>
      <c r="X63" s="80">
        <v>-310.3</v>
      </c>
      <c r="Y63" s="80">
        <v>-200.7</v>
      </c>
      <c r="Z63" s="80">
        <v>-188</v>
      </c>
      <c r="AA63" s="80">
        <v>-226</v>
      </c>
      <c r="AB63" s="80">
        <v>-242</v>
      </c>
      <c r="AC63" s="80">
        <v>-263</v>
      </c>
      <c r="AD63" s="80">
        <v>-301</v>
      </c>
      <c r="AE63" s="80">
        <v>-365</v>
      </c>
      <c r="AF63" s="80">
        <v>-378</v>
      </c>
      <c r="AG63" s="102"/>
      <c r="AH63" s="20">
        <f t="shared" si="2"/>
        <v>-188</v>
      </c>
      <c r="AI63" s="19">
        <f t="shared" si="3"/>
        <v>-430</v>
      </c>
      <c r="AK63" s="41"/>
    </row>
    <row r="64" spans="1:41" x14ac:dyDescent="0.25">
      <c r="A64" s="95" t="s">
        <v>156</v>
      </c>
      <c r="B64" s="93">
        <v>0</v>
      </c>
      <c r="C64" s="93">
        <v>0</v>
      </c>
      <c r="D64" s="93">
        <v>0</v>
      </c>
      <c r="E64" s="93">
        <v>0</v>
      </c>
      <c r="F64" s="93">
        <v>0</v>
      </c>
      <c r="G64" s="93">
        <v>0</v>
      </c>
      <c r="H64" s="93">
        <v>0</v>
      </c>
      <c r="I64" s="93">
        <v>0</v>
      </c>
      <c r="J64" s="93">
        <v>0</v>
      </c>
      <c r="K64" s="93">
        <v>0</v>
      </c>
      <c r="L64" s="93">
        <v>0</v>
      </c>
      <c r="M64" s="93">
        <v>0</v>
      </c>
      <c r="N64" s="93">
        <v>0</v>
      </c>
      <c r="O64" s="93">
        <v>0</v>
      </c>
      <c r="P64" s="93">
        <v>0</v>
      </c>
      <c r="Q64" s="93">
        <v>0</v>
      </c>
      <c r="R64" s="93">
        <v>0</v>
      </c>
      <c r="S64" s="93">
        <v>0</v>
      </c>
      <c r="T64" s="93">
        <v>0</v>
      </c>
      <c r="U64" s="93">
        <v>0</v>
      </c>
      <c r="V64" s="93">
        <v>0</v>
      </c>
      <c r="W64" s="93">
        <v>0</v>
      </c>
      <c r="X64" s="93">
        <v>0</v>
      </c>
      <c r="Y64" s="93">
        <v>0</v>
      </c>
      <c r="Z64" s="93">
        <v>0</v>
      </c>
      <c r="AA64" s="93">
        <v>0</v>
      </c>
      <c r="AB64" s="93">
        <v>0</v>
      </c>
      <c r="AC64" s="93">
        <v>0</v>
      </c>
      <c r="AD64" s="93">
        <v>0</v>
      </c>
      <c r="AE64" s="93">
        <v>0</v>
      </c>
      <c r="AF64" s="93">
        <v>0</v>
      </c>
      <c r="AG64" s="102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172</v>
      </c>
      <c r="B65" s="105">
        <v>0</v>
      </c>
      <c r="C65" s="105">
        <v>0</v>
      </c>
      <c r="D65" s="105">
        <v>0</v>
      </c>
      <c r="E65" s="105">
        <v>0</v>
      </c>
      <c r="F65" s="105">
        <v>0</v>
      </c>
      <c r="G65" s="105">
        <v>0</v>
      </c>
      <c r="H65" s="105">
        <v>0</v>
      </c>
      <c r="I65" s="105">
        <v>0</v>
      </c>
      <c r="J65" s="105">
        <v>0</v>
      </c>
      <c r="K65" s="105">
        <v>0</v>
      </c>
      <c r="L65" s="105">
        <v>0</v>
      </c>
      <c r="M65" s="105">
        <v>0</v>
      </c>
      <c r="N65" s="105">
        <v>0</v>
      </c>
      <c r="O65" s="105">
        <v>0</v>
      </c>
      <c r="P65" s="105">
        <v>0</v>
      </c>
      <c r="Q65" s="105">
        <v>0</v>
      </c>
      <c r="R65" s="105">
        <v>0</v>
      </c>
      <c r="S65" s="105">
        <v>0</v>
      </c>
      <c r="T65" s="105">
        <v>0</v>
      </c>
      <c r="U65" s="105">
        <v>0</v>
      </c>
      <c r="V65" s="105">
        <v>0</v>
      </c>
      <c r="W65" s="105">
        <v>0</v>
      </c>
      <c r="X65" s="105">
        <v>0</v>
      </c>
      <c r="Y65" s="105">
        <v>0</v>
      </c>
      <c r="Z65" s="105">
        <v>0</v>
      </c>
      <c r="AA65" s="105">
        <v>0</v>
      </c>
      <c r="AB65" s="105">
        <v>0</v>
      </c>
      <c r="AC65" s="105">
        <v>0</v>
      </c>
      <c r="AD65" s="105">
        <v>0</v>
      </c>
      <c r="AE65" s="105">
        <v>0</v>
      </c>
      <c r="AF65" s="105">
        <v>0</v>
      </c>
      <c r="AG65" s="102"/>
      <c r="AH65" s="20">
        <f t="shared" si="2"/>
        <v>0</v>
      </c>
      <c r="AI65" s="19">
        <f t="shared" si="3"/>
        <v>0</v>
      </c>
      <c r="AK65" s="41"/>
    </row>
    <row r="66" spans="1:37" x14ac:dyDescent="0.25">
      <c r="A66" s="95" t="s">
        <v>171</v>
      </c>
      <c r="B66" s="103">
        <v>0</v>
      </c>
      <c r="C66" s="103">
        <v>5</v>
      </c>
      <c r="D66" s="103">
        <v>5</v>
      </c>
      <c r="E66" s="103">
        <v>5</v>
      </c>
      <c r="F66" s="103">
        <v>5</v>
      </c>
      <c r="G66" s="103">
        <v>5</v>
      </c>
      <c r="H66" s="103">
        <v>5</v>
      </c>
      <c r="I66" s="103">
        <v>5</v>
      </c>
      <c r="J66" s="103">
        <v>5</v>
      </c>
      <c r="K66" s="103">
        <v>5</v>
      </c>
      <c r="L66" s="103">
        <v>5</v>
      </c>
      <c r="M66" s="103">
        <v>5</v>
      </c>
      <c r="N66" s="103">
        <v>5</v>
      </c>
      <c r="O66" s="103">
        <v>0</v>
      </c>
      <c r="P66" s="103">
        <v>5</v>
      </c>
      <c r="Q66" s="103">
        <v>5</v>
      </c>
      <c r="R66" s="103">
        <v>5</v>
      </c>
      <c r="S66" s="103">
        <v>5</v>
      </c>
      <c r="T66" s="103">
        <v>5</v>
      </c>
      <c r="U66" s="103">
        <v>5</v>
      </c>
      <c r="V66" s="103">
        <v>5</v>
      </c>
      <c r="W66" s="103">
        <v>5</v>
      </c>
      <c r="X66" s="103">
        <v>5</v>
      </c>
      <c r="Y66" s="103">
        <v>5</v>
      </c>
      <c r="Z66" s="103">
        <v>5</v>
      </c>
      <c r="AA66" s="103">
        <v>5</v>
      </c>
      <c r="AB66" s="103">
        <v>5</v>
      </c>
      <c r="AC66" s="103">
        <v>5</v>
      </c>
      <c r="AD66" s="103">
        <v>5</v>
      </c>
      <c r="AE66" s="103">
        <v>5</v>
      </c>
      <c r="AF66" s="103">
        <v>0</v>
      </c>
      <c r="AG66" s="102"/>
      <c r="AH66" s="20">
        <f t="shared" si="2"/>
        <v>5</v>
      </c>
      <c r="AI66" s="19">
        <f t="shared" si="3"/>
        <v>0</v>
      </c>
      <c r="AK66" s="41"/>
    </row>
    <row r="67" spans="1:37" x14ac:dyDescent="0.25">
      <c r="A67" s="95" t="s">
        <v>170</v>
      </c>
      <c r="B67" s="103">
        <v>0</v>
      </c>
      <c r="C67" s="103">
        <v>0</v>
      </c>
      <c r="D67" s="103">
        <v>0</v>
      </c>
      <c r="E67" s="103">
        <v>0</v>
      </c>
      <c r="F67" s="103">
        <v>0</v>
      </c>
      <c r="G67" s="103">
        <v>0</v>
      </c>
      <c r="H67" s="103">
        <v>0</v>
      </c>
      <c r="I67" s="103">
        <v>0</v>
      </c>
      <c r="J67" s="103">
        <v>0</v>
      </c>
      <c r="K67" s="103">
        <v>0</v>
      </c>
      <c r="L67" s="103">
        <v>0</v>
      </c>
      <c r="M67" s="103">
        <v>0</v>
      </c>
      <c r="N67" s="103">
        <v>0</v>
      </c>
      <c r="O67" s="103">
        <v>0</v>
      </c>
      <c r="P67" s="103">
        <v>0</v>
      </c>
      <c r="Q67" s="103">
        <v>0</v>
      </c>
      <c r="R67" s="103">
        <v>0</v>
      </c>
      <c r="S67" s="103">
        <v>0</v>
      </c>
      <c r="T67" s="103">
        <v>0</v>
      </c>
      <c r="U67" s="103">
        <v>0</v>
      </c>
      <c r="V67" s="103">
        <v>0</v>
      </c>
      <c r="W67" s="103">
        <v>0</v>
      </c>
      <c r="X67" s="103">
        <v>0</v>
      </c>
      <c r="Y67" s="103">
        <v>0</v>
      </c>
      <c r="Z67" s="103">
        <v>0</v>
      </c>
      <c r="AA67" s="103">
        <v>0</v>
      </c>
      <c r="AB67" s="103">
        <v>0</v>
      </c>
      <c r="AC67" s="103">
        <v>0</v>
      </c>
      <c r="AD67" s="103">
        <v>0</v>
      </c>
      <c r="AE67" s="103">
        <v>0</v>
      </c>
      <c r="AF67" s="103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169</v>
      </c>
      <c r="B68" s="93">
        <v>0</v>
      </c>
      <c r="C68" s="93">
        <v>0</v>
      </c>
      <c r="D68" s="93">
        <v>0</v>
      </c>
      <c r="E68" s="93">
        <v>0</v>
      </c>
      <c r="F68" s="93">
        <v>0</v>
      </c>
      <c r="G68" s="93">
        <v>0</v>
      </c>
      <c r="H68" s="93">
        <v>0</v>
      </c>
      <c r="I68" s="93">
        <v>0</v>
      </c>
      <c r="J68" s="93">
        <v>0</v>
      </c>
      <c r="K68" s="93">
        <v>0</v>
      </c>
      <c r="L68" s="93">
        <v>0</v>
      </c>
      <c r="M68" s="93">
        <v>0</v>
      </c>
      <c r="N68" s="93">
        <v>0</v>
      </c>
      <c r="O68" s="93">
        <v>0</v>
      </c>
      <c r="P68" s="93">
        <v>0</v>
      </c>
      <c r="Q68" s="93">
        <v>0</v>
      </c>
      <c r="R68" s="93">
        <v>0</v>
      </c>
      <c r="S68" s="93">
        <v>0</v>
      </c>
      <c r="T68" s="93">
        <v>0</v>
      </c>
      <c r="U68" s="93">
        <v>0</v>
      </c>
      <c r="V68" s="93">
        <v>0</v>
      </c>
      <c r="W68" s="93">
        <v>0</v>
      </c>
      <c r="X68" s="93">
        <v>0</v>
      </c>
      <c r="Y68" s="93">
        <v>0</v>
      </c>
      <c r="Z68" s="93">
        <v>0</v>
      </c>
      <c r="AA68" s="93">
        <v>0</v>
      </c>
      <c r="AB68" s="93">
        <v>0</v>
      </c>
      <c r="AC68" s="93">
        <v>0</v>
      </c>
      <c r="AD68" s="93">
        <v>0</v>
      </c>
      <c r="AE68" s="93">
        <v>0</v>
      </c>
      <c r="AF68" s="9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168</v>
      </c>
      <c r="B69" s="93">
        <v>0</v>
      </c>
      <c r="C69" s="93">
        <v>0</v>
      </c>
      <c r="D69" s="93">
        <v>0</v>
      </c>
      <c r="E69" s="93">
        <v>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  <c r="AA69" s="93">
        <v>0</v>
      </c>
      <c r="AB69" s="93">
        <v>0</v>
      </c>
      <c r="AC69" s="93">
        <v>0</v>
      </c>
      <c r="AD69" s="93">
        <v>0</v>
      </c>
      <c r="AE69" s="93">
        <v>0</v>
      </c>
      <c r="AF69" s="9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1" t="s">
        <v>167</v>
      </c>
      <c r="B70" s="90">
        <v>0</v>
      </c>
      <c r="C70" s="90">
        <v>0</v>
      </c>
      <c r="D70" s="90">
        <v>0</v>
      </c>
      <c r="E70" s="90">
        <v>0</v>
      </c>
      <c r="F70" s="90">
        <v>0</v>
      </c>
      <c r="G70" s="90">
        <v>0</v>
      </c>
      <c r="H70" s="90">
        <v>0</v>
      </c>
      <c r="I70" s="90">
        <v>0</v>
      </c>
      <c r="J70" s="90">
        <v>0</v>
      </c>
      <c r="K70" s="90">
        <v>0</v>
      </c>
      <c r="L70" s="90">
        <v>0</v>
      </c>
      <c r="M70" s="90">
        <v>0</v>
      </c>
      <c r="N70" s="90">
        <v>0</v>
      </c>
      <c r="O70" s="90">
        <v>0</v>
      </c>
      <c r="P70" s="90">
        <v>0</v>
      </c>
      <c r="Q70" s="90">
        <v>0</v>
      </c>
      <c r="R70" s="90">
        <v>0</v>
      </c>
      <c r="S70" s="90">
        <v>0</v>
      </c>
      <c r="T70" s="90">
        <v>0</v>
      </c>
      <c r="U70" s="90">
        <v>0</v>
      </c>
      <c r="V70" s="90">
        <v>0</v>
      </c>
      <c r="W70" s="90">
        <v>0</v>
      </c>
      <c r="X70" s="90">
        <v>0</v>
      </c>
      <c r="Y70" s="90">
        <v>0</v>
      </c>
      <c r="Z70" s="90">
        <v>0</v>
      </c>
      <c r="AA70" s="90">
        <v>0</v>
      </c>
      <c r="AB70" s="90">
        <v>0</v>
      </c>
      <c r="AC70" s="90">
        <v>0</v>
      </c>
      <c r="AD70" s="90">
        <v>0</v>
      </c>
      <c r="AE70" s="90">
        <v>0</v>
      </c>
      <c r="AF70" s="90">
        <v>0</v>
      </c>
      <c r="AG70" s="89"/>
      <c r="AH70" s="20">
        <f t="shared" si="2"/>
        <v>0</v>
      </c>
      <c r="AI70" s="19">
        <f t="shared" si="3"/>
        <v>0</v>
      </c>
      <c r="AK70" s="41"/>
    </row>
    <row r="71" spans="1:37" ht="15.75" thickBot="1" x14ac:dyDescent="0.3">
      <c r="A71" s="91" t="s">
        <v>166</v>
      </c>
      <c r="B71" s="90">
        <v>0</v>
      </c>
      <c r="C71" s="90">
        <v>0</v>
      </c>
      <c r="D71" s="90">
        <v>0</v>
      </c>
      <c r="E71" s="90">
        <v>0</v>
      </c>
      <c r="F71" s="90">
        <v>0</v>
      </c>
      <c r="G71" s="90">
        <v>0</v>
      </c>
      <c r="H71" s="90">
        <v>0</v>
      </c>
      <c r="I71" s="90">
        <v>0</v>
      </c>
      <c r="J71" s="90">
        <v>0</v>
      </c>
      <c r="K71" s="90">
        <v>0</v>
      </c>
      <c r="L71" s="90">
        <v>0</v>
      </c>
      <c r="M71" s="90">
        <v>0</v>
      </c>
      <c r="N71" s="90">
        <v>0</v>
      </c>
      <c r="O71" s="90">
        <v>0</v>
      </c>
      <c r="P71" s="90">
        <v>0</v>
      </c>
      <c r="Q71" s="90">
        <v>0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  <c r="AA71" s="90">
        <v>0</v>
      </c>
      <c r="AB71" s="90">
        <v>0</v>
      </c>
      <c r="AC71" s="90">
        <v>0</v>
      </c>
      <c r="AD71" s="90">
        <v>0</v>
      </c>
      <c r="AE71" s="90">
        <v>0</v>
      </c>
      <c r="AF71" s="90">
        <v>0</v>
      </c>
      <c r="AG71" s="89"/>
      <c r="AH71" s="20">
        <f t="shared" si="2"/>
        <v>0</v>
      </c>
      <c r="AI71" s="19">
        <f t="shared" si="3"/>
        <v>0</v>
      </c>
      <c r="AK71" s="41"/>
    </row>
    <row r="72" spans="1:37" ht="15.75" thickBot="1" x14ac:dyDescent="0.3">
      <c r="A72" s="87" t="s">
        <v>165</v>
      </c>
      <c r="B72" s="86">
        <f>SUMIF(B61:B71,"&gt;0")</f>
        <v>0</v>
      </c>
      <c r="C72" s="86">
        <f t="shared" ref="C72:AF72" si="8">SUMIF(C61:C71,"&gt;0")</f>
        <v>5</v>
      </c>
      <c r="D72" s="86">
        <f t="shared" si="8"/>
        <v>5</v>
      </c>
      <c r="E72" s="86">
        <f t="shared" si="8"/>
        <v>5</v>
      </c>
      <c r="F72" s="86">
        <f t="shared" si="8"/>
        <v>5</v>
      </c>
      <c r="G72" s="86">
        <f t="shared" si="8"/>
        <v>5</v>
      </c>
      <c r="H72" s="86">
        <f t="shared" si="8"/>
        <v>5</v>
      </c>
      <c r="I72" s="86">
        <f t="shared" si="8"/>
        <v>5</v>
      </c>
      <c r="J72" s="86">
        <f t="shared" si="8"/>
        <v>5</v>
      </c>
      <c r="K72" s="86">
        <f t="shared" si="8"/>
        <v>5</v>
      </c>
      <c r="L72" s="86">
        <f t="shared" si="8"/>
        <v>5</v>
      </c>
      <c r="M72" s="86">
        <f t="shared" si="8"/>
        <v>5</v>
      </c>
      <c r="N72" s="86">
        <f t="shared" si="8"/>
        <v>5</v>
      </c>
      <c r="O72" s="86">
        <f t="shared" si="8"/>
        <v>0</v>
      </c>
      <c r="P72" s="86">
        <f t="shared" si="8"/>
        <v>5</v>
      </c>
      <c r="Q72" s="86">
        <f t="shared" si="8"/>
        <v>5</v>
      </c>
      <c r="R72" s="86">
        <f t="shared" si="8"/>
        <v>5</v>
      </c>
      <c r="S72" s="86">
        <f t="shared" si="8"/>
        <v>22.2</v>
      </c>
      <c r="T72" s="86">
        <f t="shared" si="8"/>
        <v>23.9</v>
      </c>
      <c r="U72" s="86">
        <f t="shared" si="8"/>
        <v>22.2</v>
      </c>
      <c r="V72" s="86">
        <f t="shared" si="8"/>
        <v>18</v>
      </c>
      <c r="W72" s="86">
        <f t="shared" si="8"/>
        <v>32</v>
      </c>
      <c r="X72" s="86">
        <f t="shared" si="8"/>
        <v>29.6</v>
      </c>
      <c r="Y72" s="86">
        <f t="shared" si="8"/>
        <v>38.5</v>
      </c>
      <c r="Z72" s="86">
        <f t="shared" si="8"/>
        <v>49.2</v>
      </c>
      <c r="AA72" s="86">
        <f t="shared" si="8"/>
        <v>52</v>
      </c>
      <c r="AB72" s="86">
        <f t="shared" si="8"/>
        <v>51</v>
      </c>
      <c r="AC72" s="86">
        <f t="shared" si="8"/>
        <v>55</v>
      </c>
      <c r="AD72" s="86">
        <f t="shared" si="8"/>
        <v>54.98</v>
      </c>
      <c r="AE72" s="86">
        <f t="shared" si="8"/>
        <v>55.04</v>
      </c>
      <c r="AF72" s="86">
        <f t="shared" si="8"/>
        <v>12.5</v>
      </c>
      <c r="AG72" s="85">
        <f>SUM(AG61:AG71)</f>
        <v>0</v>
      </c>
      <c r="AH72" s="20">
        <f t="shared" si="2"/>
        <v>55.04</v>
      </c>
      <c r="AI72" s="19">
        <f t="shared" si="3"/>
        <v>0</v>
      </c>
      <c r="AK72" s="41"/>
    </row>
    <row r="73" spans="1:37" x14ac:dyDescent="0.25">
      <c r="A73" s="97" t="s">
        <v>164</v>
      </c>
      <c r="B73" s="93">
        <v>0</v>
      </c>
      <c r="C73" s="93">
        <v>0</v>
      </c>
      <c r="D73" s="93">
        <v>0</v>
      </c>
      <c r="E73" s="93">
        <v>0</v>
      </c>
      <c r="F73" s="93">
        <v>0</v>
      </c>
      <c r="G73" s="93">
        <v>0</v>
      </c>
      <c r="H73" s="93">
        <v>0</v>
      </c>
      <c r="I73" s="93"/>
      <c r="J73" s="93">
        <v>0</v>
      </c>
      <c r="K73" s="93">
        <v>0</v>
      </c>
      <c r="L73" s="93">
        <v>0</v>
      </c>
      <c r="M73" s="93">
        <v>0</v>
      </c>
      <c r="N73" s="93">
        <v>0</v>
      </c>
      <c r="O73" s="93">
        <v>0</v>
      </c>
      <c r="P73" s="93">
        <v>0</v>
      </c>
      <c r="Q73" s="93">
        <v>0</v>
      </c>
      <c r="R73" s="93">
        <v>0</v>
      </c>
      <c r="S73" s="93">
        <v>0</v>
      </c>
      <c r="T73" s="93">
        <v>0</v>
      </c>
      <c r="U73" s="93">
        <v>0</v>
      </c>
      <c r="V73" s="93">
        <v>0</v>
      </c>
      <c r="W73" s="93">
        <v>0</v>
      </c>
      <c r="X73" s="93">
        <v>0</v>
      </c>
      <c r="Y73" s="93">
        <v>0</v>
      </c>
      <c r="Z73" s="93">
        <v>0</v>
      </c>
      <c r="AA73" s="93">
        <v>0</v>
      </c>
      <c r="AB73" s="93">
        <v>0</v>
      </c>
      <c r="AC73" s="93">
        <v>0</v>
      </c>
      <c r="AD73" s="93">
        <v>0</v>
      </c>
      <c r="AE73" s="93">
        <v>0</v>
      </c>
      <c r="AF73" s="93">
        <v>0</v>
      </c>
      <c r="AG73" s="104">
        <v>39</v>
      </c>
      <c r="AH73" s="20">
        <f t="shared" si="2"/>
        <v>0</v>
      </c>
      <c r="AI73" s="19">
        <f t="shared" si="3"/>
        <v>0</v>
      </c>
      <c r="AK73" s="41"/>
    </row>
    <row r="74" spans="1:37" x14ac:dyDescent="0.25">
      <c r="A74" s="95" t="s">
        <v>163</v>
      </c>
      <c r="B74" s="103">
        <v>0</v>
      </c>
      <c r="C74" s="103">
        <v>0</v>
      </c>
      <c r="D74" s="103">
        <v>0</v>
      </c>
      <c r="E74" s="103">
        <v>0</v>
      </c>
      <c r="F74" s="103">
        <v>0</v>
      </c>
      <c r="G74" s="103">
        <v>0</v>
      </c>
      <c r="H74" s="103">
        <v>0</v>
      </c>
      <c r="I74" s="103"/>
      <c r="J74" s="103">
        <v>0</v>
      </c>
      <c r="K74" s="103">
        <v>0</v>
      </c>
      <c r="L74" s="103">
        <v>0</v>
      </c>
      <c r="M74" s="103">
        <v>0</v>
      </c>
      <c r="N74" s="103">
        <v>0</v>
      </c>
      <c r="O74" s="103">
        <v>0</v>
      </c>
      <c r="P74" s="103">
        <v>0</v>
      </c>
      <c r="Q74" s="103">
        <v>0</v>
      </c>
      <c r="R74" s="103">
        <v>0</v>
      </c>
      <c r="S74" s="103">
        <v>0</v>
      </c>
      <c r="T74" s="103">
        <v>0</v>
      </c>
      <c r="U74" s="103">
        <v>0</v>
      </c>
      <c r="V74" s="103">
        <v>0</v>
      </c>
      <c r="W74" s="103">
        <v>0</v>
      </c>
      <c r="X74" s="103">
        <v>0</v>
      </c>
      <c r="Y74" s="103">
        <v>0</v>
      </c>
      <c r="Z74" s="103">
        <v>0</v>
      </c>
      <c r="AA74" s="103">
        <v>0</v>
      </c>
      <c r="AB74" s="103">
        <v>0</v>
      </c>
      <c r="AC74" s="103">
        <v>0</v>
      </c>
      <c r="AD74" s="103">
        <v>0</v>
      </c>
      <c r="AE74" s="103">
        <v>0</v>
      </c>
      <c r="AF74" s="103">
        <v>0</v>
      </c>
      <c r="AG74" s="102">
        <v>14.4</v>
      </c>
      <c r="AH74" s="20">
        <f t="shared" si="2"/>
        <v>0</v>
      </c>
      <c r="AI74" s="19">
        <f t="shared" si="3"/>
        <v>0</v>
      </c>
      <c r="AK74" s="41"/>
    </row>
    <row r="75" spans="1:37" ht="15.75" thickBot="1" x14ac:dyDescent="0.3">
      <c r="A75" s="91" t="s">
        <v>162</v>
      </c>
      <c r="B75" s="90">
        <v>0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/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0">
        <v>0</v>
      </c>
      <c r="AG75" s="89">
        <v>2</v>
      </c>
      <c r="AH75" s="20">
        <f t="shared" ref="AH75:AH97" si="9">MAX(B75:AF75)</f>
        <v>0</v>
      </c>
      <c r="AI75" s="19">
        <f>MIN(B75:AF75)</f>
        <v>0</v>
      </c>
    </row>
    <row r="76" spans="1:37" ht="15.75" thickBot="1" x14ac:dyDescent="0.3">
      <c r="A76" s="87" t="s">
        <v>161</v>
      </c>
      <c r="B76" s="86">
        <v>0</v>
      </c>
      <c r="C76" s="86">
        <v>0</v>
      </c>
      <c r="D76" s="86">
        <v>0</v>
      </c>
      <c r="E76" s="86">
        <v>0</v>
      </c>
      <c r="F76" s="86">
        <v>0</v>
      </c>
      <c r="G76" s="86">
        <v>0</v>
      </c>
      <c r="H76" s="86">
        <v>0</v>
      </c>
      <c r="I76" s="86">
        <v>0</v>
      </c>
      <c r="J76" s="86">
        <v>0</v>
      </c>
      <c r="K76" s="86">
        <v>0</v>
      </c>
      <c r="L76" s="86">
        <v>0</v>
      </c>
      <c r="M76" s="86">
        <v>0</v>
      </c>
      <c r="N76" s="86">
        <v>0</v>
      </c>
      <c r="O76" s="86">
        <v>0</v>
      </c>
      <c r="P76" s="86">
        <v>0</v>
      </c>
      <c r="Q76" s="86">
        <v>0</v>
      </c>
      <c r="R76" s="86">
        <v>0</v>
      </c>
      <c r="S76" s="86">
        <v>0</v>
      </c>
      <c r="T76" s="86">
        <v>0</v>
      </c>
      <c r="U76" s="86">
        <v>0</v>
      </c>
      <c r="V76" s="86">
        <v>0</v>
      </c>
      <c r="W76" s="86">
        <v>0</v>
      </c>
      <c r="X76" s="86">
        <v>0</v>
      </c>
      <c r="Y76" s="86">
        <v>0</v>
      </c>
      <c r="Z76" s="86">
        <v>0</v>
      </c>
      <c r="AA76" s="86">
        <v>0</v>
      </c>
      <c r="AB76" s="86">
        <v>0</v>
      </c>
      <c r="AC76" s="86">
        <v>0</v>
      </c>
      <c r="AD76" s="86">
        <v>0</v>
      </c>
      <c r="AE76" s="86">
        <v>0</v>
      </c>
      <c r="AF76" s="86">
        <v>0</v>
      </c>
      <c r="AG76" s="85">
        <f>SUM(AG73:AG75)</f>
        <v>55.4</v>
      </c>
      <c r="AH76" s="20">
        <f t="shared" si="9"/>
        <v>0</v>
      </c>
      <c r="AI76" s="19">
        <f>MIN(B76:AF76)</f>
        <v>0</v>
      </c>
    </row>
    <row r="77" spans="1:37" ht="15.75" thickBot="1" x14ac:dyDescent="0.3">
      <c r="A77" s="87" t="s">
        <v>160</v>
      </c>
      <c r="B77" s="98">
        <f>B38+B42+B60+B56+B72+B76</f>
        <v>1737.14</v>
      </c>
      <c r="C77" s="98">
        <f t="shared" ref="C77:AG77" si="10">C38+C42+C60+C56+C72+C76</f>
        <v>1748.44</v>
      </c>
      <c r="D77" s="98">
        <f t="shared" si="10"/>
        <v>1748.64</v>
      </c>
      <c r="E77" s="98">
        <f t="shared" si="10"/>
        <v>1729.94</v>
      </c>
      <c r="F77" s="98">
        <f t="shared" si="10"/>
        <v>1700.44</v>
      </c>
      <c r="G77" s="98">
        <f t="shared" si="10"/>
        <v>1686.54</v>
      </c>
      <c r="H77" s="98">
        <f t="shared" si="10"/>
        <v>1687.54</v>
      </c>
      <c r="I77" s="98">
        <f t="shared" si="10"/>
        <v>1684.94</v>
      </c>
      <c r="J77" s="98">
        <f t="shared" si="10"/>
        <v>1730.44</v>
      </c>
      <c r="K77" s="98">
        <f t="shared" si="10"/>
        <v>1733.44</v>
      </c>
      <c r="L77" s="98">
        <f t="shared" si="10"/>
        <v>1790.3400000000001</v>
      </c>
      <c r="M77" s="98">
        <f t="shared" si="10"/>
        <v>1793.74</v>
      </c>
      <c r="N77" s="98">
        <f t="shared" si="10"/>
        <v>1796.74</v>
      </c>
      <c r="O77" s="98">
        <f t="shared" si="10"/>
        <v>1798.64</v>
      </c>
      <c r="P77" s="98">
        <f t="shared" si="10"/>
        <v>1796.94</v>
      </c>
      <c r="Q77" s="98">
        <f t="shared" si="10"/>
        <v>1801.3400000000001</v>
      </c>
      <c r="R77" s="98">
        <f t="shared" si="10"/>
        <v>1807.3400000000001</v>
      </c>
      <c r="S77" s="98">
        <f t="shared" si="10"/>
        <v>1823.7400000000002</v>
      </c>
      <c r="T77" s="98">
        <f t="shared" si="10"/>
        <v>1821.4400000000003</v>
      </c>
      <c r="U77" s="98">
        <f t="shared" si="10"/>
        <v>1822.7400000000002</v>
      </c>
      <c r="V77" s="98">
        <f t="shared" si="10"/>
        <v>1807.74</v>
      </c>
      <c r="W77" s="98">
        <f t="shared" si="10"/>
        <v>1820.74</v>
      </c>
      <c r="X77" s="98">
        <f t="shared" si="10"/>
        <v>1792.5399999999997</v>
      </c>
      <c r="Y77" s="98">
        <f t="shared" si="10"/>
        <v>1822.1399999999999</v>
      </c>
      <c r="Z77" s="98">
        <f t="shared" si="10"/>
        <v>1858.64</v>
      </c>
      <c r="AA77" s="98">
        <f t="shared" si="10"/>
        <v>1847.54</v>
      </c>
      <c r="AB77" s="98">
        <f t="shared" si="10"/>
        <v>1829.2399999999998</v>
      </c>
      <c r="AC77" s="98">
        <f t="shared" si="10"/>
        <v>1831.2399999999998</v>
      </c>
      <c r="AD77" s="98">
        <f t="shared" si="10"/>
        <v>1823.2199999999998</v>
      </c>
      <c r="AE77" s="98">
        <f t="shared" si="10"/>
        <v>1813.2799999999997</v>
      </c>
      <c r="AF77" s="98">
        <f t="shared" si="10"/>
        <v>1742.54</v>
      </c>
      <c r="AG77" s="101">
        <f t="shared" si="10"/>
        <v>1855.1900000000003</v>
      </c>
      <c r="AH77" s="20">
        <f t="shared" si="9"/>
        <v>1858.64</v>
      </c>
      <c r="AI77" s="19">
        <f>MIN(B77:AF77)</f>
        <v>1684.94</v>
      </c>
    </row>
    <row r="78" spans="1:37" ht="15.75" thickBot="1" x14ac:dyDescent="0.3">
      <c r="A78" s="100" t="s">
        <v>159</v>
      </c>
      <c r="B78" s="99"/>
      <c r="C78" s="99"/>
      <c r="D78" s="99"/>
      <c r="E78" s="99"/>
      <c r="F78" s="99"/>
      <c r="G78" s="99"/>
      <c r="H78" s="99"/>
      <c r="I78" s="99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85"/>
      <c r="AH78" s="20">
        <f t="shared" si="9"/>
        <v>0</v>
      </c>
      <c r="AI78" s="19">
        <f>MIN(B78:AF78)</f>
        <v>0</v>
      </c>
    </row>
    <row r="79" spans="1:37" ht="15.75" thickBot="1" x14ac:dyDescent="0.3">
      <c r="A79" s="87" t="s">
        <v>158</v>
      </c>
      <c r="B79" s="98">
        <f>B77+B78</f>
        <v>1737.14</v>
      </c>
      <c r="C79" s="98">
        <f t="shared" ref="C79:AF79" si="11">C77+C78</f>
        <v>1748.44</v>
      </c>
      <c r="D79" s="98">
        <f t="shared" si="11"/>
        <v>1748.64</v>
      </c>
      <c r="E79" s="98">
        <f t="shared" si="11"/>
        <v>1729.94</v>
      </c>
      <c r="F79" s="98">
        <f t="shared" si="11"/>
        <v>1700.44</v>
      </c>
      <c r="G79" s="98">
        <f t="shared" si="11"/>
        <v>1686.54</v>
      </c>
      <c r="H79" s="98">
        <f t="shared" si="11"/>
        <v>1687.54</v>
      </c>
      <c r="I79" s="98">
        <f t="shared" si="11"/>
        <v>1684.94</v>
      </c>
      <c r="J79" s="98">
        <f t="shared" si="11"/>
        <v>1730.44</v>
      </c>
      <c r="K79" s="98">
        <f t="shared" si="11"/>
        <v>1733.44</v>
      </c>
      <c r="L79" s="98">
        <f t="shared" si="11"/>
        <v>1790.3400000000001</v>
      </c>
      <c r="M79" s="98">
        <f t="shared" si="11"/>
        <v>1793.74</v>
      </c>
      <c r="N79" s="98">
        <f t="shared" si="11"/>
        <v>1796.74</v>
      </c>
      <c r="O79" s="98">
        <f t="shared" si="11"/>
        <v>1798.64</v>
      </c>
      <c r="P79" s="98">
        <f t="shared" si="11"/>
        <v>1796.94</v>
      </c>
      <c r="Q79" s="98">
        <f t="shared" si="11"/>
        <v>1801.3400000000001</v>
      </c>
      <c r="R79" s="98">
        <f t="shared" si="11"/>
        <v>1807.3400000000001</v>
      </c>
      <c r="S79" s="98">
        <f t="shared" si="11"/>
        <v>1823.7400000000002</v>
      </c>
      <c r="T79" s="98">
        <f t="shared" si="11"/>
        <v>1821.4400000000003</v>
      </c>
      <c r="U79" s="98">
        <f t="shared" si="11"/>
        <v>1822.7400000000002</v>
      </c>
      <c r="V79" s="98">
        <f t="shared" si="11"/>
        <v>1807.74</v>
      </c>
      <c r="W79" s="98">
        <f t="shared" si="11"/>
        <v>1820.74</v>
      </c>
      <c r="X79" s="98">
        <f t="shared" si="11"/>
        <v>1792.5399999999997</v>
      </c>
      <c r="Y79" s="98">
        <f t="shared" si="11"/>
        <v>1822.1399999999999</v>
      </c>
      <c r="Z79" s="98">
        <f t="shared" si="11"/>
        <v>1858.64</v>
      </c>
      <c r="AA79" s="98">
        <f t="shared" si="11"/>
        <v>1847.54</v>
      </c>
      <c r="AB79" s="98">
        <f t="shared" si="11"/>
        <v>1829.2399999999998</v>
      </c>
      <c r="AC79" s="98">
        <f t="shared" si="11"/>
        <v>1831.2399999999998</v>
      </c>
      <c r="AD79" s="98">
        <f t="shared" si="11"/>
        <v>1823.2199999999998</v>
      </c>
      <c r="AE79" s="98">
        <f t="shared" si="11"/>
        <v>1813.2799999999997</v>
      </c>
      <c r="AF79" s="98">
        <f t="shared" si="11"/>
        <v>1742.54</v>
      </c>
      <c r="AG79" s="85">
        <f>AG76+AG72+AG60+AG56+AG38+AG78</f>
        <v>1317.0900000000001</v>
      </c>
      <c r="AH79" s="20">
        <f t="shared" si="9"/>
        <v>1858.64</v>
      </c>
      <c r="AI79" s="19">
        <f>MIN(B79:AF79)</f>
        <v>1684.94</v>
      </c>
    </row>
    <row r="80" spans="1:37" ht="15.75" thickBot="1" x14ac:dyDescent="0.3">
      <c r="A80" s="87" t="s">
        <v>157</v>
      </c>
      <c r="B80" s="98">
        <f>B79-B87</f>
        <v>1327.14</v>
      </c>
      <c r="C80" s="98">
        <f t="shared" ref="C80:AF80" si="12">C79-C87</f>
        <v>1358.44</v>
      </c>
      <c r="D80" s="98">
        <f t="shared" si="12"/>
        <v>1368.44</v>
      </c>
      <c r="E80" s="98">
        <f t="shared" si="12"/>
        <v>1309.94</v>
      </c>
      <c r="F80" s="98">
        <f t="shared" si="12"/>
        <v>1275.44</v>
      </c>
      <c r="G80" s="98">
        <f t="shared" si="12"/>
        <v>1276.54</v>
      </c>
      <c r="H80" s="98">
        <f t="shared" si="12"/>
        <v>1276.54</v>
      </c>
      <c r="I80" s="98">
        <f t="shared" si="12"/>
        <v>1264.94</v>
      </c>
      <c r="J80" s="98">
        <f t="shared" si="12"/>
        <v>1300.44</v>
      </c>
      <c r="K80" s="98">
        <f t="shared" si="12"/>
        <v>1343.44</v>
      </c>
      <c r="L80" s="98">
        <f t="shared" si="12"/>
        <v>1418.3400000000001</v>
      </c>
      <c r="M80" s="98">
        <f t="shared" si="12"/>
        <v>1388.04</v>
      </c>
      <c r="N80" s="98">
        <f t="shared" si="12"/>
        <v>1418.74</v>
      </c>
      <c r="O80" s="98">
        <f t="shared" si="12"/>
        <v>1424.54</v>
      </c>
      <c r="P80" s="98">
        <f t="shared" si="12"/>
        <v>1442.94</v>
      </c>
      <c r="Q80" s="98">
        <f t="shared" si="12"/>
        <v>1466.3400000000001</v>
      </c>
      <c r="R80" s="98">
        <f t="shared" si="12"/>
        <v>1433.7400000000002</v>
      </c>
      <c r="S80" s="98">
        <f t="shared" si="12"/>
        <v>1491.7400000000002</v>
      </c>
      <c r="T80" s="98">
        <f t="shared" si="12"/>
        <v>1491.0400000000004</v>
      </c>
      <c r="U80" s="98">
        <f t="shared" si="12"/>
        <v>1483.7400000000002</v>
      </c>
      <c r="V80" s="98">
        <f t="shared" si="12"/>
        <v>1427.74</v>
      </c>
      <c r="W80" s="98">
        <f t="shared" si="12"/>
        <v>1439.24</v>
      </c>
      <c r="X80" s="98">
        <f t="shared" si="12"/>
        <v>1482.2399999999998</v>
      </c>
      <c r="Y80" s="98">
        <f t="shared" si="12"/>
        <v>1621.4399999999998</v>
      </c>
      <c r="Z80" s="98">
        <f t="shared" si="12"/>
        <v>1670.64</v>
      </c>
      <c r="AA80" s="98">
        <f t="shared" si="12"/>
        <v>1621.54</v>
      </c>
      <c r="AB80" s="98">
        <f t="shared" si="12"/>
        <v>1587.2399999999998</v>
      </c>
      <c r="AC80" s="98">
        <f t="shared" si="12"/>
        <v>1568.2399999999998</v>
      </c>
      <c r="AD80" s="98">
        <f t="shared" si="12"/>
        <v>1522.2199999999998</v>
      </c>
      <c r="AE80" s="98">
        <f t="shared" si="12"/>
        <v>1448.2799999999997</v>
      </c>
      <c r="AF80" s="98">
        <f t="shared" si="12"/>
        <v>1364.54</v>
      </c>
      <c r="AG80" s="85"/>
      <c r="AH80" s="20">
        <f t="shared" si="9"/>
        <v>1670.64</v>
      </c>
      <c r="AI80" s="19"/>
    </row>
    <row r="81" spans="1:37" x14ac:dyDescent="0.25">
      <c r="A81" s="97" t="s">
        <v>156</v>
      </c>
      <c r="B81" s="93">
        <f>IF(B64&lt;0,B64*-1,0)</f>
        <v>0</v>
      </c>
      <c r="C81" s="93">
        <f t="shared" ref="C81:AF81" si="13">IF(C64&lt;0,C64*-1,0)</f>
        <v>0</v>
      </c>
      <c r="D81" s="93">
        <f t="shared" si="13"/>
        <v>0</v>
      </c>
      <c r="E81" s="93">
        <f t="shared" si="13"/>
        <v>0</v>
      </c>
      <c r="F81" s="93">
        <f t="shared" si="13"/>
        <v>0</v>
      </c>
      <c r="G81" s="93">
        <f t="shared" si="13"/>
        <v>0</v>
      </c>
      <c r="H81" s="93">
        <f t="shared" si="13"/>
        <v>0</v>
      </c>
      <c r="I81" s="93">
        <f t="shared" si="13"/>
        <v>0</v>
      </c>
      <c r="J81" s="93">
        <f t="shared" si="13"/>
        <v>0</v>
      </c>
      <c r="K81" s="93">
        <f t="shared" si="13"/>
        <v>0</v>
      </c>
      <c r="L81" s="93">
        <f t="shared" si="13"/>
        <v>0</v>
      </c>
      <c r="M81" s="93">
        <f t="shared" si="13"/>
        <v>0</v>
      </c>
      <c r="N81" s="93">
        <f t="shared" si="13"/>
        <v>0</v>
      </c>
      <c r="O81" s="93">
        <f t="shared" si="13"/>
        <v>0</v>
      </c>
      <c r="P81" s="93">
        <f t="shared" si="13"/>
        <v>0</v>
      </c>
      <c r="Q81" s="93">
        <f t="shared" si="13"/>
        <v>0</v>
      </c>
      <c r="R81" s="93">
        <f t="shared" si="13"/>
        <v>0</v>
      </c>
      <c r="S81" s="93">
        <f t="shared" si="13"/>
        <v>0</v>
      </c>
      <c r="T81" s="93">
        <f t="shared" si="13"/>
        <v>0</v>
      </c>
      <c r="U81" s="93">
        <f t="shared" si="13"/>
        <v>0</v>
      </c>
      <c r="V81" s="93">
        <f t="shared" si="13"/>
        <v>0</v>
      </c>
      <c r="W81" s="93">
        <f t="shared" si="13"/>
        <v>0</v>
      </c>
      <c r="X81" s="93">
        <f t="shared" si="13"/>
        <v>0</v>
      </c>
      <c r="Y81" s="93">
        <f t="shared" si="13"/>
        <v>0</v>
      </c>
      <c r="Z81" s="93">
        <f t="shared" si="13"/>
        <v>0</v>
      </c>
      <c r="AA81" s="93">
        <f t="shared" si="13"/>
        <v>0</v>
      </c>
      <c r="AB81" s="93">
        <f t="shared" si="13"/>
        <v>0</v>
      </c>
      <c r="AC81" s="93">
        <f t="shared" si="13"/>
        <v>0</v>
      </c>
      <c r="AD81" s="93">
        <f t="shared" si="13"/>
        <v>0</v>
      </c>
      <c r="AE81" s="93">
        <f t="shared" si="13"/>
        <v>0</v>
      </c>
      <c r="AF81" s="93">
        <f t="shared" si="13"/>
        <v>0</v>
      </c>
      <c r="AG81" s="96"/>
      <c r="AH81" s="20">
        <f t="shared" si="9"/>
        <v>0</v>
      </c>
      <c r="AI81" s="19">
        <f t="shared" ref="AI81:AI97" si="14">MIN(B81:AF81)</f>
        <v>0</v>
      </c>
    </row>
    <row r="82" spans="1:37" x14ac:dyDescent="0.25">
      <c r="A82" s="95" t="s">
        <v>155</v>
      </c>
      <c r="B82" s="93">
        <f>IF(B62&lt;0,B62*-1,0)</f>
        <v>0</v>
      </c>
      <c r="C82" s="93">
        <f t="shared" ref="C82:AF82" si="15">IF(C62&lt;0,C62*-1,0)</f>
        <v>0</v>
      </c>
      <c r="D82" s="93">
        <f t="shared" si="15"/>
        <v>0</v>
      </c>
      <c r="E82" s="93">
        <f t="shared" si="15"/>
        <v>0</v>
      </c>
      <c r="F82" s="93">
        <f t="shared" si="15"/>
        <v>0</v>
      </c>
      <c r="G82" s="93">
        <f t="shared" si="15"/>
        <v>0</v>
      </c>
      <c r="H82" s="93">
        <f t="shared" si="15"/>
        <v>0</v>
      </c>
      <c r="I82" s="93">
        <f t="shared" si="15"/>
        <v>0</v>
      </c>
      <c r="J82" s="93">
        <f t="shared" si="15"/>
        <v>0</v>
      </c>
      <c r="K82" s="93">
        <f t="shared" si="15"/>
        <v>0</v>
      </c>
      <c r="L82" s="93">
        <f t="shared" si="15"/>
        <v>0</v>
      </c>
      <c r="M82" s="93">
        <f t="shared" si="15"/>
        <v>0</v>
      </c>
      <c r="N82" s="93">
        <f t="shared" si="15"/>
        <v>0</v>
      </c>
      <c r="O82" s="93">
        <f t="shared" si="15"/>
        <v>0</v>
      </c>
      <c r="P82" s="93">
        <f t="shared" si="15"/>
        <v>0</v>
      </c>
      <c r="Q82" s="93">
        <f t="shared" si="15"/>
        <v>0</v>
      </c>
      <c r="R82" s="93">
        <f t="shared" si="15"/>
        <v>0</v>
      </c>
      <c r="S82" s="93">
        <f t="shared" si="15"/>
        <v>0</v>
      </c>
      <c r="T82" s="93">
        <f t="shared" si="15"/>
        <v>0</v>
      </c>
      <c r="U82" s="93">
        <f t="shared" si="15"/>
        <v>0</v>
      </c>
      <c r="V82" s="93">
        <f t="shared" si="15"/>
        <v>0</v>
      </c>
      <c r="W82" s="93">
        <f t="shared" si="15"/>
        <v>0</v>
      </c>
      <c r="X82" s="93">
        <f t="shared" si="15"/>
        <v>0</v>
      </c>
      <c r="Y82" s="93">
        <f t="shared" si="15"/>
        <v>0</v>
      </c>
      <c r="Z82" s="93">
        <f t="shared" si="15"/>
        <v>0</v>
      </c>
      <c r="AA82" s="93">
        <f t="shared" si="15"/>
        <v>0</v>
      </c>
      <c r="AB82" s="93">
        <f t="shared" si="15"/>
        <v>0</v>
      </c>
      <c r="AC82" s="93">
        <f t="shared" si="15"/>
        <v>0</v>
      </c>
      <c r="AD82" s="93">
        <f t="shared" si="15"/>
        <v>0</v>
      </c>
      <c r="AE82" s="93">
        <f t="shared" si="15"/>
        <v>0</v>
      </c>
      <c r="AF82" s="93">
        <f t="shared" si="15"/>
        <v>0</v>
      </c>
      <c r="AG82" s="94"/>
      <c r="AH82" s="20">
        <f t="shared" si="9"/>
        <v>0</v>
      </c>
      <c r="AI82" s="19">
        <f t="shared" si="14"/>
        <v>0</v>
      </c>
    </row>
    <row r="83" spans="1:37" x14ac:dyDescent="0.25">
      <c r="A83" s="91" t="s">
        <v>154</v>
      </c>
      <c r="B83" s="93">
        <f>IF(B65&lt;0,B65*-1,0)</f>
        <v>0</v>
      </c>
      <c r="C83" s="93">
        <f t="shared" ref="C83:AF83" si="16">IF(C65&lt;0,C65*-1,0)</f>
        <v>0</v>
      </c>
      <c r="D83" s="93">
        <f t="shared" si="16"/>
        <v>0</v>
      </c>
      <c r="E83" s="93">
        <f t="shared" si="16"/>
        <v>0</v>
      </c>
      <c r="F83" s="93">
        <f t="shared" si="16"/>
        <v>0</v>
      </c>
      <c r="G83" s="93">
        <f t="shared" si="16"/>
        <v>0</v>
      </c>
      <c r="H83" s="93">
        <f t="shared" si="16"/>
        <v>0</v>
      </c>
      <c r="I83" s="93">
        <f t="shared" si="16"/>
        <v>0</v>
      </c>
      <c r="J83" s="93">
        <f t="shared" si="16"/>
        <v>0</v>
      </c>
      <c r="K83" s="93">
        <f t="shared" si="16"/>
        <v>0</v>
      </c>
      <c r="L83" s="93">
        <f t="shared" si="16"/>
        <v>0</v>
      </c>
      <c r="M83" s="93">
        <f t="shared" si="16"/>
        <v>0</v>
      </c>
      <c r="N83" s="93">
        <f t="shared" si="16"/>
        <v>0</v>
      </c>
      <c r="O83" s="93">
        <f t="shared" si="16"/>
        <v>0</v>
      </c>
      <c r="P83" s="93">
        <f t="shared" si="16"/>
        <v>0</v>
      </c>
      <c r="Q83" s="93">
        <f t="shared" si="16"/>
        <v>0</v>
      </c>
      <c r="R83" s="93">
        <f t="shared" si="16"/>
        <v>0</v>
      </c>
      <c r="S83" s="93">
        <f t="shared" si="16"/>
        <v>0</v>
      </c>
      <c r="T83" s="93">
        <f t="shared" si="16"/>
        <v>0</v>
      </c>
      <c r="U83" s="93">
        <f t="shared" si="16"/>
        <v>0</v>
      </c>
      <c r="V83" s="93">
        <f t="shared" si="16"/>
        <v>0</v>
      </c>
      <c r="W83" s="93">
        <f t="shared" si="16"/>
        <v>0</v>
      </c>
      <c r="X83" s="93">
        <f t="shared" si="16"/>
        <v>0</v>
      </c>
      <c r="Y83" s="93">
        <f t="shared" si="16"/>
        <v>0</v>
      </c>
      <c r="Z83" s="93">
        <f t="shared" si="16"/>
        <v>0</v>
      </c>
      <c r="AA83" s="93">
        <f t="shared" si="16"/>
        <v>0</v>
      </c>
      <c r="AB83" s="93">
        <f t="shared" si="16"/>
        <v>0</v>
      </c>
      <c r="AC83" s="93">
        <f t="shared" si="16"/>
        <v>0</v>
      </c>
      <c r="AD83" s="93">
        <f t="shared" si="16"/>
        <v>0</v>
      </c>
      <c r="AE83" s="93">
        <f t="shared" si="16"/>
        <v>0</v>
      </c>
      <c r="AF83" s="93">
        <f t="shared" si="16"/>
        <v>0</v>
      </c>
      <c r="AG83" s="92"/>
      <c r="AH83" s="20">
        <f t="shared" si="9"/>
        <v>0</v>
      </c>
      <c r="AI83" s="19">
        <f t="shared" si="14"/>
        <v>0</v>
      </c>
    </row>
    <row r="84" spans="1:37" x14ac:dyDescent="0.25">
      <c r="A84" s="91" t="s">
        <v>153</v>
      </c>
      <c r="B84" s="93">
        <f>IF(B63&lt;0,B63*-1,0)</f>
        <v>410</v>
      </c>
      <c r="C84" s="93">
        <f t="shared" ref="C84:AF84" si="17">IF(C63&lt;0,C63*-1,0)</f>
        <v>390</v>
      </c>
      <c r="D84" s="93">
        <f t="shared" si="17"/>
        <v>380.2</v>
      </c>
      <c r="E84" s="93">
        <f t="shared" si="17"/>
        <v>420</v>
      </c>
      <c r="F84" s="93">
        <f t="shared" si="17"/>
        <v>425</v>
      </c>
      <c r="G84" s="93">
        <f t="shared" si="17"/>
        <v>410</v>
      </c>
      <c r="H84" s="93">
        <f t="shared" si="17"/>
        <v>411</v>
      </c>
      <c r="I84" s="93">
        <f t="shared" si="17"/>
        <v>420</v>
      </c>
      <c r="J84" s="93">
        <f t="shared" si="17"/>
        <v>430</v>
      </c>
      <c r="K84" s="93">
        <f t="shared" si="17"/>
        <v>390</v>
      </c>
      <c r="L84" s="93">
        <f t="shared" si="17"/>
        <v>372</v>
      </c>
      <c r="M84" s="93">
        <f t="shared" si="17"/>
        <v>405.7</v>
      </c>
      <c r="N84" s="93">
        <f t="shared" si="17"/>
        <v>378</v>
      </c>
      <c r="O84" s="93">
        <f t="shared" si="17"/>
        <v>374.1</v>
      </c>
      <c r="P84" s="93">
        <f t="shared" si="17"/>
        <v>354</v>
      </c>
      <c r="Q84" s="93">
        <f t="shared" si="17"/>
        <v>335</v>
      </c>
      <c r="R84" s="93">
        <f t="shared" si="17"/>
        <v>373.6</v>
      </c>
      <c r="S84" s="93">
        <f t="shared" si="17"/>
        <v>332</v>
      </c>
      <c r="T84" s="93">
        <f t="shared" si="17"/>
        <v>330.4</v>
      </c>
      <c r="U84" s="93">
        <f t="shared" si="17"/>
        <v>339</v>
      </c>
      <c r="V84" s="93">
        <f t="shared" si="17"/>
        <v>380</v>
      </c>
      <c r="W84" s="93">
        <f t="shared" si="17"/>
        <v>381.5</v>
      </c>
      <c r="X84" s="93">
        <f t="shared" si="17"/>
        <v>310.3</v>
      </c>
      <c r="Y84" s="93">
        <f t="shared" si="17"/>
        <v>200.7</v>
      </c>
      <c r="Z84" s="93">
        <f t="shared" si="17"/>
        <v>188</v>
      </c>
      <c r="AA84" s="93">
        <f t="shared" si="17"/>
        <v>226</v>
      </c>
      <c r="AB84" s="93">
        <f t="shared" si="17"/>
        <v>242</v>
      </c>
      <c r="AC84" s="93">
        <f t="shared" si="17"/>
        <v>263</v>
      </c>
      <c r="AD84" s="93">
        <f t="shared" si="17"/>
        <v>301</v>
      </c>
      <c r="AE84" s="93">
        <f t="shared" si="17"/>
        <v>365</v>
      </c>
      <c r="AF84" s="93">
        <f t="shared" si="17"/>
        <v>378</v>
      </c>
      <c r="AG84" s="92"/>
      <c r="AH84" s="20">
        <f t="shared" si="9"/>
        <v>430</v>
      </c>
      <c r="AI84" s="19">
        <f t="shared" si="14"/>
        <v>188</v>
      </c>
    </row>
    <row r="85" spans="1:37" x14ac:dyDescent="0.25">
      <c r="A85" s="91" t="s">
        <v>152</v>
      </c>
      <c r="B85" s="93">
        <f>IF(B61&lt;0,B61*-1,0)</f>
        <v>0</v>
      </c>
      <c r="C85" s="93">
        <f t="shared" ref="C85:AF85" si="18">IF(C61&lt;0,C61*-1,0)</f>
        <v>0</v>
      </c>
      <c r="D85" s="93">
        <f t="shared" si="18"/>
        <v>0</v>
      </c>
      <c r="E85" s="93">
        <f t="shared" si="18"/>
        <v>0</v>
      </c>
      <c r="F85" s="93">
        <f t="shared" si="18"/>
        <v>0</v>
      </c>
      <c r="G85" s="93">
        <f t="shared" si="18"/>
        <v>0</v>
      </c>
      <c r="H85" s="93">
        <f t="shared" si="18"/>
        <v>0</v>
      </c>
      <c r="I85" s="93">
        <f t="shared" si="18"/>
        <v>0</v>
      </c>
      <c r="J85" s="93">
        <f t="shared" si="18"/>
        <v>0</v>
      </c>
      <c r="K85" s="93">
        <f t="shared" si="18"/>
        <v>0</v>
      </c>
      <c r="L85" s="93">
        <f t="shared" si="18"/>
        <v>0</v>
      </c>
      <c r="M85" s="93">
        <f t="shared" si="18"/>
        <v>0</v>
      </c>
      <c r="N85" s="93">
        <f t="shared" si="18"/>
        <v>0</v>
      </c>
      <c r="O85" s="93">
        <f t="shared" si="18"/>
        <v>0</v>
      </c>
      <c r="P85" s="93">
        <f t="shared" si="18"/>
        <v>0</v>
      </c>
      <c r="Q85" s="93">
        <f t="shared" si="18"/>
        <v>0</v>
      </c>
      <c r="R85" s="93">
        <f t="shared" si="18"/>
        <v>0</v>
      </c>
      <c r="S85" s="93">
        <f t="shared" si="18"/>
        <v>0</v>
      </c>
      <c r="T85" s="93">
        <f t="shared" si="18"/>
        <v>0</v>
      </c>
      <c r="U85" s="93">
        <f t="shared" si="18"/>
        <v>0</v>
      </c>
      <c r="V85" s="93">
        <f t="shared" si="18"/>
        <v>0</v>
      </c>
      <c r="W85" s="93">
        <f t="shared" si="18"/>
        <v>0</v>
      </c>
      <c r="X85" s="93">
        <f t="shared" si="18"/>
        <v>0</v>
      </c>
      <c r="Y85" s="93">
        <f t="shared" si="18"/>
        <v>0</v>
      </c>
      <c r="Z85" s="93">
        <f t="shared" si="18"/>
        <v>0</v>
      </c>
      <c r="AA85" s="93">
        <f t="shared" si="18"/>
        <v>0</v>
      </c>
      <c r="AB85" s="93">
        <f t="shared" si="18"/>
        <v>0</v>
      </c>
      <c r="AC85" s="93">
        <f t="shared" si="18"/>
        <v>0</v>
      </c>
      <c r="AD85" s="93">
        <f t="shared" si="18"/>
        <v>0</v>
      </c>
      <c r="AE85" s="93">
        <f t="shared" si="18"/>
        <v>0</v>
      </c>
      <c r="AF85" s="93">
        <f t="shared" si="18"/>
        <v>0</v>
      </c>
      <c r="AG85" s="92"/>
      <c r="AH85" s="20">
        <f t="shared" si="9"/>
        <v>0</v>
      </c>
      <c r="AI85" s="19">
        <f t="shared" si="14"/>
        <v>0</v>
      </c>
    </row>
    <row r="86" spans="1:37" ht="15.75" thickBot="1" x14ac:dyDescent="0.3">
      <c r="A86" s="91" t="s">
        <v>151</v>
      </c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>
        <v>0</v>
      </c>
      <c r="AA86" s="90">
        <v>0</v>
      </c>
      <c r="AB86" s="90">
        <v>0</v>
      </c>
      <c r="AC86" s="90"/>
      <c r="AD86" s="90"/>
      <c r="AE86" s="90"/>
      <c r="AF86" s="90"/>
      <c r="AG86" s="89"/>
      <c r="AH86" s="20">
        <f t="shared" si="9"/>
        <v>0</v>
      </c>
      <c r="AI86" s="19">
        <f t="shared" si="14"/>
        <v>0</v>
      </c>
    </row>
    <row r="87" spans="1:37" ht="15.75" thickBot="1" x14ac:dyDescent="0.3">
      <c r="A87" s="88" t="s">
        <v>150</v>
      </c>
      <c r="B87" s="86">
        <f t="shared" ref="B87:AF87" si="19">SUM(B81:B86)</f>
        <v>410</v>
      </c>
      <c r="C87" s="86">
        <f t="shared" si="19"/>
        <v>390</v>
      </c>
      <c r="D87" s="86">
        <f t="shared" si="19"/>
        <v>380.2</v>
      </c>
      <c r="E87" s="86">
        <f t="shared" si="19"/>
        <v>420</v>
      </c>
      <c r="F87" s="86">
        <f t="shared" si="19"/>
        <v>425</v>
      </c>
      <c r="G87" s="86">
        <f t="shared" si="19"/>
        <v>410</v>
      </c>
      <c r="H87" s="86">
        <f t="shared" si="19"/>
        <v>411</v>
      </c>
      <c r="I87" s="86">
        <f t="shared" si="19"/>
        <v>420</v>
      </c>
      <c r="J87" s="86">
        <f t="shared" si="19"/>
        <v>430</v>
      </c>
      <c r="K87" s="86">
        <f t="shared" si="19"/>
        <v>390</v>
      </c>
      <c r="L87" s="86">
        <f t="shared" si="19"/>
        <v>372</v>
      </c>
      <c r="M87" s="86">
        <f t="shared" si="19"/>
        <v>405.7</v>
      </c>
      <c r="N87" s="86">
        <f t="shared" si="19"/>
        <v>378</v>
      </c>
      <c r="O87" s="86">
        <f t="shared" si="19"/>
        <v>374.1</v>
      </c>
      <c r="P87" s="86">
        <f t="shared" si="19"/>
        <v>354</v>
      </c>
      <c r="Q87" s="86">
        <f t="shared" si="19"/>
        <v>335</v>
      </c>
      <c r="R87" s="86">
        <f t="shared" si="19"/>
        <v>373.6</v>
      </c>
      <c r="S87" s="86">
        <f t="shared" si="19"/>
        <v>332</v>
      </c>
      <c r="T87" s="86">
        <f t="shared" si="19"/>
        <v>330.4</v>
      </c>
      <c r="U87" s="86">
        <f t="shared" si="19"/>
        <v>339</v>
      </c>
      <c r="V87" s="86">
        <f t="shared" si="19"/>
        <v>380</v>
      </c>
      <c r="W87" s="86">
        <f t="shared" si="19"/>
        <v>381.5</v>
      </c>
      <c r="X87" s="86">
        <f t="shared" si="19"/>
        <v>310.3</v>
      </c>
      <c r="Y87" s="86">
        <f t="shared" si="19"/>
        <v>200.7</v>
      </c>
      <c r="Z87" s="86">
        <f t="shared" si="19"/>
        <v>188</v>
      </c>
      <c r="AA87" s="86">
        <f t="shared" si="19"/>
        <v>226</v>
      </c>
      <c r="AB87" s="86">
        <f t="shared" si="19"/>
        <v>242</v>
      </c>
      <c r="AC87" s="86">
        <f t="shared" si="19"/>
        <v>263</v>
      </c>
      <c r="AD87" s="86">
        <f t="shared" si="19"/>
        <v>301</v>
      </c>
      <c r="AE87" s="86">
        <f t="shared" si="19"/>
        <v>365</v>
      </c>
      <c r="AF87" s="86">
        <f t="shared" si="19"/>
        <v>378</v>
      </c>
      <c r="AG87" s="85"/>
      <c r="AH87" s="20">
        <f t="shared" si="9"/>
        <v>430</v>
      </c>
      <c r="AI87" s="19">
        <f t="shared" si="14"/>
        <v>188</v>
      </c>
      <c r="AK87" s="41"/>
    </row>
    <row r="88" spans="1:37" ht="15.75" thickBot="1" x14ac:dyDescent="0.3">
      <c r="A88" s="87" t="s">
        <v>149</v>
      </c>
      <c r="B88" s="86">
        <f t="shared" ref="B88:AF88" si="20">B72-B87</f>
        <v>-410</v>
      </c>
      <c r="C88" s="86">
        <f t="shared" si="20"/>
        <v>-385</v>
      </c>
      <c r="D88" s="86">
        <f t="shared" si="20"/>
        <v>-375.2</v>
      </c>
      <c r="E88" s="86">
        <f t="shared" si="20"/>
        <v>-415</v>
      </c>
      <c r="F88" s="86">
        <f t="shared" si="20"/>
        <v>-420</v>
      </c>
      <c r="G88" s="86">
        <f t="shared" si="20"/>
        <v>-405</v>
      </c>
      <c r="H88" s="86">
        <f t="shared" si="20"/>
        <v>-406</v>
      </c>
      <c r="I88" s="86">
        <f t="shared" si="20"/>
        <v>-415</v>
      </c>
      <c r="J88" s="86">
        <f t="shared" si="20"/>
        <v>-425</v>
      </c>
      <c r="K88" s="86">
        <f t="shared" si="20"/>
        <v>-385</v>
      </c>
      <c r="L88" s="86">
        <f t="shared" si="20"/>
        <v>-367</v>
      </c>
      <c r="M88" s="86">
        <f t="shared" si="20"/>
        <v>-400.7</v>
      </c>
      <c r="N88" s="86">
        <f t="shared" si="20"/>
        <v>-373</v>
      </c>
      <c r="O88" s="86">
        <f t="shared" si="20"/>
        <v>-374.1</v>
      </c>
      <c r="P88" s="86">
        <f t="shared" si="20"/>
        <v>-349</v>
      </c>
      <c r="Q88" s="86">
        <f t="shared" si="20"/>
        <v>-330</v>
      </c>
      <c r="R88" s="86">
        <f t="shared" si="20"/>
        <v>-368.6</v>
      </c>
      <c r="S88" s="86">
        <f t="shared" si="20"/>
        <v>-309.8</v>
      </c>
      <c r="T88" s="86">
        <f t="shared" si="20"/>
        <v>-306.5</v>
      </c>
      <c r="U88" s="86">
        <f t="shared" si="20"/>
        <v>-316.8</v>
      </c>
      <c r="V88" s="86">
        <f t="shared" si="20"/>
        <v>-362</v>
      </c>
      <c r="W88" s="86">
        <f t="shared" si="20"/>
        <v>-349.5</v>
      </c>
      <c r="X88" s="86">
        <f t="shared" si="20"/>
        <v>-280.7</v>
      </c>
      <c r="Y88" s="86">
        <f t="shared" si="20"/>
        <v>-162.19999999999999</v>
      </c>
      <c r="Z88" s="86">
        <f t="shared" si="20"/>
        <v>-138.80000000000001</v>
      </c>
      <c r="AA88" s="86">
        <f t="shared" si="20"/>
        <v>-174</v>
      </c>
      <c r="AB88" s="86">
        <f t="shared" si="20"/>
        <v>-191</v>
      </c>
      <c r="AC88" s="86">
        <f t="shared" si="20"/>
        <v>-208</v>
      </c>
      <c r="AD88" s="86">
        <f t="shared" si="20"/>
        <v>-246.02</v>
      </c>
      <c r="AE88" s="86">
        <f t="shared" si="20"/>
        <v>-309.95999999999998</v>
      </c>
      <c r="AF88" s="86">
        <f t="shared" si="20"/>
        <v>-365.5</v>
      </c>
      <c r="AG88" s="85"/>
      <c r="AH88" s="20">
        <f t="shared" si="9"/>
        <v>-138.80000000000001</v>
      </c>
      <c r="AI88" s="19">
        <f t="shared" si="14"/>
        <v>-425</v>
      </c>
    </row>
    <row r="89" spans="1:37" x14ac:dyDescent="0.25">
      <c r="A89" s="47" t="s">
        <v>148</v>
      </c>
      <c r="B89" s="84">
        <v>49.938000000000002</v>
      </c>
      <c r="C89" s="84">
        <v>49.999000000000002</v>
      </c>
      <c r="D89" s="84">
        <v>49.993000000000002</v>
      </c>
      <c r="E89" s="84">
        <v>49.929000000000002</v>
      </c>
      <c r="F89" s="84">
        <v>50.030999999999999</v>
      </c>
      <c r="G89" s="84">
        <v>50.01</v>
      </c>
      <c r="H89" s="84">
        <v>49.996000000000002</v>
      </c>
      <c r="I89" s="84">
        <v>50.051000000000002</v>
      </c>
      <c r="J89" s="84">
        <v>49.963999999999999</v>
      </c>
      <c r="K89" s="84">
        <v>49.941000000000003</v>
      </c>
      <c r="L89" s="84">
        <v>49.941000000000003</v>
      </c>
      <c r="M89" s="84">
        <v>50.026000000000003</v>
      </c>
      <c r="N89" s="84">
        <v>50.024000000000001</v>
      </c>
      <c r="O89" s="84">
        <v>50.052999999999997</v>
      </c>
      <c r="P89" s="84">
        <v>49.997999999999998</v>
      </c>
      <c r="Q89" s="84">
        <v>50.02</v>
      </c>
      <c r="R89" s="84">
        <v>50.07</v>
      </c>
      <c r="S89" s="84">
        <v>49.933999999999997</v>
      </c>
      <c r="T89" s="84">
        <v>49.732999999999997</v>
      </c>
      <c r="U89" s="84">
        <v>49.957999999999998</v>
      </c>
      <c r="V89" s="84">
        <v>50.031999999999996</v>
      </c>
      <c r="W89" s="84">
        <v>49.85</v>
      </c>
      <c r="X89" s="84">
        <v>49.813000000000002</v>
      </c>
      <c r="Y89" s="84">
        <v>49.905999999999999</v>
      </c>
      <c r="Z89" s="84">
        <v>49.901000000000003</v>
      </c>
      <c r="AA89" s="84">
        <v>49.985999999999997</v>
      </c>
      <c r="AB89" s="84">
        <v>50.087000000000003</v>
      </c>
      <c r="AC89" s="84">
        <v>50.087000000000003</v>
      </c>
      <c r="AD89" s="84">
        <v>50.057000000000002</v>
      </c>
      <c r="AE89" s="84">
        <v>50.05</v>
      </c>
      <c r="AF89" s="84">
        <v>50.026000000000003</v>
      </c>
      <c r="AG89" s="83"/>
      <c r="AH89" s="20">
        <f t="shared" si="9"/>
        <v>50.087000000000003</v>
      </c>
      <c r="AI89" s="19">
        <f t="shared" si="14"/>
        <v>49.732999999999997</v>
      </c>
    </row>
    <row r="90" spans="1:37" x14ac:dyDescent="0.25">
      <c r="A90" s="44" t="s">
        <v>147</v>
      </c>
      <c r="B90" s="80">
        <v>123.3</v>
      </c>
      <c r="C90" s="80">
        <v>124.5</v>
      </c>
      <c r="D90" s="80">
        <v>123.9</v>
      </c>
      <c r="E90" s="80">
        <v>123.4</v>
      </c>
      <c r="F90" s="80">
        <v>125.1</v>
      </c>
      <c r="G90" s="80">
        <v>124.3</v>
      </c>
      <c r="H90" s="80">
        <v>125.1</v>
      </c>
      <c r="I90" s="80">
        <v>124.9</v>
      </c>
      <c r="J90" s="80">
        <v>124.5</v>
      </c>
      <c r="K90" s="80">
        <v>122.2</v>
      </c>
      <c r="L90" s="80">
        <v>122.4</v>
      </c>
      <c r="M90" s="80">
        <v>123.4</v>
      </c>
      <c r="N90" s="80">
        <v>122.2</v>
      </c>
      <c r="O90" s="80">
        <v>121</v>
      </c>
      <c r="P90" s="80">
        <v>120.1</v>
      </c>
      <c r="Q90" s="80">
        <v>120.5</v>
      </c>
      <c r="R90" s="80">
        <v>121.5</v>
      </c>
      <c r="S90" s="80">
        <v>121.2</v>
      </c>
      <c r="T90" s="80">
        <v>119.9</v>
      </c>
      <c r="U90" s="80">
        <v>121.9</v>
      </c>
      <c r="V90" s="80">
        <v>124.3</v>
      </c>
      <c r="W90" s="80">
        <v>123.5</v>
      </c>
      <c r="X90" s="80">
        <v>124.1</v>
      </c>
      <c r="Y90" s="80">
        <v>124.6</v>
      </c>
      <c r="Z90" s="80">
        <v>125.5</v>
      </c>
      <c r="AA90" s="80">
        <v>123</v>
      </c>
      <c r="AB90" s="80">
        <v>123</v>
      </c>
      <c r="AC90" s="80">
        <v>123</v>
      </c>
      <c r="AD90" s="80">
        <v>124</v>
      </c>
      <c r="AE90" s="80">
        <v>124</v>
      </c>
      <c r="AF90" s="80">
        <v>123</v>
      </c>
      <c r="AG90" s="79"/>
      <c r="AH90" s="20">
        <f t="shared" si="9"/>
        <v>125.5</v>
      </c>
      <c r="AI90" s="19">
        <f t="shared" si="14"/>
        <v>119.9</v>
      </c>
    </row>
    <row r="91" spans="1:37" x14ac:dyDescent="0.25">
      <c r="A91" s="44" t="s">
        <v>146</v>
      </c>
      <c r="B91" s="80">
        <v>128.19999999999999</v>
      </c>
      <c r="C91" s="80">
        <v>129.30000000000001</v>
      </c>
      <c r="D91" s="80">
        <v>128.69999999999999</v>
      </c>
      <c r="E91" s="80">
        <v>128.30000000000001</v>
      </c>
      <c r="F91" s="80">
        <v>129.4</v>
      </c>
      <c r="G91" s="80">
        <v>129</v>
      </c>
      <c r="H91" s="80">
        <v>129.4</v>
      </c>
      <c r="I91" s="80">
        <v>128.80000000000001</v>
      </c>
      <c r="J91" s="80">
        <v>127.5</v>
      </c>
      <c r="K91" s="80">
        <v>124.9</v>
      </c>
      <c r="L91" s="80">
        <v>125.3</v>
      </c>
      <c r="M91" s="80">
        <v>125.6</v>
      </c>
      <c r="N91" s="80">
        <v>125.1</v>
      </c>
      <c r="O91" s="80">
        <v>124.1</v>
      </c>
      <c r="P91" s="80">
        <v>123.2</v>
      </c>
      <c r="Q91" s="80">
        <v>123.4</v>
      </c>
      <c r="R91" s="80">
        <v>124.9</v>
      </c>
      <c r="S91" s="80">
        <v>123.9</v>
      </c>
      <c r="T91" s="80">
        <v>123.1</v>
      </c>
      <c r="U91" s="80">
        <v>124.3</v>
      </c>
      <c r="V91" s="80">
        <v>127.1</v>
      </c>
      <c r="W91" s="80">
        <v>126.4</v>
      </c>
      <c r="X91" s="80">
        <v>127.1</v>
      </c>
      <c r="Y91" s="80">
        <v>127.2</v>
      </c>
      <c r="Z91" s="80">
        <v>128.19999999999999</v>
      </c>
      <c r="AA91" s="80">
        <v>126.6</v>
      </c>
      <c r="AB91" s="80">
        <v>126.6</v>
      </c>
      <c r="AC91" s="80">
        <v>126.6</v>
      </c>
      <c r="AD91" s="80">
        <v>128</v>
      </c>
      <c r="AE91" s="80">
        <v>129</v>
      </c>
      <c r="AF91" s="80">
        <v>128</v>
      </c>
      <c r="AG91" s="79"/>
      <c r="AH91" s="20">
        <f t="shared" si="9"/>
        <v>129.4</v>
      </c>
      <c r="AI91" s="19">
        <f t="shared" si="14"/>
        <v>123.1</v>
      </c>
    </row>
    <row r="92" spans="1:37" x14ac:dyDescent="0.25">
      <c r="A92" s="44" t="s">
        <v>145</v>
      </c>
      <c r="B92" s="80">
        <v>128.69999999999999</v>
      </c>
      <c r="C92" s="80">
        <v>129.4</v>
      </c>
      <c r="D92" s="80">
        <v>130.1</v>
      </c>
      <c r="E92" s="80">
        <v>129.9</v>
      </c>
      <c r="F92" s="80">
        <v>129.6</v>
      </c>
      <c r="G92" s="80">
        <v>129.4</v>
      </c>
      <c r="H92" s="80">
        <v>130.69999999999999</v>
      </c>
      <c r="I92" s="80">
        <v>130.5</v>
      </c>
      <c r="J92" s="80">
        <v>128</v>
      </c>
      <c r="K92" s="80">
        <v>127.8</v>
      </c>
      <c r="L92" s="80">
        <v>129.1</v>
      </c>
      <c r="M92" s="80">
        <v>130.4</v>
      </c>
      <c r="N92" s="80">
        <v>129.6</v>
      </c>
      <c r="O92" s="80">
        <v>129.30000000000001</v>
      </c>
      <c r="P92" s="80">
        <v>127.6</v>
      </c>
      <c r="Q92" s="80">
        <v>128.19999999999999</v>
      </c>
      <c r="R92" s="80">
        <v>130.5</v>
      </c>
      <c r="S92" s="80">
        <v>126</v>
      </c>
      <c r="T92" s="80">
        <v>127.9</v>
      </c>
      <c r="U92" s="80">
        <v>128.80000000000001</v>
      </c>
      <c r="V92" s="80">
        <v>129</v>
      </c>
      <c r="W92" s="80">
        <v>130.30000000000001</v>
      </c>
      <c r="X92" s="80">
        <v>130.30000000000001</v>
      </c>
      <c r="Y92" s="80">
        <v>129.80000000000001</v>
      </c>
      <c r="Z92" s="80">
        <v>127.8</v>
      </c>
      <c r="AA92" s="80">
        <v>129.4</v>
      </c>
      <c r="AB92" s="80">
        <v>129.4</v>
      </c>
      <c r="AC92" s="80">
        <v>129.4</v>
      </c>
      <c r="AD92" s="80">
        <v>130</v>
      </c>
      <c r="AE92" s="80">
        <v>128</v>
      </c>
      <c r="AF92" s="80">
        <v>128</v>
      </c>
      <c r="AG92" s="79"/>
      <c r="AH92" s="20">
        <f t="shared" si="9"/>
        <v>130.69999999999999</v>
      </c>
      <c r="AI92" s="19">
        <f t="shared" si="14"/>
        <v>126</v>
      </c>
    </row>
    <row r="93" spans="1:37" x14ac:dyDescent="0.25">
      <c r="A93" s="82" t="s">
        <v>144</v>
      </c>
      <c r="B93" s="80">
        <v>132.1</v>
      </c>
      <c r="C93" s="80">
        <v>133.1</v>
      </c>
      <c r="D93" s="80">
        <v>133.5</v>
      </c>
      <c r="E93" s="80">
        <v>133.1</v>
      </c>
      <c r="F93" s="80">
        <v>133.30000000000001</v>
      </c>
      <c r="G93" s="80">
        <v>133</v>
      </c>
      <c r="H93" s="80">
        <v>133.6</v>
      </c>
      <c r="I93" s="80">
        <v>134</v>
      </c>
      <c r="J93" s="80">
        <v>131.19999999999999</v>
      </c>
      <c r="K93" s="80">
        <v>132.30000000000001</v>
      </c>
      <c r="L93" s="80">
        <v>130.69999999999999</v>
      </c>
      <c r="M93" s="80">
        <v>132.6</v>
      </c>
      <c r="N93" s="80">
        <v>131.9</v>
      </c>
      <c r="O93" s="80">
        <v>131.80000000000001</v>
      </c>
      <c r="P93" s="80">
        <v>129.69999999999999</v>
      </c>
      <c r="Q93" s="80">
        <v>131</v>
      </c>
      <c r="R93" s="80">
        <v>132.80000000000001</v>
      </c>
      <c r="S93" s="80">
        <v>128.30000000000001</v>
      </c>
      <c r="T93" s="80">
        <v>130.1</v>
      </c>
      <c r="U93" s="80">
        <v>130.69999999999999</v>
      </c>
      <c r="V93" s="80">
        <v>131.6</v>
      </c>
      <c r="W93" s="80">
        <v>131.69999999999999</v>
      </c>
      <c r="X93" s="80">
        <v>131.5</v>
      </c>
      <c r="Y93" s="80">
        <v>132.6</v>
      </c>
      <c r="Z93" s="80">
        <v>129.80000000000001</v>
      </c>
      <c r="AA93" s="80">
        <v>131.5</v>
      </c>
      <c r="AB93" s="80">
        <v>131.5</v>
      </c>
      <c r="AC93" s="80">
        <v>131.5</v>
      </c>
      <c r="AD93" s="80">
        <v>133</v>
      </c>
      <c r="AE93" s="80">
        <v>132</v>
      </c>
      <c r="AF93" s="80">
        <v>133</v>
      </c>
      <c r="AG93" s="79"/>
      <c r="AH93" s="20">
        <f t="shared" si="9"/>
        <v>134</v>
      </c>
      <c r="AI93" s="19">
        <f t="shared" si="14"/>
        <v>128.30000000000001</v>
      </c>
    </row>
    <row r="94" spans="1:37" x14ac:dyDescent="0.25">
      <c r="A94" s="82" t="s">
        <v>143</v>
      </c>
      <c r="B94" s="66">
        <v>131.19999999999999</v>
      </c>
      <c r="C94" s="66">
        <v>132.9</v>
      </c>
      <c r="D94" s="66">
        <v>131.80000000000001</v>
      </c>
      <c r="E94" s="66">
        <v>129.4</v>
      </c>
      <c r="F94" s="66">
        <v>130</v>
      </c>
      <c r="G94" s="66">
        <v>131.4</v>
      </c>
      <c r="H94" s="66">
        <v>132.69999999999999</v>
      </c>
      <c r="I94" s="66">
        <v>134</v>
      </c>
      <c r="J94" s="66">
        <v>130.80000000000001</v>
      </c>
      <c r="K94" s="66">
        <v>130.9</v>
      </c>
      <c r="L94" s="66">
        <v>130</v>
      </c>
      <c r="M94" s="66">
        <v>134.1</v>
      </c>
      <c r="N94" s="66">
        <v>134.1</v>
      </c>
      <c r="O94" s="66">
        <v>131.80000000000001</v>
      </c>
      <c r="P94" s="66">
        <v>130.4</v>
      </c>
      <c r="Q94" s="66">
        <v>132.6</v>
      </c>
      <c r="R94" s="66">
        <v>132.5</v>
      </c>
      <c r="S94" s="66">
        <v>134.1</v>
      </c>
      <c r="T94" s="66">
        <v>133</v>
      </c>
      <c r="U94" s="66">
        <v>133.30000000000001</v>
      </c>
      <c r="V94" s="66">
        <v>134.9</v>
      </c>
      <c r="W94" s="66">
        <v>134.1</v>
      </c>
      <c r="X94" s="66">
        <v>133.4</v>
      </c>
      <c r="Y94" s="66">
        <v>134</v>
      </c>
      <c r="Z94" s="66">
        <v>134.19999999999999</v>
      </c>
      <c r="AA94" s="66">
        <v>128.69999999999999</v>
      </c>
      <c r="AB94" s="66">
        <v>128.69999999999999</v>
      </c>
      <c r="AC94" s="66">
        <v>128.69999999999999</v>
      </c>
      <c r="AD94" s="66">
        <v>131</v>
      </c>
      <c r="AE94" s="66">
        <v>132</v>
      </c>
      <c r="AF94" s="66">
        <v>130.4</v>
      </c>
      <c r="AG94" s="81"/>
      <c r="AH94" s="20">
        <f t="shared" si="9"/>
        <v>134.9</v>
      </c>
      <c r="AI94" s="19">
        <f t="shared" si="14"/>
        <v>128.69999999999999</v>
      </c>
    </row>
    <row r="95" spans="1:37" x14ac:dyDescent="0.25">
      <c r="A95" s="44" t="s">
        <v>142</v>
      </c>
      <c r="B95" s="80">
        <v>126</v>
      </c>
      <c r="C95" s="80">
        <v>129.4</v>
      </c>
      <c r="D95" s="80">
        <v>128.30000000000001</v>
      </c>
      <c r="E95" s="80">
        <v>129.9</v>
      </c>
      <c r="F95" s="80">
        <v>130.19999999999999</v>
      </c>
      <c r="G95" s="80">
        <v>131.9</v>
      </c>
      <c r="H95" s="80">
        <v>133.4</v>
      </c>
      <c r="I95" s="80">
        <v>134.5</v>
      </c>
      <c r="J95" s="80">
        <v>129</v>
      </c>
      <c r="K95" s="80">
        <v>128.9</v>
      </c>
      <c r="L95" s="80">
        <v>129.1</v>
      </c>
      <c r="M95" s="80">
        <v>130.19999999999999</v>
      </c>
      <c r="N95" s="80">
        <v>128.80000000000001</v>
      </c>
      <c r="O95" s="80">
        <v>126.1</v>
      </c>
      <c r="P95" s="80">
        <v>126.9</v>
      </c>
      <c r="Q95" s="80">
        <v>130.69999999999999</v>
      </c>
      <c r="R95" s="80">
        <v>129.9</v>
      </c>
      <c r="S95" s="80">
        <v>132.4</v>
      </c>
      <c r="T95" s="80">
        <v>127.2</v>
      </c>
      <c r="U95" s="80">
        <v>130.9</v>
      </c>
      <c r="V95" s="80">
        <v>135.69999999999999</v>
      </c>
      <c r="W95" s="80">
        <v>133.6</v>
      </c>
      <c r="X95" s="80">
        <v>129.5</v>
      </c>
      <c r="Y95" s="80">
        <v>126.5</v>
      </c>
      <c r="Z95" s="80">
        <v>129.19999999999999</v>
      </c>
      <c r="AA95" s="80">
        <v>125.6</v>
      </c>
      <c r="AB95" s="80">
        <v>125.6</v>
      </c>
      <c r="AC95" s="80">
        <v>125.6</v>
      </c>
      <c r="AD95" s="80">
        <v>130</v>
      </c>
      <c r="AE95" s="80">
        <v>130</v>
      </c>
      <c r="AF95" s="80">
        <v>130.5</v>
      </c>
      <c r="AG95" s="79"/>
      <c r="AH95" s="20">
        <f t="shared" si="9"/>
        <v>135.69999999999999</v>
      </c>
      <c r="AI95" s="19">
        <f t="shared" si="14"/>
        <v>125.6</v>
      </c>
    </row>
    <row r="96" spans="1:37" ht="15.75" thickBot="1" x14ac:dyDescent="0.3">
      <c r="A96" s="44" t="s">
        <v>141</v>
      </c>
      <c r="B96" s="77">
        <v>64.8</v>
      </c>
      <c r="C96" s="77">
        <v>65.3</v>
      </c>
      <c r="D96" s="77">
        <v>65</v>
      </c>
      <c r="E96" s="77">
        <v>64.8</v>
      </c>
      <c r="F96" s="77">
        <v>65.5</v>
      </c>
      <c r="G96" s="77">
        <v>65.099999999999994</v>
      </c>
      <c r="H96" s="77">
        <v>65.3</v>
      </c>
      <c r="I96" s="77">
        <v>64.8</v>
      </c>
      <c r="J96" s="77">
        <v>64.2</v>
      </c>
      <c r="K96" s="77">
        <v>62.9</v>
      </c>
      <c r="L96" s="77">
        <v>63.1</v>
      </c>
      <c r="M96" s="77">
        <v>63.2</v>
      </c>
      <c r="N96" s="77">
        <v>62.9</v>
      </c>
      <c r="O96" s="77">
        <v>62.5</v>
      </c>
      <c r="P96" s="77">
        <v>61.9</v>
      </c>
      <c r="Q96" s="77">
        <v>61.9</v>
      </c>
      <c r="R96" s="77">
        <v>62.7</v>
      </c>
      <c r="S96" s="77">
        <v>62.2</v>
      </c>
      <c r="T96" s="77">
        <v>61.6</v>
      </c>
      <c r="U96" s="77">
        <v>62.4</v>
      </c>
      <c r="V96" s="77">
        <v>63.9</v>
      </c>
      <c r="W96" s="77">
        <v>63.6</v>
      </c>
      <c r="X96" s="77">
        <v>64</v>
      </c>
      <c r="Y96" s="77">
        <v>64.3</v>
      </c>
      <c r="Z96" s="77">
        <v>64.7</v>
      </c>
      <c r="AA96" s="77">
        <v>64.099999999999994</v>
      </c>
      <c r="AB96" s="77">
        <v>64.099999999999994</v>
      </c>
      <c r="AC96" s="77">
        <v>64.099999999999994</v>
      </c>
      <c r="AD96" s="77">
        <v>65</v>
      </c>
      <c r="AE96" s="77">
        <v>65</v>
      </c>
      <c r="AF96" s="77">
        <v>65</v>
      </c>
      <c r="AG96" s="76"/>
      <c r="AH96" s="20">
        <f t="shared" si="9"/>
        <v>65.5</v>
      </c>
      <c r="AI96" s="19">
        <f t="shared" si="14"/>
        <v>61.6</v>
      </c>
    </row>
    <row r="97" spans="1:37" ht="15.75" thickBot="1" x14ac:dyDescent="0.3">
      <c r="A97" s="78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6"/>
      <c r="AH97" s="20">
        <f t="shared" si="9"/>
        <v>0</v>
      </c>
      <c r="AI97" s="19">
        <f t="shared" si="14"/>
        <v>0</v>
      </c>
    </row>
    <row r="98" spans="1:37" ht="15.75" thickBot="1" x14ac:dyDescent="0.3">
      <c r="A98" s="75" t="s">
        <v>140</v>
      </c>
      <c r="B98" s="74">
        <f t="shared" ref="B98:AF98" si="21">SUM(B15,B18,B21:B22,B46,B48:B49,B51,B53,B99:B103,B125,B131,B137,B146,B148,B160,B167,B170:B171,B178,B180,B182,B186:B188,B190:B192,B197,B203:B204,B206:B208,B216,B221)</f>
        <v>55.9</v>
      </c>
      <c r="C98" s="74">
        <f t="shared" si="21"/>
        <v>46.939999999999984</v>
      </c>
      <c r="D98" s="74">
        <f t="shared" si="21"/>
        <v>52.039999999999971</v>
      </c>
      <c r="E98" s="74">
        <f t="shared" si="21"/>
        <v>34.539999999999985</v>
      </c>
      <c r="F98" s="74">
        <f t="shared" si="21"/>
        <v>44.039999999999964</v>
      </c>
      <c r="G98" s="74">
        <f t="shared" si="21"/>
        <v>64.539999999999978</v>
      </c>
      <c r="H98" s="74">
        <f t="shared" si="21"/>
        <v>89.539999999999964</v>
      </c>
      <c r="I98" s="74">
        <f t="shared" si="21"/>
        <v>119.63999999999997</v>
      </c>
      <c r="J98" s="74">
        <f t="shared" si="21"/>
        <v>173.93999999999997</v>
      </c>
      <c r="K98" s="74">
        <f t="shared" si="21"/>
        <v>182.33999999999997</v>
      </c>
      <c r="L98" s="74">
        <f t="shared" si="21"/>
        <v>239.43999999999997</v>
      </c>
      <c r="M98" s="74">
        <f t="shared" si="21"/>
        <v>238.54</v>
      </c>
      <c r="N98" s="74">
        <f t="shared" si="21"/>
        <v>229.13999999999996</v>
      </c>
      <c r="O98" s="74">
        <f t="shared" si="21"/>
        <v>221.14</v>
      </c>
      <c r="P98" s="74">
        <f t="shared" si="21"/>
        <v>226.14000000000001</v>
      </c>
      <c r="Q98" s="74">
        <f t="shared" si="21"/>
        <v>227.8</v>
      </c>
      <c r="R98" s="74">
        <f t="shared" si="21"/>
        <v>224.6</v>
      </c>
      <c r="S98" s="74">
        <f t="shared" si="21"/>
        <v>250.00000000000003</v>
      </c>
      <c r="T98" s="74">
        <f t="shared" si="21"/>
        <v>236.60000000000002</v>
      </c>
      <c r="U98" s="74">
        <f t="shared" si="21"/>
        <v>247.9</v>
      </c>
      <c r="V98" s="74">
        <f t="shared" si="21"/>
        <v>247.8</v>
      </c>
      <c r="W98" s="74">
        <f t="shared" si="21"/>
        <v>247.2</v>
      </c>
      <c r="X98" s="74">
        <f t="shared" si="21"/>
        <v>267.59999999999997</v>
      </c>
      <c r="Y98" s="74">
        <f t="shared" si="21"/>
        <v>323.69999999999993</v>
      </c>
      <c r="Z98" s="74">
        <f t="shared" si="21"/>
        <v>303.2</v>
      </c>
      <c r="AA98" s="74">
        <f t="shared" si="21"/>
        <v>270</v>
      </c>
      <c r="AB98" s="74">
        <f t="shared" si="21"/>
        <v>211.99999999999997</v>
      </c>
      <c r="AC98" s="74">
        <f t="shared" si="21"/>
        <v>190.4</v>
      </c>
      <c r="AD98" s="74">
        <f t="shared" si="21"/>
        <v>162.4</v>
      </c>
      <c r="AE98" s="74">
        <f t="shared" si="21"/>
        <v>79.400000000000006</v>
      </c>
      <c r="AF98" s="74">
        <f t="shared" si="21"/>
        <v>58</v>
      </c>
      <c r="AG98" s="73"/>
      <c r="AH98" s="20">
        <f>MAX(C98:AF98)</f>
        <v>323.69999999999993</v>
      </c>
      <c r="AI98" s="19">
        <f>MIN(C98:AF98)</f>
        <v>34.539999999999985</v>
      </c>
    </row>
    <row r="99" spans="1:37" x14ac:dyDescent="0.25">
      <c r="A99" s="47" t="s">
        <v>139</v>
      </c>
      <c r="B99" s="72">
        <v>9.5</v>
      </c>
      <c r="C99" s="72">
        <v>5.0999999999999996</v>
      </c>
      <c r="D99" s="72">
        <v>4.4000000000000004</v>
      </c>
      <c r="E99" s="72">
        <v>12.5</v>
      </c>
      <c r="F99" s="72">
        <v>6.6</v>
      </c>
      <c r="G99" s="72">
        <v>11</v>
      </c>
      <c r="H99" s="72">
        <v>15.2</v>
      </c>
      <c r="I99" s="72">
        <v>19.600000000000001</v>
      </c>
      <c r="J99" s="72">
        <v>0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0</v>
      </c>
      <c r="T99" s="72">
        <v>0</v>
      </c>
      <c r="U99" s="72">
        <v>0</v>
      </c>
      <c r="V99" s="72">
        <v>42.7</v>
      </c>
      <c r="W99" s="72">
        <v>45.9</v>
      </c>
      <c r="X99" s="72">
        <v>42.8</v>
      </c>
      <c r="Y99" s="72">
        <v>39</v>
      </c>
      <c r="Z99" s="72">
        <v>35.6</v>
      </c>
      <c r="AA99" s="72">
        <v>40.6</v>
      </c>
      <c r="AB99" s="72">
        <v>37</v>
      </c>
      <c r="AC99" s="72">
        <v>34</v>
      </c>
      <c r="AD99" s="72">
        <v>35</v>
      </c>
      <c r="AE99" s="72">
        <v>29</v>
      </c>
      <c r="AF99" s="72">
        <v>19</v>
      </c>
      <c r="AG99" s="70">
        <v>75</v>
      </c>
      <c r="AH99" s="20">
        <f t="shared" ref="AH99:AH107" si="22">IF(ABS(MAX(C99:AF99))&gt;ABS(MIN(C99:AF99)),MAX(C99:AF99),MIN(C99:AF99))</f>
        <v>45.9</v>
      </c>
      <c r="AI99" s="65">
        <f t="shared" ref="AI99:AI107" si="23">INDEX($C$9:$AF$9,1,MATCH(AH99,C99:AF99,0))</f>
        <v>0.72916666666666663</v>
      </c>
    </row>
    <row r="100" spans="1:37" x14ac:dyDescent="0.25">
      <c r="A100" s="44" t="s">
        <v>138</v>
      </c>
      <c r="B100" s="71">
        <v>21.4</v>
      </c>
      <c r="C100" s="71">
        <v>18.3</v>
      </c>
      <c r="D100" s="71">
        <v>17.600000000000001</v>
      </c>
      <c r="E100" s="71">
        <v>30.5</v>
      </c>
      <c r="F100" s="71">
        <v>22.1</v>
      </c>
      <c r="G100" s="71">
        <v>26</v>
      </c>
      <c r="H100" s="71">
        <v>28</v>
      </c>
      <c r="I100" s="71">
        <v>32.4</v>
      </c>
      <c r="J100" s="71">
        <v>55</v>
      </c>
      <c r="K100" s="71">
        <v>55</v>
      </c>
      <c r="L100" s="71">
        <v>78</v>
      </c>
      <c r="M100" s="71">
        <v>80.099999999999994</v>
      </c>
      <c r="N100" s="71">
        <v>72.7</v>
      </c>
      <c r="O100" s="71">
        <v>75.8</v>
      </c>
      <c r="P100" s="71">
        <v>76.8</v>
      </c>
      <c r="Q100" s="71">
        <v>74.5</v>
      </c>
      <c r="R100" s="71">
        <v>75.5</v>
      </c>
      <c r="S100" s="71">
        <v>74.2</v>
      </c>
      <c r="T100" s="71">
        <v>83.7</v>
      </c>
      <c r="U100" s="71">
        <v>79.3</v>
      </c>
      <c r="V100" s="71">
        <v>65.2</v>
      </c>
      <c r="W100" s="71">
        <v>69.2</v>
      </c>
      <c r="X100" s="71">
        <v>65.2</v>
      </c>
      <c r="Y100" s="71">
        <v>60</v>
      </c>
      <c r="Z100" s="71">
        <v>55.9</v>
      </c>
      <c r="AA100" s="71">
        <v>62.3</v>
      </c>
      <c r="AB100" s="71">
        <v>58</v>
      </c>
      <c r="AC100" s="71">
        <v>54</v>
      </c>
      <c r="AD100" s="71">
        <v>56</v>
      </c>
      <c r="AE100" s="71">
        <v>51</v>
      </c>
      <c r="AF100" s="71">
        <v>40.6</v>
      </c>
      <c r="AG100" s="70">
        <v>240</v>
      </c>
      <c r="AH100" s="20">
        <f t="shared" si="22"/>
        <v>83.7</v>
      </c>
      <c r="AI100" s="65">
        <f t="shared" si="23"/>
        <v>0.625</v>
      </c>
    </row>
    <row r="101" spans="1:37" x14ac:dyDescent="0.25">
      <c r="A101" s="44" t="s">
        <v>137</v>
      </c>
      <c r="B101" s="71">
        <f>-65-68</f>
        <v>-133</v>
      </c>
      <c r="C101" s="71">
        <f>-66-69.6</f>
        <v>-135.6</v>
      </c>
      <c r="D101" s="71">
        <f>-61.7-65</f>
        <v>-126.7</v>
      </c>
      <c r="E101" s="71">
        <v>-162</v>
      </c>
      <c r="F101" s="71">
        <v>-135</v>
      </c>
      <c r="G101" s="71">
        <v>-130</v>
      </c>
      <c r="H101" s="71">
        <v>-116</v>
      </c>
      <c r="I101" s="71">
        <v>-100</v>
      </c>
      <c r="J101" s="71">
        <v>-55</v>
      </c>
      <c r="K101" s="71">
        <v>-45</v>
      </c>
      <c r="L101" s="71">
        <v>-44</v>
      </c>
      <c r="M101" s="71">
        <v>-49</v>
      </c>
      <c r="N101" s="71">
        <v>-51</v>
      </c>
      <c r="O101" s="71">
        <v>-69</v>
      </c>
      <c r="P101" s="71">
        <v>-57</v>
      </c>
      <c r="Q101" s="71">
        <f>-27.4-29.1</f>
        <v>-56.5</v>
      </c>
      <c r="R101" s="71">
        <f>-31.7-33.9</f>
        <v>-65.599999999999994</v>
      </c>
      <c r="S101" s="71">
        <f>-27.6-13</f>
        <v>-40.6</v>
      </c>
      <c r="T101" s="71">
        <f>-29.3-32</f>
        <v>-61.3</v>
      </c>
      <c r="U101" s="71">
        <f>-22.1-24.6</f>
        <v>-46.7</v>
      </c>
      <c r="V101" s="71">
        <v>-65</v>
      </c>
      <c r="W101" s="71">
        <f>-35.2-37.7</f>
        <v>-72.900000000000006</v>
      </c>
      <c r="X101" s="71">
        <f>-40.7-43.3</f>
        <v>-84</v>
      </c>
      <c r="Y101" s="71">
        <f>-29.8-33.9</f>
        <v>-63.7</v>
      </c>
      <c r="Z101" s="71">
        <f>-30.5-37.2</f>
        <v>-67.7</v>
      </c>
      <c r="AA101" s="71">
        <f>-41-45.4</f>
        <v>-86.4</v>
      </c>
      <c r="AB101" s="71">
        <f>-50-53</f>
        <v>-103</v>
      </c>
      <c r="AC101" s="71">
        <v>-110</v>
      </c>
      <c r="AD101" s="71">
        <v>-120</v>
      </c>
      <c r="AE101" s="71">
        <v>-150</v>
      </c>
      <c r="AF101" s="71">
        <v>-140</v>
      </c>
      <c r="AG101" s="70">
        <v>240</v>
      </c>
      <c r="AH101" s="20">
        <f t="shared" si="22"/>
        <v>-162</v>
      </c>
      <c r="AI101" s="65">
        <f t="shared" si="23"/>
        <v>0.125</v>
      </c>
    </row>
    <row r="102" spans="1:37" x14ac:dyDescent="0.25">
      <c r="A102" s="44" t="s">
        <v>136</v>
      </c>
      <c r="B102" s="71">
        <v>-4.5999999999999996</v>
      </c>
      <c r="C102" s="71">
        <v>-4.2</v>
      </c>
      <c r="D102" s="71">
        <v>-6.6</v>
      </c>
      <c r="E102" s="71">
        <v>-9.1</v>
      </c>
      <c r="F102" s="71">
        <v>-5.5</v>
      </c>
      <c r="G102" s="71">
        <v>-5.8</v>
      </c>
      <c r="H102" s="71">
        <v>-1</v>
      </c>
      <c r="I102" s="71">
        <v>4.3</v>
      </c>
      <c r="J102" s="71">
        <v>10.6</v>
      </c>
      <c r="K102" s="71">
        <v>9</v>
      </c>
      <c r="L102" s="71">
        <v>12.1</v>
      </c>
      <c r="M102" s="71">
        <v>11.1</v>
      </c>
      <c r="N102" s="71">
        <v>9.1</v>
      </c>
      <c r="O102" s="71">
        <v>11.2</v>
      </c>
      <c r="P102" s="71">
        <v>9.9</v>
      </c>
      <c r="Q102" s="71">
        <v>11.8</v>
      </c>
      <c r="R102" s="71">
        <v>10.3</v>
      </c>
      <c r="S102" s="71">
        <v>12</v>
      </c>
      <c r="T102" s="71">
        <v>9.8000000000000007</v>
      </c>
      <c r="U102" s="71">
        <v>10.9</v>
      </c>
      <c r="V102" s="71">
        <v>10.5</v>
      </c>
      <c r="W102" s="71">
        <v>11.6</v>
      </c>
      <c r="X102" s="71">
        <v>9.5</v>
      </c>
      <c r="Y102" s="71">
        <v>30.4</v>
      </c>
      <c r="Z102" s="71">
        <v>28.7</v>
      </c>
      <c r="AA102" s="71">
        <v>8.1</v>
      </c>
      <c r="AB102" s="71">
        <v>2.6</v>
      </c>
      <c r="AC102" s="71">
        <v>2</v>
      </c>
      <c r="AD102" s="71">
        <v>0</v>
      </c>
      <c r="AE102" s="71">
        <v>-6</v>
      </c>
      <c r="AF102" s="71">
        <v>-7</v>
      </c>
      <c r="AG102" s="70">
        <v>60</v>
      </c>
      <c r="AH102" s="20">
        <f t="shared" si="22"/>
        <v>30.4</v>
      </c>
      <c r="AI102" s="65">
        <f t="shared" si="23"/>
        <v>0.77083333333333337</v>
      </c>
    </row>
    <row r="103" spans="1:37" x14ac:dyDescent="0.25">
      <c r="A103" s="40" t="s">
        <v>135</v>
      </c>
      <c r="B103" s="68">
        <v>0</v>
      </c>
      <c r="C103" s="68">
        <v>0</v>
      </c>
      <c r="D103" s="68">
        <v>0</v>
      </c>
      <c r="E103" s="68">
        <v>0</v>
      </c>
      <c r="F103" s="68">
        <v>0</v>
      </c>
      <c r="G103" s="68">
        <v>0</v>
      </c>
      <c r="H103" s="68">
        <v>0</v>
      </c>
      <c r="I103" s="68">
        <v>0</v>
      </c>
      <c r="J103" s="68">
        <v>0</v>
      </c>
      <c r="K103" s="68">
        <v>0</v>
      </c>
      <c r="L103" s="68">
        <v>0</v>
      </c>
      <c r="M103" s="68">
        <v>0</v>
      </c>
      <c r="N103" s="68">
        <v>0</v>
      </c>
      <c r="O103" s="68">
        <v>0</v>
      </c>
      <c r="P103" s="68">
        <v>0</v>
      </c>
      <c r="Q103" s="68">
        <v>0</v>
      </c>
      <c r="R103" s="68">
        <v>0</v>
      </c>
      <c r="S103" s="68">
        <v>0</v>
      </c>
      <c r="T103" s="68">
        <v>0</v>
      </c>
      <c r="U103" s="68">
        <v>0</v>
      </c>
      <c r="V103" s="68">
        <v>0</v>
      </c>
      <c r="W103" s="68">
        <v>0</v>
      </c>
      <c r="X103" s="68">
        <v>40.700000000000003</v>
      </c>
      <c r="Y103" s="68">
        <v>64.599999999999994</v>
      </c>
      <c r="Z103" s="68">
        <v>62.3</v>
      </c>
      <c r="AA103" s="68">
        <v>62</v>
      </c>
      <c r="AB103" s="68">
        <v>55</v>
      </c>
      <c r="AC103" s="68">
        <v>48</v>
      </c>
      <c r="AD103" s="68">
        <v>29</v>
      </c>
      <c r="AE103" s="68">
        <v>0</v>
      </c>
      <c r="AF103" s="68">
        <v>0</v>
      </c>
      <c r="AG103" s="69">
        <v>120</v>
      </c>
      <c r="AH103" s="20">
        <f t="shared" si="22"/>
        <v>64.599999999999994</v>
      </c>
      <c r="AI103" s="65">
        <f t="shared" si="23"/>
        <v>0.77083333333333337</v>
      </c>
    </row>
    <row r="104" spans="1:37" x14ac:dyDescent="0.25">
      <c r="A104" s="40" t="s">
        <v>134</v>
      </c>
      <c r="B104" s="68">
        <v>39.200000000000003</v>
      </c>
      <c r="C104" s="68">
        <v>35.6</v>
      </c>
      <c r="D104" s="68">
        <v>35.4</v>
      </c>
      <c r="E104" s="68">
        <v>10</v>
      </c>
      <c r="F104" s="68">
        <v>20</v>
      </c>
      <c r="G104" s="68">
        <v>27.6</v>
      </c>
      <c r="H104" s="68">
        <v>31</v>
      </c>
      <c r="I104" s="68">
        <v>35</v>
      </c>
      <c r="J104" s="68">
        <v>37</v>
      </c>
      <c r="K104" s="68">
        <v>60</v>
      </c>
      <c r="L104" s="68">
        <v>57</v>
      </c>
      <c r="M104" s="68">
        <v>50.3</v>
      </c>
      <c r="N104" s="68">
        <v>62.9</v>
      </c>
      <c r="O104" s="68">
        <v>62.4</v>
      </c>
      <c r="P104" s="68">
        <v>65.5</v>
      </c>
      <c r="Q104" s="68">
        <v>69.900000000000006</v>
      </c>
      <c r="R104" s="68">
        <v>58.9</v>
      </c>
      <c r="S104" s="68">
        <v>67.8</v>
      </c>
      <c r="T104" s="68">
        <v>66.5</v>
      </c>
      <c r="U104" s="68">
        <v>67.5</v>
      </c>
      <c r="V104" s="68">
        <v>62</v>
      </c>
      <c r="W104" s="68">
        <v>50.1</v>
      </c>
      <c r="X104" s="68">
        <v>45.2</v>
      </c>
      <c r="Y104" s="68">
        <v>63.3</v>
      </c>
      <c r="Z104" s="68">
        <v>51.7</v>
      </c>
      <c r="AA104" s="68">
        <v>57.2</v>
      </c>
      <c r="AB104" s="68">
        <v>56</v>
      </c>
      <c r="AC104" s="68">
        <v>49</v>
      </c>
      <c r="AD104" s="68">
        <v>32</v>
      </c>
      <c r="AE104" s="68">
        <v>18</v>
      </c>
      <c r="AF104" s="68">
        <v>37</v>
      </c>
      <c r="AG104" s="69"/>
      <c r="AH104" s="20">
        <f t="shared" si="22"/>
        <v>69.900000000000006</v>
      </c>
      <c r="AI104" s="65">
        <f t="shared" si="23"/>
        <v>0.5</v>
      </c>
    </row>
    <row r="105" spans="1:37" x14ac:dyDescent="0.25">
      <c r="A105" s="40" t="s">
        <v>133</v>
      </c>
      <c r="B105" s="68">
        <v>64.2</v>
      </c>
      <c r="C105" s="68">
        <v>67.2</v>
      </c>
      <c r="D105" s="68">
        <v>60.3</v>
      </c>
      <c r="E105" s="68">
        <v>50</v>
      </c>
      <c r="F105" s="68">
        <v>40</v>
      </c>
      <c r="G105" s="68">
        <v>35</v>
      </c>
      <c r="H105" s="68">
        <v>38</v>
      </c>
      <c r="I105" s="68">
        <v>16</v>
      </c>
      <c r="J105" s="68">
        <v>9</v>
      </c>
      <c r="K105" s="68">
        <v>28</v>
      </c>
      <c r="L105" s="68">
        <v>5.2</v>
      </c>
      <c r="M105" s="68">
        <v>3.3</v>
      </c>
      <c r="N105" s="68">
        <v>18.899999999999999</v>
      </c>
      <c r="O105" s="68">
        <v>12.9</v>
      </c>
      <c r="P105" s="68">
        <v>16.100000000000001</v>
      </c>
      <c r="Q105" s="68">
        <v>25.2</v>
      </c>
      <c r="R105" s="68">
        <v>32.5</v>
      </c>
      <c r="S105" s="68">
        <v>16.8</v>
      </c>
      <c r="T105" s="68">
        <v>12.6</v>
      </c>
      <c r="U105" s="68">
        <v>18.399999999999999</v>
      </c>
      <c r="V105" s="68">
        <v>15.2</v>
      </c>
      <c r="W105" s="68">
        <v>23.4</v>
      </c>
      <c r="X105" s="68">
        <v>20.8</v>
      </c>
      <c r="Y105" s="68">
        <v>32</v>
      </c>
      <c r="Z105" s="68">
        <v>37.1</v>
      </c>
      <c r="AA105" s="68">
        <v>23.9</v>
      </c>
      <c r="AB105" s="68">
        <v>24</v>
      </c>
      <c r="AC105" s="68">
        <v>34</v>
      </c>
      <c r="AD105" s="68">
        <v>29</v>
      </c>
      <c r="AE105" s="68">
        <v>25</v>
      </c>
      <c r="AF105" s="68">
        <v>55</v>
      </c>
      <c r="AG105" s="48"/>
      <c r="AH105" s="20">
        <f t="shared" si="22"/>
        <v>67.2</v>
      </c>
      <c r="AI105" s="65">
        <f t="shared" si="23"/>
        <v>4.1666666666666664E-2</v>
      </c>
    </row>
    <row r="106" spans="1:37" x14ac:dyDescent="0.25">
      <c r="A106" s="67" t="s">
        <v>132</v>
      </c>
      <c r="B106" s="66">
        <v>100.9</v>
      </c>
      <c r="C106" s="66">
        <v>102.9</v>
      </c>
      <c r="D106" s="66">
        <v>103.2</v>
      </c>
      <c r="E106" s="66">
        <v>107</v>
      </c>
      <c r="F106" s="66">
        <v>108</v>
      </c>
      <c r="G106" s="66">
        <v>108</v>
      </c>
      <c r="H106" s="66">
        <v>108</v>
      </c>
      <c r="I106" s="66">
        <v>110</v>
      </c>
      <c r="J106" s="66">
        <v>105</v>
      </c>
      <c r="K106" s="66">
        <v>102</v>
      </c>
      <c r="L106" s="66">
        <v>95</v>
      </c>
      <c r="M106" s="66">
        <v>95.3</v>
      </c>
      <c r="N106" s="66">
        <v>96.6</v>
      </c>
      <c r="O106" s="66">
        <v>98.4</v>
      </c>
      <c r="P106" s="66">
        <v>95.1</v>
      </c>
      <c r="Q106" s="66">
        <v>96.9</v>
      </c>
      <c r="R106" s="66">
        <v>98.9</v>
      </c>
      <c r="S106" s="66">
        <v>83.4</v>
      </c>
      <c r="T106" s="66">
        <v>96.4</v>
      </c>
      <c r="U106" s="66">
        <v>97.2</v>
      </c>
      <c r="V106" s="66">
        <v>94.6</v>
      </c>
      <c r="W106" s="66">
        <v>92.2</v>
      </c>
      <c r="X106" s="66">
        <v>88.7</v>
      </c>
      <c r="Y106" s="66">
        <v>81.599999999999994</v>
      </c>
      <c r="Z106" s="66">
        <v>74.5</v>
      </c>
      <c r="AA106" s="66">
        <v>80</v>
      </c>
      <c r="AB106" s="66">
        <v>84</v>
      </c>
      <c r="AC106" s="66">
        <v>85</v>
      </c>
      <c r="AD106" s="66">
        <v>89</v>
      </c>
      <c r="AE106" s="66">
        <v>98</v>
      </c>
      <c r="AF106" s="66">
        <v>98</v>
      </c>
      <c r="AG106" s="48"/>
      <c r="AH106" s="20">
        <f t="shared" si="22"/>
        <v>110</v>
      </c>
      <c r="AI106" s="65">
        <f t="shared" si="23"/>
        <v>0.25</v>
      </c>
    </row>
    <row r="107" spans="1:37" ht="15.75" thickBot="1" x14ac:dyDescent="0.3">
      <c r="A107" s="67" t="s">
        <v>131</v>
      </c>
      <c r="B107" s="66">
        <v>91</v>
      </c>
      <c r="C107" s="66">
        <v>89.7</v>
      </c>
      <c r="D107" s="66">
        <v>75.099999999999994</v>
      </c>
      <c r="E107" s="66">
        <v>100</v>
      </c>
      <c r="F107" s="66">
        <v>90</v>
      </c>
      <c r="G107" s="66">
        <v>80</v>
      </c>
      <c r="H107" s="66">
        <v>73</v>
      </c>
      <c r="I107" s="66">
        <v>65</v>
      </c>
      <c r="J107" s="66">
        <v>40</v>
      </c>
      <c r="K107" s="66">
        <v>31.2</v>
      </c>
      <c r="L107" s="66">
        <v>40</v>
      </c>
      <c r="M107" s="66">
        <v>43.4</v>
      </c>
      <c r="N107" s="66">
        <v>13.3</v>
      </c>
      <c r="O107" s="66">
        <v>12.7</v>
      </c>
      <c r="P107" s="66">
        <v>12.2</v>
      </c>
      <c r="Q107" s="66">
        <v>9.9</v>
      </c>
      <c r="R107" s="66">
        <v>45.2</v>
      </c>
      <c r="S107" s="66">
        <v>85.4</v>
      </c>
      <c r="T107" s="66">
        <v>88.1</v>
      </c>
      <c r="U107" s="66">
        <v>73.2</v>
      </c>
      <c r="V107" s="66">
        <v>46</v>
      </c>
      <c r="W107" s="66">
        <v>50.3</v>
      </c>
      <c r="X107" s="66">
        <v>57.1</v>
      </c>
      <c r="Y107" s="66">
        <v>48.4</v>
      </c>
      <c r="Z107" s="66">
        <v>56.2</v>
      </c>
      <c r="AA107" s="66">
        <v>61.9</v>
      </c>
      <c r="AB107" s="66">
        <v>67</v>
      </c>
      <c r="AC107" s="66">
        <v>68</v>
      </c>
      <c r="AD107" s="66">
        <v>77</v>
      </c>
      <c r="AE107" s="66">
        <v>98</v>
      </c>
      <c r="AF107" s="66">
        <v>86</v>
      </c>
      <c r="AG107" s="48"/>
      <c r="AH107" s="20">
        <f t="shared" si="22"/>
        <v>100</v>
      </c>
      <c r="AI107" s="65">
        <f t="shared" si="23"/>
        <v>0.125</v>
      </c>
    </row>
    <row r="108" spans="1:37" ht="15.75" thickBot="1" x14ac:dyDescent="0.3">
      <c r="A108" s="64" t="s">
        <v>130</v>
      </c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2"/>
      <c r="AH108" s="20"/>
      <c r="AI108" s="19"/>
      <c r="AK108" s="41"/>
    </row>
    <row r="109" spans="1:37" x14ac:dyDescent="0.25">
      <c r="A109" s="61" t="s">
        <v>129</v>
      </c>
      <c r="B109" s="60"/>
      <c r="C109" s="56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59">
        <v>9.94</v>
      </c>
      <c r="AH109" s="20"/>
      <c r="AI109" s="19"/>
      <c r="AK109" s="41"/>
    </row>
    <row r="110" spans="1:37" x14ac:dyDescent="0.25">
      <c r="A110" s="44" t="s">
        <v>128</v>
      </c>
      <c r="B110" s="60"/>
      <c r="C110" s="56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59"/>
      <c r="AH110" s="20"/>
      <c r="AI110" s="19"/>
      <c r="AK110" s="41"/>
    </row>
    <row r="111" spans="1:37" x14ac:dyDescent="0.25">
      <c r="A111" s="44" t="s">
        <v>127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/>
      <c r="AH111" s="20"/>
      <c r="AI111" s="19"/>
      <c r="AK111" s="41"/>
    </row>
    <row r="112" spans="1:37" x14ac:dyDescent="0.25">
      <c r="A112" s="44" t="s">
        <v>126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125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124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123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122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121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120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119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118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117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116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115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114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113</v>
      </c>
      <c r="B125" s="43"/>
      <c r="C125" s="57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58">
        <v>9.9</v>
      </c>
      <c r="AH125" s="20"/>
      <c r="AI125" s="19"/>
      <c r="AK125" s="41"/>
    </row>
    <row r="126" spans="1:37" x14ac:dyDescent="0.25">
      <c r="A126" s="40" t="s">
        <v>112</v>
      </c>
      <c r="B126" s="43"/>
      <c r="C126" s="57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54">
        <v>9.6579999999999995</v>
      </c>
      <c r="AH126" s="20"/>
      <c r="AI126" s="19"/>
      <c r="AK126" s="41"/>
    </row>
    <row r="127" spans="1:37" x14ac:dyDescent="0.25">
      <c r="A127" s="40" t="s">
        <v>111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4">
        <v>9.6</v>
      </c>
      <c r="AH127" s="20"/>
      <c r="AI127" s="19"/>
      <c r="AK127" s="41"/>
    </row>
    <row r="128" spans="1:37" x14ac:dyDescent="0.25">
      <c r="A128" s="40" t="s">
        <v>110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9.51</v>
      </c>
      <c r="AH128" s="20"/>
      <c r="AI128" s="19"/>
      <c r="AK128" s="41"/>
    </row>
    <row r="129" spans="1:37" x14ac:dyDescent="0.25">
      <c r="A129" s="40" t="s">
        <v>109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9.4</v>
      </c>
      <c r="AH129" s="20"/>
      <c r="AI129" s="19"/>
      <c r="AK129" s="41"/>
    </row>
    <row r="130" spans="1:37" x14ac:dyDescent="0.25">
      <c r="A130" s="40" t="s">
        <v>108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8.8000000000000007</v>
      </c>
      <c r="AH130" s="20"/>
      <c r="AI130" s="19"/>
      <c r="AK130" s="41"/>
    </row>
    <row r="131" spans="1:37" x14ac:dyDescent="0.25">
      <c r="A131" s="40" t="s">
        <v>107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8.5</v>
      </c>
      <c r="AH131" s="20"/>
      <c r="AI131" s="19"/>
      <c r="AK131" s="41"/>
    </row>
    <row r="132" spans="1:37" x14ac:dyDescent="0.25">
      <c r="A132" s="40" t="s">
        <v>106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8.5</v>
      </c>
      <c r="AH132" s="20"/>
      <c r="AI132" s="19"/>
      <c r="AK132" s="41"/>
    </row>
    <row r="133" spans="1:37" x14ac:dyDescent="0.25">
      <c r="A133" s="40" t="s">
        <v>105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8.4</v>
      </c>
      <c r="AH133" s="20"/>
      <c r="AI133" s="19"/>
      <c r="AK133" s="41"/>
    </row>
    <row r="134" spans="1:37" ht="13.5" customHeight="1" x14ac:dyDescent="0.25">
      <c r="A134" s="40" t="s">
        <v>104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</v>
      </c>
      <c r="AH134" s="20"/>
      <c r="AI134" s="19"/>
      <c r="AK134" s="41"/>
    </row>
    <row r="135" spans="1:37" x14ac:dyDescent="0.25">
      <c r="A135" s="40" t="s">
        <v>103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</v>
      </c>
      <c r="AH135" s="20"/>
      <c r="AI135" s="19"/>
      <c r="AK135" s="41"/>
    </row>
    <row r="136" spans="1:37" x14ac:dyDescent="0.25">
      <c r="A136" s="40" t="s">
        <v>102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101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7.8</v>
      </c>
      <c r="AH137" s="20"/>
      <c r="AI137" s="19"/>
      <c r="AK137" s="41"/>
    </row>
    <row r="138" spans="1:37" x14ac:dyDescent="0.25">
      <c r="A138" s="40" t="s">
        <v>100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7.6</v>
      </c>
      <c r="AH138" s="20"/>
      <c r="AI138" s="19"/>
      <c r="AK138" s="41"/>
    </row>
    <row r="139" spans="1:37" x14ac:dyDescent="0.25">
      <c r="A139" s="40" t="s">
        <v>99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7.5</v>
      </c>
      <c r="AH139" s="20"/>
      <c r="AI139" s="19"/>
      <c r="AK139" s="41"/>
    </row>
    <row r="140" spans="1:37" x14ac:dyDescent="0.25">
      <c r="A140" s="40" t="s">
        <v>98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7.5</v>
      </c>
      <c r="AH140" s="20"/>
      <c r="AI140" s="19"/>
      <c r="AK140" s="41"/>
    </row>
    <row r="141" spans="1:37" x14ac:dyDescent="0.25">
      <c r="A141" s="40" t="s">
        <v>97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</v>
      </c>
      <c r="AH141" s="20"/>
      <c r="AI141" s="19"/>
      <c r="AK141" s="41"/>
    </row>
    <row r="142" spans="1:37" x14ac:dyDescent="0.25">
      <c r="A142" s="40" t="s">
        <v>96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</v>
      </c>
      <c r="AH142" s="20"/>
      <c r="AI142" s="19"/>
      <c r="AK142" s="41"/>
    </row>
    <row r="143" spans="1:37" x14ac:dyDescent="0.25">
      <c r="A143" s="40" t="s">
        <v>95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94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93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6.6</v>
      </c>
      <c r="AH145" s="20"/>
      <c r="AI145" s="19"/>
      <c r="AK145" s="41"/>
    </row>
    <row r="146" spans="1:37" x14ac:dyDescent="0.25">
      <c r="A146" s="40" t="s">
        <v>92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6.6</v>
      </c>
      <c r="AH146" s="20"/>
      <c r="AI146" s="19"/>
      <c r="AK146" s="41"/>
    </row>
    <row r="147" spans="1:37" x14ac:dyDescent="0.25">
      <c r="A147" s="40" t="s">
        <v>91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6.4</v>
      </c>
      <c r="AH147" s="20"/>
      <c r="AI147" s="19"/>
      <c r="AK147" s="41"/>
    </row>
    <row r="148" spans="1:37" x14ac:dyDescent="0.25">
      <c r="A148" s="40" t="s">
        <v>90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</v>
      </c>
      <c r="AH148" s="20"/>
      <c r="AI148" s="19"/>
      <c r="AK148" s="41"/>
    </row>
    <row r="149" spans="1:37" x14ac:dyDescent="0.25">
      <c r="A149" s="40" t="s">
        <v>89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5.0999999999999996</v>
      </c>
      <c r="AH149" s="20"/>
      <c r="AI149" s="19"/>
      <c r="AK149" s="41"/>
    </row>
    <row r="150" spans="1:37" x14ac:dyDescent="0.25">
      <c r="A150" s="40" t="s">
        <v>88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5</v>
      </c>
      <c r="AH150" s="20"/>
      <c r="AI150" s="19"/>
      <c r="AK150" s="41"/>
    </row>
    <row r="151" spans="1:37" x14ac:dyDescent="0.25">
      <c r="A151" s="44" t="s">
        <v>87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8">
        <v>5</v>
      </c>
      <c r="AH151" s="20"/>
      <c r="AI151" s="19"/>
      <c r="AK151" s="41"/>
    </row>
    <row r="152" spans="1:37" x14ac:dyDescent="0.25">
      <c r="A152" s="40" t="s">
        <v>86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0" t="s">
        <v>85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4">
        <v>5</v>
      </c>
      <c r="AH153" s="20"/>
      <c r="AI153" s="19"/>
      <c r="AK153" s="41"/>
    </row>
    <row r="154" spans="1:37" x14ac:dyDescent="0.25">
      <c r="A154" s="40" t="s">
        <v>84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83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82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81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4.9930000000000003</v>
      </c>
      <c r="AH157" s="20"/>
      <c r="AI157" s="19"/>
      <c r="AK157" s="41"/>
    </row>
    <row r="158" spans="1:37" x14ac:dyDescent="0.25">
      <c r="A158" s="40" t="s">
        <v>80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4.9800000000000004</v>
      </c>
      <c r="AH158" s="20"/>
      <c r="AI158" s="19"/>
      <c r="AK158" s="41"/>
    </row>
    <row r="159" spans="1:37" x14ac:dyDescent="0.25">
      <c r="A159" s="40" t="s">
        <v>79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4.95</v>
      </c>
      <c r="AH159" s="20"/>
      <c r="AI159" s="19"/>
      <c r="AK159" s="41"/>
    </row>
    <row r="160" spans="1:37" x14ac:dyDescent="0.25">
      <c r="A160" s="40" t="s">
        <v>78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4.95</v>
      </c>
      <c r="AH160" s="20"/>
      <c r="AI160" s="19"/>
      <c r="AK160" s="41"/>
    </row>
    <row r="161" spans="1:37" x14ac:dyDescent="0.25">
      <c r="A161" s="40" t="s">
        <v>77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4.8</v>
      </c>
      <c r="AH161" s="20"/>
      <c r="AI161" s="19"/>
      <c r="AK161" s="41"/>
    </row>
    <row r="162" spans="1:37" x14ac:dyDescent="0.25">
      <c r="A162" s="40" t="s">
        <v>76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4.8</v>
      </c>
      <c r="AH162" s="20"/>
      <c r="AI162" s="19"/>
      <c r="AK162" s="41"/>
    </row>
    <row r="163" spans="1:37" x14ac:dyDescent="0.25">
      <c r="A163" s="40" t="s">
        <v>75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74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4.5</v>
      </c>
      <c r="AH164" s="20"/>
      <c r="AI164" s="19"/>
      <c r="AK164" s="41"/>
    </row>
    <row r="165" spans="1:37" x14ac:dyDescent="0.25">
      <c r="A165" s="40" t="s">
        <v>73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4.5</v>
      </c>
      <c r="AH165" s="20"/>
      <c r="AI165" s="19"/>
      <c r="AK165" s="41"/>
    </row>
    <row r="166" spans="1:37" x14ac:dyDescent="0.25">
      <c r="A166" s="40" t="s">
        <v>72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4.4550000000000001</v>
      </c>
      <c r="AH166" s="20"/>
      <c r="AI166" s="19"/>
      <c r="AK166" s="41"/>
    </row>
    <row r="167" spans="1:37" x14ac:dyDescent="0.25">
      <c r="A167" s="40" t="s">
        <v>71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4.41</v>
      </c>
      <c r="AH167" s="20"/>
      <c r="AI167" s="19"/>
      <c r="AK167" s="41"/>
    </row>
    <row r="168" spans="1:37" x14ac:dyDescent="0.25">
      <c r="A168" s="40" t="s">
        <v>70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4.4000000000000004</v>
      </c>
      <c r="AH168" s="20"/>
      <c r="AI168" s="19"/>
      <c r="AK168" s="41"/>
    </row>
    <row r="169" spans="1:37" x14ac:dyDescent="0.25">
      <c r="A169" s="40" t="s">
        <v>69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4.3600000000000003</v>
      </c>
      <c r="AH169" s="20"/>
      <c r="AI169" s="19"/>
      <c r="AK169" s="41"/>
    </row>
    <row r="170" spans="1:37" x14ac:dyDescent="0.25">
      <c r="A170" s="40" t="s">
        <v>68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4.2</v>
      </c>
      <c r="AH170" s="20"/>
      <c r="AI170" s="19"/>
      <c r="AK170" s="41"/>
    </row>
    <row r="171" spans="1:37" x14ac:dyDescent="0.25">
      <c r="A171" s="40" t="s">
        <v>67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</v>
      </c>
      <c r="AH171" s="20"/>
      <c r="AI171" s="19"/>
      <c r="AK171" s="41"/>
    </row>
    <row r="172" spans="1:37" x14ac:dyDescent="0.25">
      <c r="A172" s="40" t="s">
        <v>66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</v>
      </c>
      <c r="AH172" s="20"/>
      <c r="AI172" s="19"/>
      <c r="AK172" s="41"/>
    </row>
    <row r="173" spans="1:37" x14ac:dyDescent="0.25">
      <c r="A173" s="40" t="s">
        <v>65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64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63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62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61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60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59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3.75</v>
      </c>
      <c r="AH179" s="20"/>
      <c r="AI179" s="19"/>
      <c r="AK179" s="41"/>
    </row>
    <row r="180" spans="1:37" x14ac:dyDescent="0.25">
      <c r="A180" s="40" t="s">
        <v>58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3.52</v>
      </c>
      <c r="AH180" s="20"/>
      <c r="AI180" s="19"/>
      <c r="AK180" s="41"/>
    </row>
    <row r="181" spans="1:37" x14ac:dyDescent="0.25">
      <c r="A181" s="40" t="s">
        <v>57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3.33</v>
      </c>
      <c r="AH181" s="20"/>
      <c r="AI181" s="19"/>
      <c r="AK181" s="41"/>
    </row>
    <row r="182" spans="1:37" x14ac:dyDescent="0.25">
      <c r="A182" s="40" t="s">
        <v>56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3.2</v>
      </c>
      <c r="AH182" s="20"/>
      <c r="AI182" s="19"/>
      <c r="AK182" s="41"/>
    </row>
    <row r="183" spans="1:37" x14ac:dyDescent="0.25">
      <c r="A183" s="40" t="s">
        <v>55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</v>
      </c>
      <c r="AH183" s="20"/>
      <c r="AI183" s="19"/>
      <c r="AK183" s="41"/>
    </row>
    <row r="184" spans="1:37" x14ac:dyDescent="0.25">
      <c r="A184" s="40" t="s">
        <v>54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</v>
      </c>
      <c r="AH184" s="20"/>
      <c r="AI184" s="19"/>
      <c r="AK184" s="41"/>
    </row>
    <row r="185" spans="1:37" x14ac:dyDescent="0.25">
      <c r="A185" s="40" t="s">
        <v>53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52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51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50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49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48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47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2.83</v>
      </c>
      <c r="AH191" s="20"/>
      <c r="AI191" s="19"/>
      <c r="AK191" s="41"/>
    </row>
    <row r="192" spans="1:37" x14ac:dyDescent="0.25">
      <c r="A192" s="40" t="s">
        <v>46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2.5</v>
      </c>
      <c r="AH192" s="20"/>
      <c r="AI192" s="19"/>
      <c r="AK192" s="41"/>
    </row>
    <row r="193" spans="1:37" x14ac:dyDescent="0.25">
      <c r="A193" s="40" t="s">
        <v>45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2.5</v>
      </c>
      <c r="AH193" s="20"/>
      <c r="AI193" s="19"/>
      <c r="AK193" s="41"/>
    </row>
    <row r="194" spans="1:37" x14ac:dyDescent="0.25">
      <c r="A194" s="40" t="s">
        <v>44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2.4</v>
      </c>
      <c r="AH194" s="20"/>
      <c r="AI194" s="19"/>
      <c r="AK194" s="41"/>
    </row>
    <row r="195" spans="1:37" x14ac:dyDescent="0.25">
      <c r="A195" s="40" t="s">
        <v>43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2.4</v>
      </c>
      <c r="AH195" s="20"/>
      <c r="AI195" s="19"/>
      <c r="AK195" s="41"/>
    </row>
    <row r="196" spans="1:37" x14ac:dyDescent="0.25">
      <c r="A196" s="40" t="s">
        <v>42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2.2000000000000002</v>
      </c>
      <c r="AH196" s="20"/>
      <c r="AI196" s="19"/>
      <c r="AK196" s="41"/>
    </row>
    <row r="197" spans="1:37" x14ac:dyDescent="0.25">
      <c r="A197" s="40" t="s">
        <v>41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</v>
      </c>
      <c r="AH197" s="20"/>
      <c r="AI197" s="19"/>
      <c r="AK197" s="41"/>
    </row>
    <row r="198" spans="1:37" x14ac:dyDescent="0.25">
      <c r="A198" s="40" t="s">
        <v>40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</v>
      </c>
      <c r="AH198" s="20"/>
      <c r="AI198" s="19"/>
      <c r="AK198" s="41"/>
    </row>
    <row r="199" spans="1:37" x14ac:dyDescent="0.25">
      <c r="A199" s="40" t="s">
        <v>39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38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1.8</v>
      </c>
      <c r="AH200" s="20"/>
      <c r="AI200" s="19"/>
      <c r="AK200" s="41"/>
    </row>
    <row r="201" spans="1:37" x14ac:dyDescent="0.25">
      <c r="A201" s="40" t="s">
        <v>37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1.8</v>
      </c>
      <c r="AH201" s="20"/>
      <c r="AI201" s="19"/>
      <c r="AK201" s="41"/>
    </row>
    <row r="202" spans="1:37" x14ac:dyDescent="0.25">
      <c r="A202" s="40" t="s">
        <v>36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1.65</v>
      </c>
      <c r="AH202" s="20"/>
      <c r="AI202" s="19"/>
      <c r="AK202" s="41"/>
    </row>
    <row r="203" spans="1:37" x14ac:dyDescent="0.25">
      <c r="A203" s="40" t="s">
        <v>35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1.5</v>
      </c>
      <c r="AH203" s="20"/>
      <c r="AI203" s="19"/>
      <c r="AK203" s="41"/>
    </row>
    <row r="204" spans="1:37" x14ac:dyDescent="0.25">
      <c r="A204" s="40" t="s">
        <v>34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0.998</v>
      </c>
      <c r="AH204" s="20"/>
      <c r="AI204" s="19"/>
      <c r="AK204" s="41"/>
    </row>
    <row r="205" spans="1:37" x14ac:dyDescent="0.25">
      <c r="A205" s="40" t="s">
        <v>33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0.997</v>
      </c>
      <c r="AH205" s="20"/>
      <c r="AI205" s="19"/>
      <c r="AK205" s="41"/>
    </row>
    <row r="206" spans="1:37" x14ac:dyDescent="0.25">
      <c r="A206" s="40" t="s">
        <v>32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0.997</v>
      </c>
      <c r="AH206" s="20"/>
      <c r="AI206" s="19"/>
      <c r="AK206" s="41"/>
    </row>
    <row r="207" spans="1:37" x14ac:dyDescent="0.25">
      <c r="A207" s="40" t="s">
        <v>31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0.996</v>
      </c>
      <c r="AH207" s="20"/>
      <c r="AI207" s="19"/>
      <c r="AK207" s="41"/>
    </row>
    <row r="208" spans="1:37" x14ac:dyDescent="0.25">
      <c r="A208" s="40" t="s">
        <v>30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0.996</v>
      </c>
      <c r="AH208" s="20"/>
      <c r="AI208" s="19"/>
      <c r="AK208" s="41"/>
    </row>
    <row r="209" spans="1:37" x14ac:dyDescent="0.25">
      <c r="A209" s="40" t="s">
        <v>29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28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0.995</v>
      </c>
      <c r="AH210" s="20"/>
      <c r="AI210" s="19"/>
      <c r="AK210" s="41"/>
    </row>
    <row r="211" spans="1:37" x14ac:dyDescent="0.25">
      <c r="A211" s="40" t="s">
        <v>27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0.99299999999999999</v>
      </c>
      <c r="AH211" s="20"/>
      <c r="AI211" s="19"/>
      <c r="AK211" s="41"/>
    </row>
    <row r="212" spans="1:37" x14ac:dyDescent="0.25">
      <c r="A212" s="40" t="s">
        <v>26</v>
      </c>
      <c r="B212" s="43"/>
      <c r="C212" s="56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</v>
      </c>
      <c r="AH212" s="20"/>
      <c r="AI212" s="19"/>
      <c r="AK212" s="41"/>
    </row>
    <row r="213" spans="1:37" ht="15.75" thickBot="1" x14ac:dyDescent="0.3">
      <c r="A213" s="40" t="s">
        <v>25</v>
      </c>
      <c r="B213" s="39"/>
      <c r="C213" s="55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54">
        <v>0.97899999999999998</v>
      </c>
      <c r="AH213" s="20"/>
      <c r="AI213" s="19"/>
      <c r="AK213" s="41"/>
    </row>
    <row r="214" spans="1:37" ht="15.75" thickBot="1" x14ac:dyDescent="0.3">
      <c r="A214" s="53" t="s">
        <v>24</v>
      </c>
      <c r="B214" s="52">
        <f t="shared" ref="B214:AG214" si="24">SUM(B109:B213)</f>
        <v>0</v>
      </c>
      <c r="C214" s="36">
        <f t="shared" si="24"/>
        <v>0</v>
      </c>
      <c r="D214" s="36">
        <f t="shared" si="24"/>
        <v>0</v>
      </c>
      <c r="E214" s="36">
        <f t="shared" si="24"/>
        <v>0</v>
      </c>
      <c r="F214" s="36">
        <f t="shared" si="24"/>
        <v>0</v>
      </c>
      <c r="G214" s="36">
        <f t="shared" si="24"/>
        <v>0</v>
      </c>
      <c r="H214" s="36">
        <f t="shared" si="24"/>
        <v>0</v>
      </c>
      <c r="I214" s="36">
        <f t="shared" si="24"/>
        <v>0</v>
      </c>
      <c r="J214" s="36">
        <f t="shared" si="24"/>
        <v>0</v>
      </c>
      <c r="K214" s="36">
        <f t="shared" si="24"/>
        <v>0</v>
      </c>
      <c r="L214" s="36">
        <f t="shared" si="24"/>
        <v>0</v>
      </c>
      <c r="M214" s="36">
        <f t="shared" si="24"/>
        <v>0</v>
      </c>
      <c r="N214" s="36">
        <f t="shared" si="24"/>
        <v>0</v>
      </c>
      <c r="O214" s="36">
        <f t="shared" si="24"/>
        <v>0</v>
      </c>
      <c r="P214" s="36">
        <f t="shared" si="24"/>
        <v>0</v>
      </c>
      <c r="Q214" s="36">
        <f t="shared" si="24"/>
        <v>0</v>
      </c>
      <c r="R214" s="36">
        <f t="shared" si="24"/>
        <v>0</v>
      </c>
      <c r="S214" s="36">
        <f t="shared" si="24"/>
        <v>0</v>
      </c>
      <c r="T214" s="36">
        <f t="shared" si="24"/>
        <v>0</v>
      </c>
      <c r="U214" s="36">
        <f t="shared" si="24"/>
        <v>0</v>
      </c>
      <c r="V214" s="36">
        <f t="shared" si="24"/>
        <v>0</v>
      </c>
      <c r="W214" s="36">
        <f t="shared" si="24"/>
        <v>0</v>
      </c>
      <c r="X214" s="36">
        <f t="shared" si="24"/>
        <v>0</v>
      </c>
      <c r="Y214" s="36">
        <f t="shared" si="24"/>
        <v>0</v>
      </c>
      <c r="Z214" s="36">
        <f t="shared" si="24"/>
        <v>0</v>
      </c>
      <c r="AA214" s="36">
        <f t="shared" si="24"/>
        <v>0</v>
      </c>
      <c r="AB214" s="36">
        <f t="shared" si="24"/>
        <v>0</v>
      </c>
      <c r="AC214" s="36">
        <f t="shared" si="24"/>
        <v>0</v>
      </c>
      <c r="AD214" s="36">
        <f t="shared" si="24"/>
        <v>0</v>
      </c>
      <c r="AE214" s="36">
        <f t="shared" si="24"/>
        <v>0</v>
      </c>
      <c r="AF214" s="51">
        <f t="shared" si="24"/>
        <v>0</v>
      </c>
      <c r="AG214" s="50">
        <f t="shared" si="24"/>
        <v>412.72299999999984</v>
      </c>
      <c r="AH214" s="20"/>
      <c r="AI214" s="19"/>
      <c r="AK214" s="41"/>
    </row>
    <row r="215" spans="1:37" ht="15.75" thickBot="1" x14ac:dyDescent="0.3">
      <c r="A215" s="49" t="s">
        <v>17</v>
      </c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48"/>
      <c r="AH215" s="20"/>
      <c r="AI215" s="19"/>
      <c r="AK215" s="41"/>
    </row>
    <row r="216" spans="1:37" x14ac:dyDescent="0.25">
      <c r="A216" s="47" t="s">
        <v>23</v>
      </c>
      <c r="B216" s="46">
        <f t="shared" ref="B216:B221" si="25">AF216</f>
        <v>0</v>
      </c>
      <c r="C216" s="46">
        <v>0.3</v>
      </c>
      <c r="D216" s="46">
        <f t="shared" ref="D216:P221" si="26">C216</f>
        <v>0.3</v>
      </c>
      <c r="E216" s="46">
        <f t="shared" si="26"/>
        <v>0.3</v>
      </c>
      <c r="F216" s="46">
        <f t="shared" si="26"/>
        <v>0.3</v>
      </c>
      <c r="G216" s="46">
        <f t="shared" si="26"/>
        <v>0.3</v>
      </c>
      <c r="H216" s="46">
        <f t="shared" si="26"/>
        <v>0.3</v>
      </c>
      <c r="I216" s="46">
        <f t="shared" si="26"/>
        <v>0.3</v>
      </c>
      <c r="J216" s="46">
        <f t="shared" si="26"/>
        <v>0.3</v>
      </c>
      <c r="K216" s="46">
        <f t="shared" si="26"/>
        <v>0.3</v>
      </c>
      <c r="L216" s="46">
        <f t="shared" si="26"/>
        <v>0.3</v>
      </c>
      <c r="M216" s="46">
        <f t="shared" si="26"/>
        <v>0.3</v>
      </c>
      <c r="N216" s="46">
        <f t="shared" si="26"/>
        <v>0.3</v>
      </c>
      <c r="O216" s="46">
        <f t="shared" si="26"/>
        <v>0.3</v>
      </c>
      <c r="P216" s="46">
        <f t="shared" si="26"/>
        <v>0.3</v>
      </c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5">
        <v>2.4</v>
      </c>
      <c r="AH216" s="20"/>
      <c r="AI216" s="19"/>
      <c r="AK216" s="41"/>
    </row>
    <row r="217" spans="1:37" x14ac:dyDescent="0.25">
      <c r="A217" s="44" t="s">
        <v>22</v>
      </c>
      <c r="B217" s="43">
        <f t="shared" si="25"/>
        <v>0</v>
      </c>
      <c r="C217" s="43">
        <v>0.4</v>
      </c>
      <c r="D217" s="43">
        <f t="shared" si="26"/>
        <v>0.4</v>
      </c>
      <c r="E217" s="43">
        <f t="shared" si="26"/>
        <v>0.4</v>
      </c>
      <c r="F217" s="43">
        <f t="shared" si="26"/>
        <v>0.4</v>
      </c>
      <c r="G217" s="43">
        <f t="shared" si="26"/>
        <v>0.4</v>
      </c>
      <c r="H217" s="43">
        <f t="shared" si="26"/>
        <v>0.4</v>
      </c>
      <c r="I217" s="43">
        <f t="shared" si="26"/>
        <v>0.4</v>
      </c>
      <c r="J217" s="43">
        <f t="shared" si="26"/>
        <v>0.4</v>
      </c>
      <c r="K217" s="43">
        <f t="shared" si="26"/>
        <v>0.4</v>
      </c>
      <c r="L217" s="43">
        <f t="shared" si="26"/>
        <v>0.4</v>
      </c>
      <c r="M217" s="43">
        <f t="shared" si="26"/>
        <v>0.4</v>
      </c>
      <c r="N217" s="43">
        <f t="shared" si="26"/>
        <v>0.4</v>
      </c>
      <c r="O217" s="43">
        <f t="shared" si="26"/>
        <v>0.4</v>
      </c>
      <c r="P217" s="43">
        <f t="shared" si="26"/>
        <v>0.4</v>
      </c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2">
        <v>2</v>
      </c>
      <c r="AH217" s="20"/>
      <c r="AI217" s="19"/>
      <c r="AK217" s="41"/>
    </row>
    <row r="218" spans="1:37" x14ac:dyDescent="0.25">
      <c r="A218" s="44" t="s">
        <v>21</v>
      </c>
      <c r="B218" s="43">
        <f t="shared" si="25"/>
        <v>0</v>
      </c>
      <c r="C218" s="43">
        <v>1.5</v>
      </c>
      <c r="D218" s="43">
        <f t="shared" si="26"/>
        <v>1.5</v>
      </c>
      <c r="E218" s="43">
        <f t="shared" si="26"/>
        <v>1.5</v>
      </c>
      <c r="F218" s="43">
        <f t="shared" si="26"/>
        <v>1.5</v>
      </c>
      <c r="G218" s="43">
        <f t="shared" si="26"/>
        <v>1.5</v>
      </c>
      <c r="H218" s="43">
        <f t="shared" si="26"/>
        <v>1.5</v>
      </c>
      <c r="I218" s="43">
        <f t="shared" si="26"/>
        <v>1.5</v>
      </c>
      <c r="J218" s="43">
        <f t="shared" si="26"/>
        <v>1.5</v>
      </c>
      <c r="K218" s="43">
        <f t="shared" si="26"/>
        <v>1.5</v>
      </c>
      <c r="L218" s="43">
        <f t="shared" si="26"/>
        <v>1.5</v>
      </c>
      <c r="M218" s="43">
        <f t="shared" si="26"/>
        <v>1.5</v>
      </c>
      <c r="N218" s="43">
        <f t="shared" si="26"/>
        <v>1.5</v>
      </c>
      <c r="O218" s="43">
        <f t="shared" si="26"/>
        <v>1.5</v>
      </c>
      <c r="P218" s="43">
        <f t="shared" si="26"/>
        <v>1.5</v>
      </c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2">
        <v>1.5</v>
      </c>
      <c r="AH218" s="20"/>
      <c r="AI218" s="19"/>
      <c r="AK218" s="41"/>
    </row>
    <row r="219" spans="1:37" x14ac:dyDescent="0.25">
      <c r="A219" s="44" t="s">
        <v>20</v>
      </c>
      <c r="B219" s="43">
        <f t="shared" si="25"/>
        <v>0</v>
      </c>
      <c r="C219" s="43">
        <v>0.3</v>
      </c>
      <c r="D219" s="43">
        <f t="shared" si="26"/>
        <v>0.3</v>
      </c>
      <c r="E219" s="43">
        <f t="shared" si="26"/>
        <v>0.3</v>
      </c>
      <c r="F219" s="43">
        <f t="shared" si="26"/>
        <v>0.3</v>
      </c>
      <c r="G219" s="43">
        <f t="shared" si="26"/>
        <v>0.3</v>
      </c>
      <c r="H219" s="43">
        <f t="shared" si="26"/>
        <v>0.3</v>
      </c>
      <c r="I219" s="43">
        <f t="shared" si="26"/>
        <v>0.3</v>
      </c>
      <c r="J219" s="43">
        <f t="shared" si="26"/>
        <v>0.3</v>
      </c>
      <c r="K219" s="43">
        <f t="shared" si="26"/>
        <v>0.3</v>
      </c>
      <c r="L219" s="43">
        <f t="shared" si="26"/>
        <v>0.3</v>
      </c>
      <c r="M219" s="43">
        <f t="shared" si="26"/>
        <v>0.3</v>
      </c>
      <c r="N219" s="43">
        <f t="shared" si="26"/>
        <v>0.3</v>
      </c>
      <c r="O219" s="43">
        <f t="shared" si="26"/>
        <v>0.3</v>
      </c>
      <c r="P219" s="43">
        <f t="shared" si="26"/>
        <v>0.3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1</v>
      </c>
      <c r="AH219" s="20"/>
      <c r="AI219" s="19"/>
      <c r="AK219" s="41"/>
    </row>
    <row r="220" spans="1:37" x14ac:dyDescent="0.25">
      <c r="A220" s="44" t="s">
        <v>19</v>
      </c>
      <c r="B220" s="43">
        <f t="shared" si="25"/>
        <v>0</v>
      </c>
      <c r="C220" s="43">
        <v>0.4</v>
      </c>
      <c r="D220" s="43">
        <f t="shared" si="26"/>
        <v>0.4</v>
      </c>
      <c r="E220" s="43">
        <f t="shared" si="26"/>
        <v>0.4</v>
      </c>
      <c r="F220" s="43">
        <f t="shared" si="26"/>
        <v>0.4</v>
      </c>
      <c r="G220" s="43">
        <f t="shared" si="26"/>
        <v>0.4</v>
      </c>
      <c r="H220" s="43">
        <f t="shared" si="26"/>
        <v>0.4</v>
      </c>
      <c r="I220" s="43">
        <f t="shared" si="26"/>
        <v>0.4</v>
      </c>
      <c r="J220" s="43">
        <f t="shared" si="26"/>
        <v>0.4</v>
      </c>
      <c r="K220" s="43">
        <f t="shared" si="26"/>
        <v>0.4</v>
      </c>
      <c r="L220" s="43">
        <f t="shared" si="26"/>
        <v>0.4</v>
      </c>
      <c r="M220" s="43">
        <f t="shared" si="26"/>
        <v>0.4</v>
      </c>
      <c r="N220" s="43">
        <f t="shared" si="26"/>
        <v>0.4</v>
      </c>
      <c r="O220" s="43">
        <f t="shared" si="26"/>
        <v>0.4</v>
      </c>
      <c r="P220" s="43">
        <f t="shared" si="26"/>
        <v>0.4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</v>
      </c>
      <c r="AH220" s="20"/>
      <c r="AI220" s="19"/>
      <c r="AK220" s="41"/>
    </row>
    <row r="221" spans="1:37" ht="15.75" thickBot="1" x14ac:dyDescent="0.3">
      <c r="A221" s="40" t="s">
        <v>18</v>
      </c>
      <c r="B221" s="39">
        <f t="shared" si="25"/>
        <v>0</v>
      </c>
      <c r="C221" s="39">
        <v>0.64</v>
      </c>
      <c r="D221" s="39">
        <f t="shared" si="26"/>
        <v>0.64</v>
      </c>
      <c r="E221" s="39">
        <f t="shared" si="26"/>
        <v>0.64</v>
      </c>
      <c r="F221" s="39">
        <f t="shared" si="26"/>
        <v>0.64</v>
      </c>
      <c r="G221" s="39">
        <f t="shared" si="26"/>
        <v>0.64</v>
      </c>
      <c r="H221" s="39">
        <f t="shared" si="26"/>
        <v>0.64</v>
      </c>
      <c r="I221" s="39">
        <f t="shared" si="26"/>
        <v>0.64</v>
      </c>
      <c r="J221" s="39">
        <f t="shared" si="26"/>
        <v>0.64</v>
      </c>
      <c r="K221" s="39">
        <f t="shared" si="26"/>
        <v>0.64</v>
      </c>
      <c r="L221" s="39">
        <f t="shared" si="26"/>
        <v>0.64</v>
      </c>
      <c r="M221" s="39">
        <f t="shared" si="26"/>
        <v>0.64</v>
      </c>
      <c r="N221" s="39">
        <f t="shared" si="26"/>
        <v>0.64</v>
      </c>
      <c r="O221" s="39">
        <f t="shared" si="26"/>
        <v>0.64</v>
      </c>
      <c r="P221" s="39">
        <f t="shared" si="26"/>
        <v>0.64</v>
      </c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8">
        <v>0.66</v>
      </c>
      <c r="AH221" s="20"/>
      <c r="AI221" s="19"/>
    </row>
    <row r="222" spans="1:37" ht="15.75" thickBot="1" x14ac:dyDescent="0.3">
      <c r="A222" s="37" t="s">
        <v>17</v>
      </c>
      <c r="B222" s="36">
        <f t="shared" ref="B222:AG222" si="27">SUM(B216:B221)</f>
        <v>0</v>
      </c>
      <c r="C222" s="36">
        <f t="shared" si="27"/>
        <v>3.54</v>
      </c>
      <c r="D222" s="36">
        <f t="shared" si="27"/>
        <v>3.54</v>
      </c>
      <c r="E222" s="36">
        <f t="shared" si="27"/>
        <v>3.54</v>
      </c>
      <c r="F222" s="36">
        <f t="shared" si="27"/>
        <v>3.54</v>
      </c>
      <c r="G222" s="36">
        <f t="shared" si="27"/>
        <v>3.54</v>
      </c>
      <c r="H222" s="36">
        <f t="shared" si="27"/>
        <v>3.54</v>
      </c>
      <c r="I222" s="36">
        <f t="shared" si="27"/>
        <v>3.54</v>
      </c>
      <c r="J222" s="36">
        <f t="shared" si="27"/>
        <v>3.54</v>
      </c>
      <c r="K222" s="36">
        <f t="shared" si="27"/>
        <v>3.54</v>
      </c>
      <c r="L222" s="36">
        <f t="shared" si="27"/>
        <v>3.54</v>
      </c>
      <c r="M222" s="36">
        <f t="shared" si="27"/>
        <v>3.54</v>
      </c>
      <c r="N222" s="36">
        <f t="shared" si="27"/>
        <v>3.54</v>
      </c>
      <c r="O222" s="36">
        <f t="shared" si="27"/>
        <v>3.54</v>
      </c>
      <c r="P222" s="36">
        <f t="shared" si="27"/>
        <v>3.54</v>
      </c>
      <c r="Q222" s="36">
        <f t="shared" si="27"/>
        <v>0</v>
      </c>
      <c r="R222" s="36">
        <f t="shared" si="27"/>
        <v>0</v>
      </c>
      <c r="S222" s="36">
        <f t="shared" si="27"/>
        <v>0</v>
      </c>
      <c r="T222" s="36">
        <f t="shared" si="27"/>
        <v>0</v>
      </c>
      <c r="U222" s="36">
        <f t="shared" si="27"/>
        <v>0</v>
      </c>
      <c r="V222" s="36">
        <f t="shared" si="27"/>
        <v>0</v>
      </c>
      <c r="W222" s="36">
        <f t="shared" si="27"/>
        <v>0</v>
      </c>
      <c r="X222" s="36">
        <f t="shared" si="27"/>
        <v>0</v>
      </c>
      <c r="Y222" s="36">
        <f t="shared" si="27"/>
        <v>0</v>
      </c>
      <c r="Z222" s="36">
        <f t="shared" si="27"/>
        <v>0</v>
      </c>
      <c r="AA222" s="36">
        <f t="shared" si="27"/>
        <v>0</v>
      </c>
      <c r="AB222" s="36">
        <f t="shared" si="27"/>
        <v>0</v>
      </c>
      <c r="AC222" s="36">
        <f t="shared" si="27"/>
        <v>0</v>
      </c>
      <c r="AD222" s="36">
        <f t="shared" si="27"/>
        <v>0</v>
      </c>
      <c r="AE222" s="36">
        <f t="shared" si="27"/>
        <v>0</v>
      </c>
      <c r="AF222" s="36">
        <f t="shared" si="27"/>
        <v>0</v>
      </c>
      <c r="AG222" s="35">
        <f t="shared" si="27"/>
        <v>8.56</v>
      </c>
      <c r="AH222" s="20"/>
      <c r="AI222" s="19"/>
    </row>
    <row r="223" spans="1:37" ht="15.75" thickBot="1" x14ac:dyDescent="0.3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34"/>
      <c r="AH223" s="2"/>
    </row>
    <row r="224" spans="1:37" x14ac:dyDescent="0.25">
      <c r="A224" s="33" t="s">
        <v>0</v>
      </c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1"/>
      <c r="AG224" s="2"/>
      <c r="AH224" s="20"/>
      <c r="AI224" s="19"/>
    </row>
    <row r="225" spans="1:50" x14ac:dyDescent="0.25">
      <c r="A225" s="30" t="s">
        <v>16</v>
      </c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8"/>
      <c r="AG225" s="21"/>
      <c r="AH225" s="20"/>
      <c r="AI225" s="19"/>
    </row>
    <row r="226" spans="1:50" x14ac:dyDescent="0.25">
      <c r="A226" s="27" t="s">
        <v>15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5"/>
      <c r="AG226" s="21"/>
      <c r="AH226" s="20"/>
      <c r="AI226" s="19"/>
    </row>
    <row r="227" spans="1:50" x14ac:dyDescent="0.25">
      <c r="A227" s="27" t="s">
        <v>14</v>
      </c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5"/>
      <c r="AG227" s="21"/>
      <c r="AH227" s="20"/>
      <c r="AI227" s="19"/>
    </row>
    <row r="228" spans="1:50" ht="15.75" thickBot="1" x14ac:dyDescent="0.3">
      <c r="A228" s="24" t="s">
        <v>13</v>
      </c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2"/>
      <c r="AG228" s="21"/>
      <c r="AH228" s="20"/>
      <c r="AI228" s="19"/>
    </row>
    <row r="229" spans="1:50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spans="1:5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spans="1:50" x14ac:dyDescent="0.25">
      <c r="A231" s="18" t="s">
        <v>12</v>
      </c>
      <c r="B231" s="17">
        <f>MAX(G79:N79)</f>
        <v>1796.74</v>
      </c>
      <c r="C231" s="16">
        <f>INDEX(G9:N9,1,MATCH(MAX(G79:N79),G79:N79,0))</f>
        <v>0.375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15" t="str">
        <f ca="1">MID(CELL("filename",C7),FIND("]",CELL("filename",C7))+1,600)</f>
        <v>5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95" t="s">
        <v>11</v>
      </c>
      <c r="B233" s="195"/>
      <c r="C233" s="2"/>
      <c r="D233" s="15" t="str">
        <f ca="1">"Pie Chart of Daily Peak Demand(Inclusive of Export) of Nepal ("&amp;A4&amp;" "&amp;B4&amp;")"</f>
        <v>Pie Chart of Daily Peak Demand(Inclusive of Export) of Nepal (Nepali Date: 2079/06/5)</v>
      </c>
      <c r="E233" s="2"/>
      <c r="F233" s="2"/>
      <c r="G233" s="15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15" t="str">
        <f ca="1">"Daily Load Curve(Excluding of Export) of Nepal ("&amp;A4&amp;" "&amp;B4&amp;")"</f>
        <v>Daily Load Curve(Excluding of Export) of Nepal (Nepali Date: 2079/06/5)</v>
      </c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ht="12.75" customHeight="1" thickBot="1" x14ac:dyDescent="0.3">
      <c r="A234" s="7" t="s">
        <v>10</v>
      </c>
      <c r="B234" s="6"/>
      <c r="C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ht="15.75" thickTop="1" x14ac:dyDescent="0.25">
      <c r="A235" s="7" t="s">
        <v>9</v>
      </c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4" t="s">
        <v>8</v>
      </c>
      <c r="T235" s="13">
        <v>0</v>
      </c>
      <c r="U235" s="12">
        <v>4.1666666666666664E-2</v>
      </c>
      <c r="V235" s="10">
        <v>8.3333333333333301E-2</v>
      </c>
      <c r="W235" s="10">
        <v>0.125</v>
      </c>
      <c r="X235" s="10">
        <v>0.16666666666666699</v>
      </c>
      <c r="Y235" s="10">
        <v>0.20833333333333301</v>
      </c>
      <c r="Z235" s="10">
        <v>0.22916666666666666</v>
      </c>
      <c r="AA235" s="10">
        <v>0.25</v>
      </c>
      <c r="AB235" s="10">
        <v>0.27083333333333331</v>
      </c>
      <c r="AC235" s="10">
        <v>0.29166666666666669</v>
      </c>
      <c r="AD235" s="10">
        <v>0.3125</v>
      </c>
      <c r="AE235" s="11">
        <v>0.33333333333333331</v>
      </c>
      <c r="AF235" s="11">
        <v>0.375</v>
      </c>
      <c r="AG235" s="11">
        <v>0.41666666666666702</v>
      </c>
      <c r="AH235" s="11">
        <v>0.45833333333333298</v>
      </c>
      <c r="AI235" s="11">
        <v>0.5</v>
      </c>
      <c r="AJ235" s="11">
        <v>0.54166666666666696</v>
      </c>
      <c r="AK235" s="11">
        <v>0.58333333333333304</v>
      </c>
      <c r="AL235" s="11">
        <v>0.625</v>
      </c>
      <c r="AM235" s="11">
        <v>0.66666666666666696</v>
      </c>
      <c r="AN235" s="11">
        <v>0.70833333333333304</v>
      </c>
      <c r="AO235" s="11">
        <v>0.72916666666666663</v>
      </c>
      <c r="AP235" s="11">
        <v>0.75</v>
      </c>
      <c r="AQ235" s="11">
        <v>0.77083333333333337</v>
      </c>
      <c r="AR235" s="11">
        <v>0.79166666666666663</v>
      </c>
      <c r="AS235" s="11">
        <v>0.8125</v>
      </c>
      <c r="AT235" s="10">
        <v>0.83333333333333337</v>
      </c>
      <c r="AU235" s="10">
        <v>0.85416666666666663</v>
      </c>
      <c r="AV235" s="10">
        <v>0.875</v>
      </c>
      <c r="AW235" s="10">
        <v>0.91666666666666696</v>
      </c>
      <c r="AX235" s="10">
        <v>0.95833333333333304</v>
      </c>
    </row>
    <row r="236" spans="1:50" x14ac:dyDescent="0.25">
      <c r="A236" s="7" t="s">
        <v>7</v>
      </c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 t="s">
        <v>6</v>
      </c>
      <c r="T236" s="9">
        <f t="shared" ref="T236:AX236" si="28">B79</f>
        <v>1737.14</v>
      </c>
      <c r="U236" s="9">
        <f t="shared" si="28"/>
        <v>1748.44</v>
      </c>
      <c r="V236" s="9">
        <f t="shared" si="28"/>
        <v>1748.64</v>
      </c>
      <c r="W236" s="9">
        <f t="shared" si="28"/>
        <v>1729.94</v>
      </c>
      <c r="X236" s="9">
        <f t="shared" si="28"/>
        <v>1700.44</v>
      </c>
      <c r="Y236" s="9">
        <f t="shared" si="28"/>
        <v>1686.54</v>
      </c>
      <c r="Z236" s="9">
        <f t="shared" si="28"/>
        <v>1687.54</v>
      </c>
      <c r="AA236" s="9">
        <f t="shared" si="28"/>
        <v>1684.94</v>
      </c>
      <c r="AB236" s="9">
        <f t="shared" si="28"/>
        <v>1730.44</v>
      </c>
      <c r="AC236" s="9">
        <f t="shared" si="28"/>
        <v>1733.44</v>
      </c>
      <c r="AD236" s="9">
        <f t="shared" si="28"/>
        <v>1790.3400000000001</v>
      </c>
      <c r="AE236" s="9">
        <f t="shared" si="28"/>
        <v>1793.74</v>
      </c>
      <c r="AF236" s="9">
        <f t="shared" si="28"/>
        <v>1796.74</v>
      </c>
      <c r="AG236" s="9">
        <f t="shared" si="28"/>
        <v>1798.64</v>
      </c>
      <c r="AH236" s="9">
        <f t="shared" si="28"/>
        <v>1796.94</v>
      </c>
      <c r="AI236" s="9">
        <f t="shared" si="28"/>
        <v>1801.3400000000001</v>
      </c>
      <c r="AJ236" s="9">
        <f t="shared" si="28"/>
        <v>1807.3400000000001</v>
      </c>
      <c r="AK236" s="9">
        <f t="shared" si="28"/>
        <v>1823.7400000000002</v>
      </c>
      <c r="AL236" s="9">
        <f t="shared" si="28"/>
        <v>1821.4400000000003</v>
      </c>
      <c r="AM236" s="9">
        <f t="shared" si="28"/>
        <v>1822.7400000000002</v>
      </c>
      <c r="AN236" s="9">
        <f t="shared" si="28"/>
        <v>1807.74</v>
      </c>
      <c r="AO236" s="9">
        <f t="shared" si="28"/>
        <v>1820.74</v>
      </c>
      <c r="AP236" s="9">
        <f t="shared" si="28"/>
        <v>1792.5399999999997</v>
      </c>
      <c r="AQ236" s="9">
        <f t="shared" si="28"/>
        <v>1822.1399999999999</v>
      </c>
      <c r="AR236" s="9">
        <f t="shared" si="28"/>
        <v>1858.64</v>
      </c>
      <c r="AS236" s="9">
        <f t="shared" si="28"/>
        <v>1847.54</v>
      </c>
      <c r="AT236" s="9">
        <f t="shared" si="28"/>
        <v>1829.2399999999998</v>
      </c>
      <c r="AU236" s="9">
        <f t="shared" si="28"/>
        <v>1831.2399999999998</v>
      </c>
      <c r="AV236" s="9">
        <f t="shared" si="28"/>
        <v>1823.2199999999998</v>
      </c>
      <c r="AW236" s="9">
        <f t="shared" si="28"/>
        <v>1813.2799999999997</v>
      </c>
      <c r="AX236" s="9">
        <f t="shared" si="28"/>
        <v>1742.54</v>
      </c>
    </row>
    <row r="237" spans="1:50" x14ac:dyDescent="0.25">
      <c r="A237" s="7" t="s">
        <v>5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spans="1:50" x14ac:dyDescent="0.25">
      <c r="A238" s="7" t="s">
        <v>4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spans="1:50" x14ac:dyDescent="0.25">
      <c r="A239" s="7" t="s">
        <v>3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2</v>
      </c>
      <c r="B240" s="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1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A257" s="5" t="s">
        <v>0</v>
      </c>
      <c r="B257" s="4">
        <f t="shared" ref="B257:AE257" si="29">C221</f>
        <v>0.64</v>
      </c>
      <c r="C257" s="4">
        <f t="shared" si="29"/>
        <v>0.64</v>
      </c>
      <c r="D257" s="4">
        <f t="shared" si="29"/>
        <v>0.64</v>
      </c>
      <c r="E257" s="4">
        <f t="shared" si="29"/>
        <v>0.64</v>
      </c>
      <c r="F257" s="4">
        <f t="shared" si="29"/>
        <v>0.64</v>
      </c>
      <c r="G257" s="4">
        <f t="shared" si="29"/>
        <v>0.64</v>
      </c>
      <c r="H257" s="4">
        <f t="shared" si="29"/>
        <v>0.64</v>
      </c>
      <c r="I257" s="4">
        <f t="shared" si="29"/>
        <v>0.64</v>
      </c>
      <c r="J257" s="4">
        <f t="shared" si="29"/>
        <v>0.64</v>
      </c>
      <c r="K257" s="4">
        <f t="shared" si="29"/>
        <v>0.64</v>
      </c>
      <c r="L257" s="4">
        <f t="shared" si="29"/>
        <v>0.64</v>
      </c>
      <c r="M257" s="4">
        <f t="shared" si="29"/>
        <v>0.64</v>
      </c>
      <c r="N257" s="4">
        <f t="shared" si="29"/>
        <v>0.64</v>
      </c>
      <c r="O257" s="4">
        <f t="shared" si="29"/>
        <v>0.64</v>
      </c>
      <c r="P257" s="4">
        <f t="shared" si="29"/>
        <v>0</v>
      </c>
      <c r="Q257" s="4">
        <f t="shared" si="29"/>
        <v>0</v>
      </c>
      <c r="R257" s="4">
        <f t="shared" si="29"/>
        <v>0</v>
      </c>
      <c r="S257" s="4">
        <f t="shared" si="29"/>
        <v>0</v>
      </c>
      <c r="T257" s="4">
        <f t="shared" si="29"/>
        <v>0</v>
      </c>
      <c r="U257" s="4">
        <f t="shared" si="29"/>
        <v>0</v>
      </c>
      <c r="V257" s="4">
        <f t="shared" si="29"/>
        <v>0</v>
      </c>
      <c r="W257" s="4">
        <f t="shared" si="29"/>
        <v>0</v>
      </c>
      <c r="X257" s="4">
        <f t="shared" si="29"/>
        <v>0</v>
      </c>
      <c r="Y257" s="4">
        <f t="shared" si="29"/>
        <v>0</v>
      </c>
      <c r="Z257" s="4">
        <f t="shared" si="29"/>
        <v>0</v>
      </c>
      <c r="AA257" s="4">
        <f t="shared" si="29"/>
        <v>0</v>
      </c>
      <c r="AB257" s="4">
        <f t="shared" si="29"/>
        <v>0</v>
      </c>
      <c r="AC257" s="4">
        <f t="shared" si="29"/>
        <v>0</v>
      </c>
      <c r="AD257" s="4">
        <f t="shared" si="29"/>
        <v>0</v>
      </c>
      <c r="AE257" s="4">
        <f t="shared" si="29"/>
        <v>0</v>
      </c>
      <c r="AF257" s="4">
        <f>B221</f>
        <v>0</v>
      </c>
      <c r="AG257" s="2"/>
      <c r="AH257" s="2"/>
    </row>
    <row r="258" spans="1:34" x14ac:dyDescent="0.25">
      <c r="A258" s="3" t="str">
        <f>A225</f>
        <v>KGA</v>
      </c>
      <c r="B258" s="3" t="str">
        <f t="shared" ref="B258:AF258" si="30">IF(B225&lt;100,"",B225-520)</f>
        <v/>
      </c>
      <c r="C258" s="3" t="str">
        <f t="shared" si="30"/>
        <v/>
      </c>
      <c r="D258" s="3" t="str">
        <f t="shared" si="30"/>
        <v/>
      </c>
      <c r="E258" s="3" t="str">
        <f t="shared" si="30"/>
        <v/>
      </c>
      <c r="F258" s="3" t="str">
        <f t="shared" si="30"/>
        <v/>
      </c>
      <c r="G258" s="3" t="str">
        <f t="shared" si="30"/>
        <v/>
      </c>
      <c r="H258" s="3" t="str">
        <f t="shared" si="30"/>
        <v/>
      </c>
      <c r="I258" s="3" t="str">
        <f t="shared" si="30"/>
        <v/>
      </c>
      <c r="J258" s="3" t="str">
        <f t="shared" si="30"/>
        <v/>
      </c>
      <c r="K258" s="3" t="str">
        <f t="shared" si="30"/>
        <v/>
      </c>
      <c r="L258" s="3" t="str">
        <f t="shared" si="30"/>
        <v/>
      </c>
      <c r="M258" s="3" t="str">
        <f t="shared" si="30"/>
        <v/>
      </c>
      <c r="N258" s="3" t="str">
        <f t="shared" si="30"/>
        <v/>
      </c>
      <c r="O258" s="3" t="str">
        <f t="shared" si="30"/>
        <v/>
      </c>
      <c r="P258" s="3" t="str">
        <f t="shared" si="30"/>
        <v/>
      </c>
      <c r="Q258" s="3" t="str">
        <f t="shared" si="30"/>
        <v/>
      </c>
      <c r="R258" s="3" t="str">
        <f t="shared" si="30"/>
        <v/>
      </c>
      <c r="S258" s="3" t="str">
        <f t="shared" si="30"/>
        <v/>
      </c>
      <c r="T258" s="3" t="str">
        <f t="shared" si="30"/>
        <v/>
      </c>
      <c r="U258" s="3" t="str">
        <f t="shared" si="30"/>
        <v/>
      </c>
      <c r="V258" s="3" t="str">
        <f t="shared" si="30"/>
        <v/>
      </c>
      <c r="W258" s="3" t="str">
        <f t="shared" si="30"/>
        <v/>
      </c>
      <c r="X258" s="3" t="str">
        <f t="shared" si="30"/>
        <v/>
      </c>
      <c r="Y258" s="3" t="str">
        <f t="shared" si="30"/>
        <v/>
      </c>
      <c r="Z258" s="3" t="str">
        <f t="shared" si="30"/>
        <v/>
      </c>
      <c r="AA258" s="3" t="str">
        <f t="shared" si="30"/>
        <v/>
      </c>
      <c r="AB258" s="3" t="str">
        <f t="shared" si="30"/>
        <v/>
      </c>
      <c r="AC258" s="3" t="str">
        <f t="shared" si="30"/>
        <v/>
      </c>
      <c r="AD258" s="3" t="str">
        <f t="shared" si="30"/>
        <v/>
      </c>
      <c r="AE258" s="3" t="str">
        <f t="shared" si="30"/>
        <v/>
      </c>
      <c r="AF258" s="3" t="str">
        <f t="shared" si="30"/>
        <v/>
      </c>
      <c r="AG258" s="2"/>
      <c r="AH258" s="2"/>
    </row>
    <row r="259" spans="1:34" x14ac:dyDescent="0.25">
      <c r="A259" s="3" t="str">
        <f>A226</f>
        <v>MMRS</v>
      </c>
      <c r="B259" s="3" t="str">
        <f t="shared" ref="B259:AF259" si="31">IF(B226&lt;100,"",B226-620)</f>
        <v/>
      </c>
      <c r="C259" s="3" t="str">
        <f t="shared" si="31"/>
        <v/>
      </c>
      <c r="D259" s="3" t="str">
        <f t="shared" si="31"/>
        <v/>
      </c>
      <c r="E259" s="3" t="str">
        <f t="shared" si="31"/>
        <v/>
      </c>
      <c r="F259" s="3" t="str">
        <f t="shared" si="31"/>
        <v/>
      </c>
      <c r="G259" s="3" t="str">
        <f t="shared" si="31"/>
        <v/>
      </c>
      <c r="H259" s="3" t="str">
        <f t="shared" si="31"/>
        <v/>
      </c>
      <c r="I259" s="3" t="str">
        <f t="shared" si="31"/>
        <v/>
      </c>
      <c r="J259" s="3" t="str">
        <f t="shared" si="31"/>
        <v/>
      </c>
      <c r="K259" s="3" t="str">
        <f t="shared" si="31"/>
        <v/>
      </c>
      <c r="L259" s="3" t="str">
        <f t="shared" si="31"/>
        <v/>
      </c>
      <c r="M259" s="3" t="str">
        <f t="shared" si="31"/>
        <v/>
      </c>
      <c r="N259" s="3" t="str">
        <f t="shared" si="31"/>
        <v/>
      </c>
      <c r="O259" s="3" t="str">
        <f t="shared" si="31"/>
        <v/>
      </c>
      <c r="P259" s="3" t="str">
        <f t="shared" si="31"/>
        <v/>
      </c>
      <c r="Q259" s="3" t="str">
        <f t="shared" si="31"/>
        <v/>
      </c>
      <c r="R259" s="3" t="str">
        <f t="shared" si="31"/>
        <v/>
      </c>
      <c r="S259" s="3" t="str">
        <f t="shared" si="31"/>
        <v/>
      </c>
      <c r="T259" s="3" t="str">
        <f t="shared" si="31"/>
        <v/>
      </c>
      <c r="U259" s="3" t="str">
        <f t="shared" si="31"/>
        <v/>
      </c>
      <c r="V259" s="3" t="str">
        <f t="shared" si="31"/>
        <v/>
      </c>
      <c r="W259" s="3" t="str">
        <f t="shared" si="31"/>
        <v/>
      </c>
      <c r="X259" s="3" t="str">
        <f t="shared" si="31"/>
        <v/>
      </c>
      <c r="Y259" s="3" t="str">
        <f t="shared" si="31"/>
        <v/>
      </c>
      <c r="Z259" s="3" t="str">
        <f t="shared" si="31"/>
        <v/>
      </c>
      <c r="AA259" s="3" t="str">
        <f t="shared" si="31"/>
        <v/>
      </c>
      <c r="AB259" s="3" t="str">
        <f t="shared" si="31"/>
        <v/>
      </c>
      <c r="AC259" s="3" t="str">
        <f t="shared" si="31"/>
        <v/>
      </c>
      <c r="AD259" s="3" t="str">
        <f t="shared" si="31"/>
        <v/>
      </c>
      <c r="AE259" s="3" t="str">
        <f t="shared" si="31"/>
        <v/>
      </c>
      <c r="AF259" s="3" t="str">
        <f t="shared" si="31"/>
        <v/>
      </c>
      <c r="AG259" s="2"/>
      <c r="AH259" s="2"/>
    </row>
    <row r="260" spans="1:34" x14ac:dyDescent="0.25">
      <c r="A260" s="3" t="str">
        <f>A227</f>
        <v>MRS</v>
      </c>
      <c r="B260" s="3" t="str">
        <f t="shared" ref="B260:AF260" si="32">IF(B227&lt;100,"",B227-330)</f>
        <v/>
      </c>
      <c r="C260" s="3" t="str">
        <f t="shared" si="32"/>
        <v/>
      </c>
      <c r="D260" s="3" t="str">
        <f t="shared" si="32"/>
        <v/>
      </c>
      <c r="E260" s="3" t="str">
        <f t="shared" si="32"/>
        <v/>
      </c>
      <c r="F260" s="3" t="str">
        <f t="shared" si="32"/>
        <v/>
      </c>
      <c r="G260" s="3" t="str">
        <f t="shared" si="32"/>
        <v/>
      </c>
      <c r="H260" s="3" t="str">
        <f t="shared" si="32"/>
        <v/>
      </c>
      <c r="I260" s="3" t="str">
        <f t="shared" si="32"/>
        <v/>
      </c>
      <c r="J260" s="3" t="str">
        <f t="shared" si="32"/>
        <v/>
      </c>
      <c r="K260" s="3" t="str">
        <f t="shared" si="32"/>
        <v/>
      </c>
      <c r="L260" s="3" t="str">
        <f t="shared" si="32"/>
        <v/>
      </c>
      <c r="M260" s="3" t="str">
        <f t="shared" si="32"/>
        <v/>
      </c>
      <c r="N260" s="3" t="str">
        <f t="shared" si="32"/>
        <v/>
      </c>
      <c r="O260" s="3" t="str">
        <f t="shared" si="32"/>
        <v/>
      </c>
      <c r="P260" s="3" t="str">
        <f t="shared" si="32"/>
        <v/>
      </c>
      <c r="Q260" s="3" t="str">
        <f t="shared" si="32"/>
        <v/>
      </c>
      <c r="R260" s="3" t="str">
        <f t="shared" si="32"/>
        <v/>
      </c>
      <c r="S260" s="3" t="str">
        <f t="shared" si="32"/>
        <v/>
      </c>
      <c r="T260" s="3" t="str">
        <f t="shared" si="32"/>
        <v/>
      </c>
      <c r="U260" s="3" t="str">
        <f t="shared" si="32"/>
        <v/>
      </c>
      <c r="V260" s="3" t="str">
        <f t="shared" si="32"/>
        <v/>
      </c>
      <c r="W260" s="3" t="str">
        <f t="shared" si="32"/>
        <v/>
      </c>
      <c r="X260" s="3" t="str">
        <f t="shared" si="32"/>
        <v/>
      </c>
      <c r="Y260" s="3" t="str">
        <f t="shared" si="32"/>
        <v/>
      </c>
      <c r="Z260" s="3" t="str">
        <f t="shared" si="32"/>
        <v/>
      </c>
      <c r="AA260" s="3" t="str">
        <f t="shared" si="32"/>
        <v/>
      </c>
      <c r="AB260" s="3" t="str">
        <f t="shared" si="32"/>
        <v/>
      </c>
      <c r="AC260" s="3" t="str">
        <f t="shared" si="32"/>
        <v/>
      </c>
      <c r="AD260" s="3" t="str">
        <f t="shared" si="32"/>
        <v/>
      </c>
      <c r="AE260" s="3" t="str">
        <f t="shared" si="32"/>
        <v/>
      </c>
      <c r="AF260" s="3" t="str">
        <f t="shared" si="32"/>
        <v/>
      </c>
      <c r="AG260" s="2"/>
      <c r="AH260" s="2"/>
    </row>
    <row r="261" spans="1:34" x14ac:dyDescent="0.25">
      <c r="A261" s="3" t="str">
        <f>A228</f>
        <v>KL 1</v>
      </c>
      <c r="B261" s="3" t="str">
        <f t="shared" ref="B261:AF261" si="33">IF(B228&lt;100,"",B228-1500)</f>
        <v/>
      </c>
      <c r="C261" s="3" t="str">
        <f t="shared" si="33"/>
        <v/>
      </c>
      <c r="D261" s="3" t="str">
        <f t="shared" si="33"/>
        <v/>
      </c>
      <c r="E261" s="3" t="str">
        <f t="shared" si="33"/>
        <v/>
      </c>
      <c r="F261" s="3" t="str">
        <f t="shared" si="33"/>
        <v/>
      </c>
      <c r="G261" s="3" t="str">
        <f t="shared" si="33"/>
        <v/>
      </c>
      <c r="H261" s="3" t="str">
        <f t="shared" si="33"/>
        <v/>
      </c>
      <c r="I261" s="3" t="str">
        <f t="shared" si="33"/>
        <v/>
      </c>
      <c r="J261" s="3" t="str">
        <f t="shared" si="33"/>
        <v/>
      </c>
      <c r="K261" s="3" t="str">
        <f t="shared" si="33"/>
        <v/>
      </c>
      <c r="L261" s="3" t="str">
        <f t="shared" si="33"/>
        <v/>
      </c>
      <c r="M261" s="3" t="str">
        <f t="shared" si="33"/>
        <v/>
      </c>
      <c r="N261" s="3" t="str">
        <f t="shared" si="33"/>
        <v/>
      </c>
      <c r="O261" s="3" t="str">
        <f t="shared" si="33"/>
        <v/>
      </c>
      <c r="P261" s="3" t="str">
        <f t="shared" si="33"/>
        <v/>
      </c>
      <c r="Q261" s="3" t="str">
        <f t="shared" si="33"/>
        <v/>
      </c>
      <c r="R261" s="3" t="str">
        <f t="shared" si="33"/>
        <v/>
      </c>
      <c r="S261" s="3" t="str">
        <f t="shared" si="33"/>
        <v/>
      </c>
      <c r="T261" s="3" t="str">
        <f t="shared" si="33"/>
        <v/>
      </c>
      <c r="U261" s="3" t="str">
        <f t="shared" si="33"/>
        <v/>
      </c>
      <c r="V261" s="3" t="str">
        <f t="shared" si="33"/>
        <v/>
      </c>
      <c r="W261" s="3" t="str">
        <f t="shared" si="33"/>
        <v/>
      </c>
      <c r="X261" s="3" t="str">
        <f t="shared" si="33"/>
        <v/>
      </c>
      <c r="Y261" s="3" t="str">
        <f t="shared" si="33"/>
        <v/>
      </c>
      <c r="Z261" s="3" t="str">
        <f t="shared" si="33"/>
        <v/>
      </c>
      <c r="AA261" s="3" t="str">
        <f t="shared" si="33"/>
        <v/>
      </c>
      <c r="AB261" s="3" t="str">
        <f t="shared" si="33"/>
        <v/>
      </c>
      <c r="AC261" s="3" t="str">
        <f t="shared" si="33"/>
        <v/>
      </c>
      <c r="AD261" s="3" t="str">
        <f t="shared" si="33"/>
        <v/>
      </c>
      <c r="AE261" s="3" t="str">
        <f t="shared" si="33"/>
        <v/>
      </c>
      <c r="AF261" s="3" t="str">
        <f t="shared" si="33"/>
        <v/>
      </c>
      <c r="AG261" s="2"/>
      <c r="AH261" s="2"/>
    </row>
    <row r="262" spans="1:34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 spans="1:34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3:B233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3">
    <cfRule type="expression" dxfId="480" priority="10">
      <formula>$AH11=0</formula>
    </cfRule>
  </conditionalFormatting>
  <conditionalFormatting sqref="B8 M8 S8 AB8">
    <cfRule type="expression" dxfId="479" priority="219">
      <formula>AND(C$9&gt;=8/24,C$9&lt;14/24)</formula>
    </cfRule>
    <cfRule type="expression" dxfId="478" priority="218">
      <formula>AND(C$9&gt;=14/24,C$9&lt;20/24)</formula>
    </cfRule>
    <cfRule type="expression" dxfId="477" priority="220">
      <formula>C$9&lt;8/24</formula>
    </cfRule>
  </conditionalFormatting>
  <conditionalFormatting sqref="B43:D45">
    <cfRule type="expression" dxfId="476" priority="99">
      <formula>B$9&lt;8/24</formula>
    </cfRule>
    <cfRule type="expression" dxfId="475" priority="98">
      <formula>AND(B$9&gt;=8/24,B$9&lt;14/24)</formula>
    </cfRule>
    <cfRule type="expression" dxfId="474" priority="97">
      <formula>AND(B$9&gt;=14/24,B$9&lt;20/24)</formula>
    </cfRule>
    <cfRule type="expression" dxfId="473" priority="96">
      <formula>B$9&gt;=20/24</formula>
    </cfRule>
  </conditionalFormatting>
  <conditionalFormatting sqref="B48:Q54">
    <cfRule type="expression" dxfId="472" priority="68">
      <formula>B48&gt;$AG48</formula>
    </cfRule>
    <cfRule type="expression" dxfId="471" priority="69">
      <formula>B$9&gt;=20/24</formula>
    </cfRule>
    <cfRule type="expression" dxfId="470" priority="70">
      <formula>AND(B$9&gt;=14/24,B$9&lt;20/24)</formula>
    </cfRule>
    <cfRule type="expression" dxfId="469" priority="71">
      <formula>AND(B$9&gt;=8/24,B$9&lt;14/24)</formula>
    </cfRule>
    <cfRule type="expression" dxfId="468" priority="72">
      <formula>B$9&lt;8/24</formula>
    </cfRule>
  </conditionalFormatting>
  <conditionalFormatting sqref="B11:Y11">
    <cfRule type="expression" dxfId="467" priority="115">
      <formula>AND(B$9&gt;=8/24,B$9&lt;14/24)</formula>
    </cfRule>
    <cfRule type="expression" dxfId="466" priority="116">
      <formula>B$9&lt;8/24</formula>
    </cfRule>
    <cfRule type="expression" dxfId="465" priority="114">
      <formula>AND(B$9&gt;=14/24,B$9&lt;20/24)</formula>
    </cfRule>
    <cfRule type="expression" dxfId="464" priority="113">
      <formula>B$9&gt;=20/24</formula>
    </cfRule>
  </conditionalFormatting>
  <conditionalFormatting sqref="B11:Y16">
    <cfRule type="expression" dxfId="463" priority="108">
      <formula>B11&gt;$AG11</formula>
    </cfRule>
  </conditionalFormatting>
  <conditionalFormatting sqref="B12:Y23">
    <cfRule type="expression" dxfId="462" priority="61">
      <formula>AND(B$9&gt;=14/24,B$9&lt;20/24)</formula>
    </cfRule>
    <cfRule type="expression" dxfId="461" priority="63">
      <formula>B$9&lt;8/24</formula>
    </cfRule>
    <cfRule type="expression" dxfId="460" priority="62">
      <formula>AND(B$9&gt;=8/24,B$9&lt;14/24)</formula>
    </cfRule>
  </conditionalFormatting>
  <conditionalFormatting sqref="B24:Y26 C57:AF59 B57:B60 C60:AG60 B62:D65 E64:R65 S64:AB71 B66:R71 C73:AF76 B73:B77 C77:AG77 B78:AF79">
    <cfRule type="expression" dxfId="459" priority="93">
      <formula>AND(B$9&gt;=8/24,B$9&lt;14/24)</formula>
    </cfRule>
    <cfRule type="expression" dxfId="458" priority="94">
      <formula>B$9&lt;8/24</formula>
    </cfRule>
    <cfRule type="expression" dxfId="457" priority="92">
      <formula>AND(B$9&gt;=14/24,B$9&lt;20/24)</formula>
    </cfRule>
  </conditionalFormatting>
  <conditionalFormatting sqref="B9:AF10 Z11:AF11 B214:AF214 B216:B222 D216:AF222 U235:AF235">
    <cfRule type="expression" dxfId="456" priority="214">
      <formula>B$9&lt;8/24</formula>
    </cfRule>
    <cfRule type="expression" dxfId="455" priority="213">
      <formula>AND(B$9&gt;=8/24,B$9&lt;14/24)</formula>
    </cfRule>
    <cfRule type="expression" dxfId="454" priority="212">
      <formula>AND(B$9&gt;=14/24,B$9&lt;20/24)</formula>
    </cfRule>
  </conditionalFormatting>
  <conditionalFormatting sqref="B12:AF23">
    <cfRule type="expression" dxfId="453" priority="60">
      <formula>B$9&gt;=20/24</formula>
    </cfRule>
  </conditionalFormatting>
  <conditionalFormatting sqref="B17:AF23">
    <cfRule type="expression" dxfId="452" priority="59">
      <formula>B17&gt;$AG17</formula>
    </cfRule>
  </conditionalFormatting>
  <conditionalFormatting sqref="B24:AF34">
    <cfRule type="expression" dxfId="451" priority="73">
      <formula>B24&gt;$AG24</formula>
    </cfRule>
  </conditionalFormatting>
  <conditionalFormatting sqref="B27:AF27">
    <cfRule type="expression" dxfId="450" priority="66">
      <formula>AND(B$9&gt;=8/24,B$9&lt;14/24)</formula>
    </cfRule>
    <cfRule type="expression" dxfId="449" priority="67">
      <formula>B$9&lt;8/24</formula>
    </cfRule>
    <cfRule type="expression" dxfId="448" priority="65">
      <formula>AND(B$9&gt;=14/24,B$9&lt;20/24)</formula>
    </cfRule>
    <cfRule type="expression" dxfId="447" priority="64">
      <formula>B$9&gt;=20/24</formula>
    </cfRule>
  </conditionalFormatting>
  <conditionalFormatting sqref="B28:AF35">
    <cfRule type="expression" dxfId="446" priority="74">
      <formula>B$9&gt;=20/24</formula>
    </cfRule>
    <cfRule type="expression" dxfId="445" priority="75">
      <formula>AND(B$9&gt;=14/24,B$9&lt;20/24)</formula>
    </cfRule>
    <cfRule type="expression" dxfId="444" priority="77">
      <formula>B$9&lt;8/24</formula>
    </cfRule>
    <cfRule type="expression" dxfId="443" priority="76">
      <formula>AND(B$9&gt;=8/24,B$9&lt;14/24)</formula>
    </cfRule>
  </conditionalFormatting>
  <conditionalFormatting sqref="B35:AF37">
    <cfRule type="expression" dxfId="442" priority="95">
      <formula>B35&gt;$AG35</formula>
    </cfRule>
  </conditionalFormatting>
  <conditionalFormatting sqref="B36:AF37 B61:AF61">
    <cfRule type="expression" dxfId="441" priority="101">
      <formula>AND(B$9&gt;=14/24,B$9&lt;20/24)</formula>
    </cfRule>
    <cfRule type="expression" dxfId="440" priority="102">
      <formula>AND(B$9&gt;=8/24,B$9&lt;14/24)</formula>
    </cfRule>
    <cfRule type="expression" dxfId="439" priority="103">
      <formula>B$9&lt;8/24</formula>
    </cfRule>
    <cfRule type="expression" dxfId="438" priority="100">
      <formula>B$9&gt;=20/24</formula>
    </cfRule>
  </conditionalFormatting>
  <conditionalFormatting sqref="B72:AF72">
    <cfRule type="expression" dxfId="437" priority="57">
      <formula>B$9&lt;8/24</formula>
    </cfRule>
    <cfRule type="expression" dxfId="436" priority="54">
      <formula>B$9&gt;=20/24</formula>
    </cfRule>
    <cfRule type="expression" dxfId="435" priority="55">
      <formula>AND(B$9&gt;=14/24,B$9&lt;20/24)</formula>
    </cfRule>
    <cfRule type="expression" dxfId="434" priority="56">
      <formula>AND(B$9&gt;=8/24,B$9&lt;14/24)</formula>
    </cfRule>
  </conditionalFormatting>
  <conditionalFormatting sqref="B81:AF97">
    <cfRule type="expression" dxfId="429" priority="32">
      <formula>B$9&gt;=20/24</formula>
    </cfRule>
    <cfRule type="expression" dxfId="428" priority="33">
      <formula>AND(B$9&gt;=14/24,B$9&lt;20/24)</formula>
    </cfRule>
    <cfRule type="expression" dxfId="427" priority="34">
      <formula>AND(B$9&gt;=8/24,B$9&lt;14/24)</formula>
    </cfRule>
    <cfRule type="expression" dxfId="426" priority="35">
      <formula>B$9&lt;8/24</formula>
    </cfRule>
  </conditionalFormatting>
  <conditionalFormatting sqref="B99:AF106">
    <cfRule type="expression" dxfId="425" priority="8">
      <formula>AND(B$9&gt;=8/24,B$9&lt;14/24)</formula>
    </cfRule>
    <cfRule type="expression" dxfId="424" priority="9">
      <formula>B$9&lt;8/24</formula>
    </cfRule>
    <cfRule type="expression" dxfId="423" priority="7">
      <formula>AND(B$9&gt;=14/24,B$9&lt;20/24)</formula>
    </cfRule>
    <cfRule type="expression" dxfId="422" priority="6">
      <formula>B$9&gt;=20/24</formula>
    </cfRule>
  </conditionalFormatting>
  <conditionalFormatting sqref="B38:AG38 B43:D47 E47:Q47 C55:AG56 B55:B60 C57:AF59 C60:AG60">
    <cfRule type="expression" dxfId="417" priority="86">
      <formula>B38&gt;$AG38</formula>
    </cfRule>
  </conditionalFormatting>
  <conditionalFormatting sqref="C39:AF41 B39:B42 C42:AG42">
    <cfRule type="expression" dxfId="416" priority="44">
      <formula>B$9&lt;8/24</formula>
    </cfRule>
    <cfRule type="expression" dxfId="415" priority="43">
      <formula>AND(B$9&gt;=8/24,B$9&lt;14/24)</formula>
    </cfRule>
    <cfRule type="expression" dxfId="414" priority="42">
      <formula>AND(B$9&gt;=14/24,B$9&lt;20/24)</formula>
    </cfRule>
    <cfRule type="expression" dxfId="413" priority="41">
      <formula>B$9&gt;=20/24</formula>
    </cfRule>
    <cfRule type="expression" dxfId="412" priority="40">
      <formula>B39&gt;$AG39</formula>
    </cfRule>
  </conditionalFormatting>
  <conditionalFormatting sqref="C57:AF59 B57:B60 C60:AG60 B24:AF26 B62:D65 E64:R65 S64:AB71 B66:R71 C73:AF76 B73:B77 C77:AG77 B78:AF79">
    <cfRule type="expression" dxfId="411" priority="91">
      <formula>B$9&gt;=20/24</formula>
    </cfRule>
  </conditionalFormatting>
  <conditionalFormatting sqref="E43:N45">
    <cfRule type="expression" dxfId="410" priority="173">
      <formula>E$9&gt;=20/24</formula>
    </cfRule>
    <cfRule type="expression" dxfId="409" priority="174">
      <formula>AND(E$9&gt;=14/24,E$9&lt;20/24)</formula>
    </cfRule>
    <cfRule type="expression" dxfId="408" priority="175">
      <formula>AND(E$9&gt;=8/24,E$9&lt;14/24)</formula>
    </cfRule>
    <cfRule type="expression" dxfId="407" priority="176">
      <formula>E$9&lt;8/24</formula>
    </cfRule>
  </conditionalFormatting>
  <conditionalFormatting sqref="E62:AB63 AC62:AF71">
    <cfRule type="expression" dxfId="406" priority="168">
      <formula>E$9&gt;=20/24</formula>
    </cfRule>
    <cfRule type="expression" dxfId="405" priority="169">
      <formula>AND(E$9&gt;=14/24,E$9&lt;20/24)</formula>
    </cfRule>
    <cfRule type="expression" dxfId="404" priority="170">
      <formula>AND(E$9&gt;=8/24,E$9&lt;14/24)</formula>
    </cfRule>
    <cfRule type="expression" dxfId="403" priority="171">
      <formula>E$9&lt;8/24</formula>
    </cfRule>
  </conditionalFormatting>
  <conditionalFormatting sqref="O3:P3">
    <cfRule type="iconSet" priority="215">
      <iconSet iconSet="3TrafficLights2" reverse="1">
        <cfvo type="percent" val="0"/>
        <cfvo type="num" val="1"/>
        <cfvo type="num" val="1"/>
      </iconSet>
    </cfRule>
  </conditionalFormatting>
  <conditionalFormatting sqref="Q43:AF45 E43:P46 Q46">
    <cfRule type="expression" dxfId="402" priority="140">
      <formula>E43&gt;$AG43</formula>
    </cfRule>
  </conditionalFormatting>
  <conditionalFormatting sqref="Q43:AF45 O43:P46 Q46">
    <cfRule type="expression" dxfId="401" priority="144">
      <formula>O$9&lt;8/24</formula>
    </cfRule>
    <cfRule type="expression" dxfId="400" priority="141">
      <formula>O$9&gt;=20/24</formula>
    </cfRule>
    <cfRule type="expression" dxfId="399" priority="142">
      <formula>AND(O$9&gt;=14/24,O$9&lt;20/24)</formula>
    </cfRule>
    <cfRule type="expression" dxfId="398" priority="143">
      <formula>AND(O$9&gt;=8/24,O$9&lt;14/24)</formula>
    </cfRule>
  </conditionalFormatting>
  <conditionalFormatting sqref="R46:AF54">
    <cfRule type="expression" dxfId="397" priority="1">
      <formula>R46&gt;$AG46</formula>
    </cfRule>
    <cfRule type="expression" dxfId="396" priority="2">
      <formula>R$9&gt;=20/24</formula>
    </cfRule>
    <cfRule type="expression" dxfId="395" priority="3">
      <formula>AND(R$9&gt;=14/24,R$9&lt;20/24)</formula>
    </cfRule>
    <cfRule type="expression" dxfId="394" priority="4">
      <formula>AND(R$9&gt;=8/24,R$9&lt;14/24)</formula>
    </cfRule>
    <cfRule type="expression" dxfId="393" priority="5">
      <formula>R$9&lt;8/24</formula>
    </cfRule>
  </conditionalFormatting>
  <conditionalFormatting sqref="S8 AB8 B8 M8">
    <cfRule type="expression" dxfId="392" priority="217">
      <formula>C$9&gt;=20/24</formula>
    </cfRule>
  </conditionalFormatting>
  <conditionalFormatting sqref="S8">
    <cfRule type="expression" dxfId="391" priority="189">
      <formula>U$9&lt;8/24</formula>
    </cfRule>
    <cfRule type="expression" dxfId="390" priority="186">
      <formula>U$9&gt;=20/24</formula>
    </cfRule>
    <cfRule type="expression" dxfId="389" priority="187">
      <formula>AND(U$9&gt;=14/24,U$9&lt;20/24)</formula>
    </cfRule>
    <cfRule type="expression" dxfId="388" priority="188">
      <formula>AND(U$9&gt;=8/24,U$9&lt;14/24)</formula>
    </cfRule>
  </conditionalFormatting>
  <conditionalFormatting sqref="T235">
    <cfRule type="expression" dxfId="387" priority="233">
      <formula>AX$9&lt;8/24</formula>
    </cfRule>
    <cfRule type="expression" dxfId="386" priority="230">
      <formula>AX$9&gt;=20/24</formula>
    </cfRule>
    <cfRule type="expression" dxfId="385" priority="231">
      <formula>AND(AX$9&gt;=14/24,AX$9&lt;20/24)</formula>
    </cfRule>
    <cfRule type="expression" dxfId="384" priority="232">
      <formula>AND(AX$9&gt;=8/24,AX$9&lt;14/24)</formula>
    </cfRule>
  </conditionalFormatting>
  <conditionalFormatting sqref="V3 AB3">
    <cfRule type="iconSet" priority="216">
      <iconSet iconSet="3TrafficLights2" reverse="1">
        <cfvo type="percent" val="0"/>
        <cfvo type="num" val="1"/>
        <cfvo type="num" val="1"/>
      </iconSet>
    </cfRule>
  </conditionalFormatting>
  <conditionalFormatting sqref="Z11:AF11 B9:AF10 B214:AF214 B216:B222 D216:AF222 U235:AF235">
    <cfRule type="expression" dxfId="383" priority="211">
      <formula>B$9&gt;=20/24</formula>
    </cfRule>
  </conditionalFormatting>
  <conditionalFormatting sqref="Z11:AF16">
    <cfRule type="expression" dxfId="382" priority="205">
      <formula>Z11&gt;$AG11</formula>
    </cfRule>
  </conditionalFormatting>
  <conditionalFormatting sqref="Z12:AF26">
    <cfRule type="expression" dxfId="381" priority="133">
      <formula>AND(Z$9&gt;=14/24,Z$9&lt;20/24)</formula>
    </cfRule>
    <cfRule type="expression" dxfId="380" priority="135">
      <formula>Z$9&lt;8/24</formula>
    </cfRule>
    <cfRule type="expression" dxfId="379" priority="134">
      <formula>AND(Z$9&gt;=8/24,Z$9&lt;14/24)</formula>
    </cfRule>
  </conditionalFormatting>
  <conditionalFormatting sqref="AB8">
    <cfRule type="expression" dxfId="378" priority="184">
      <formula>AND(AD$9&gt;=8/24,AD$9&lt;14/24)</formula>
    </cfRule>
    <cfRule type="expression" dxfId="377" priority="183">
      <formula>AND(AD$9&gt;=14/24,AD$9&lt;20/24)</formula>
    </cfRule>
    <cfRule type="expression" dxfId="376" priority="182">
      <formula>AD$9&gt;=20/24</formula>
    </cfRule>
    <cfRule type="expression" dxfId="375" priority="185">
      <formula>AD$9&lt;8/24</formula>
    </cfRule>
  </conditionalFormatting>
  <conditionalFormatting sqref="AG235">
    <cfRule type="expression" dxfId="374" priority="222">
      <formula>B$9&gt;=20/24</formula>
    </cfRule>
    <cfRule type="expression" dxfId="373" priority="223">
      <formula>AND(B$9&gt;=14/24,B$9&lt;20/24)</formula>
    </cfRule>
    <cfRule type="expression" dxfId="372" priority="224">
      <formula>AND(B$9&gt;=8/24,B$9&lt;14/24)</formula>
    </cfRule>
    <cfRule type="expression" dxfId="371" priority="225">
      <formula>B$9&lt;8/24</formula>
    </cfRule>
  </conditionalFormatting>
  <conditionalFormatting sqref="AH235:AX235">
    <cfRule type="expression" dxfId="370" priority="227">
      <formula>AND(AG$9&gt;=14/24,AG$9&lt;20/24)</formula>
    </cfRule>
    <cfRule type="expression" dxfId="369" priority="228">
      <formula>AND(AG$9&gt;=8/24,AG$9&lt;14/24)</formula>
    </cfRule>
    <cfRule type="expression" dxfId="368" priority="229">
      <formula>AG$9&lt;8/24</formula>
    </cfRule>
    <cfRule type="expression" dxfId="367" priority="226">
      <formula>AG$9&gt;=20/24</formula>
    </cfRule>
  </conditionalFormatting>
  <conditionalFormatting sqref="AL4:AL6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AL31">
    <cfRule type="iconSet" priority="31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AL34">
    <cfRule type="iconSet" priority="190">
      <iconSet iconSet="3TrafficLights2" reverse="1">
        <cfvo type="percent" val="0"/>
        <cfvo type="num" val="1"/>
        <cfvo type="num" val="1"/>
      </iconSet>
    </cfRule>
  </conditionalFormatting>
  <conditionalFormatting sqref="AL35 AL7:AL30 AL32">
    <cfRule type="iconSet" priority="234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" id="{6E21A1D1-DB40-46ED-9A49-DD3F7AFAC52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8" id="{C9D3FC36-8C28-4BE7-829F-418C8F4563C1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0" id="{1FBD3447-CFD2-4232-9726-1B5C91CAC8B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27" id="{AD7C5667-7AC1-483A-B51C-851026FB584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B80:AF80</xm:sqref>
        </x14:conditionalFormatting>
        <x14:conditionalFormatting xmlns:xm="http://schemas.microsoft.com/office/excel/2006/main">
          <x14:cfRule type="expression" priority="19" id="{B42CDF48-D377-4C5D-842E-310AC72AB0E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" id="{1A08ED99-4074-4A96-86AA-FDC65265E4C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" id="{E43E2348-F4F7-4BC1-8BDB-6600FE364D9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" id="{546E8E0E-4371-4559-948F-BF2C69D65B4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B107:AF107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E107" sqref="AE10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665.78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2079/06/6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4</v>
      </c>
      <c r="C5" s="148">
        <f t="shared" si="0"/>
        <v>4</v>
      </c>
      <c r="D5" s="148">
        <f t="shared" si="0"/>
        <v>4</v>
      </c>
      <c r="E5" s="148">
        <f t="shared" si="0"/>
        <v>4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31.8</v>
      </c>
      <c r="S5" s="148">
        <f t="shared" si="0"/>
        <v>37.200000000000003</v>
      </c>
      <c r="T5" s="148">
        <f t="shared" si="0"/>
        <v>14.3</v>
      </c>
      <c r="U5" s="148">
        <f t="shared" si="0"/>
        <v>17.5</v>
      </c>
      <c r="V5" s="148">
        <f t="shared" si="0"/>
        <v>13.3</v>
      </c>
      <c r="W5" s="148">
        <f t="shared" si="0"/>
        <v>14.3</v>
      </c>
      <c r="X5" s="148">
        <f t="shared" si="0"/>
        <v>37.6</v>
      </c>
      <c r="Y5" s="148">
        <f t="shared" si="0"/>
        <v>50.3</v>
      </c>
      <c r="Z5" s="148">
        <f t="shared" si="0"/>
        <v>52</v>
      </c>
      <c r="AA5" s="148">
        <f t="shared" si="0"/>
        <v>56.1</v>
      </c>
      <c r="AB5" s="148">
        <f t="shared" si="0"/>
        <v>50.3</v>
      </c>
      <c r="AC5" s="148">
        <f t="shared" si="0"/>
        <v>54.3</v>
      </c>
      <c r="AD5" s="148">
        <f t="shared" si="0"/>
        <v>23</v>
      </c>
      <c r="AE5" s="148">
        <f t="shared" si="0"/>
        <v>20.8</v>
      </c>
      <c r="AF5" s="148">
        <f>B74</f>
        <v>4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1772MW at 8:00hr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1261.69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Load=1655</v>
      </c>
      <c r="B7" s="137">
        <f t="shared" ref="B7:AF7" si="1">B81</f>
        <v>1733.3400000000001</v>
      </c>
      <c r="C7" s="137">
        <f t="shared" si="1"/>
        <v>1744.3400000000001</v>
      </c>
      <c r="D7" s="137">
        <f t="shared" si="1"/>
        <v>1744.3400000000001</v>
      </c>
      <c r="E7" s="137">
        <f t="shared" si="1"/>
        <v>1741.14</v>
      </c>
      <c r="F7" s="137">
        <f t="shared" si="1"/>
        <v>1655.44</v>
      </c>
      <c r="G7" s="137">
        <f t="shared" si="1"/>
        <v>1655.04</v>
      </c>
      <c r="H7" s="137">
        <f t="shared" si="1"/>
        <v>1672.04</v>
      </c>
      <c r="I7" s="137">
        <f t="shared" si="1"/>
        <v>1672.04</v>
      </c>
      <c r="J7" s="137">
        <f t="shared" si="1"/>
        <v>1686.04</v>
      </c>
      <c r="K7" s="137">
        <f t="shared" si="1"/>
        <v>1762.04</v>
      </c>
      <c r="L7" s="137">
        <f t="shared" si="1"/>
        <v>1770.04</v>
      </c>
      <c r="M7" s="137">
        <f t="shared" si="1"/>
        <v>1771.74</v>
      </c>
      <c r="N7" s="137">
        <f t="shared" si="1"/>
        <v>1771.74</v>
      </c>
      <c r="O7" s="137">
        <f t="shared" si="1"/>
        <v>1771.74</v>
      </c>
      <c r="P7" s="137">
        <f t="shared" si="1"/>
        <v>1759.74</v>
      </c>
      <c r="Q7" s="137">
        <f t="shared" si="1"/>
        <v>1759.74</v>
      </c>
      <c r="R7" s="137">
        <f t="shared" si="1"/>
        <v>1759.74</v>
      </c>
      <c r="S7" s="137">
        <f t="shared" si="1"/>
        <v>1811.74</v>
      </c>
      <c r="T7" s="137">
        <f t="shared" si="1"/>
        <v>1851.3400000000001</v>
      </c>
      <c r="U7" s="137">
        <f t="shared" si="1"/>
        <v>1832.54</v>
      </c>
      <c r="V7" s="137">
        <f t="shared" si="1"/>
        <v>1822.24</v>
      </c>
      <c r="W7" s="137">
        <f t="shared" si="1"/>
        <v>1809.9399999999998</v>
      </c>
      <c r="X7" s="137">
        <f t="shared" si="1"/>
        <v>1796.9399999999998</v>
      </c>
      <c r="Y7" s="137">
        <f t="shared" si="1"/>
        <v>1863.5399999999997</v>
      </c>
      <c r="Z7" s="137">
        <f t="shared" si="1"/>
        <v>1880.14</v>
      </c>
      <c r="AA7" s="137">
        <f t="shared" si="1"/>
        <v>1855.3400000000001</v>
      </c>
      <c r="AB7" s="137">
        <f t="shared" si="1"/>
        <v>1845.04</v>
      </c>
      <c r="AC7" s="137">
        <f t="shared" si="1"/>
        <v>1797.4399999999998</v>
      </c>
      <c r="AD7" s="137">
        <f t="shared" si="1"/>
        <v>1852.34</v>
      </c>
      <c r="AE7" s="137">
        <f t="shared" si="1"/>
        <v>1818.74</v>
      </c>
      <c r="AF7" s="137">
        <f t="shared" si="1"/>
        <v>1816.24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53.8</v>
      </c>
      <c r="C11" s="105">
        <v>53.8</v>
      </c>
      <c r="D11" s="105">
        <v>53.8</v>
      </c>
      <c r="E11" s="105">
        <v>53.8</v>
      </c>
      <c r="F11" s="105">
        <v>53.8</v>
      </c>
      <c r="G11" s="105">
        <v>53.8</v>
      </c>
      <c r="H11" s="105">
        <v>53.8</v>
      </c>
      <c r="I11" s="105">
        <v>53.8</v>
      </c>
      <c r="J11" s="105">
        <v>53.8</v>
      </c>
      <c r="K11" s="105">
        <v>53.8</v>
      </c>
      <c r="L11" s="105">
        <v>53.8</v>
      </c>
      <c r="M11" s="105">
        <v>53.8</v>
      </c>
      <c r="N11" s="105">
        <v>53.8</v>
      </c>
      <c r="O11" s="105">
        <v>53.8</v>
      </c>
      <c r="P11" s="105">
        <v>53.8</v>
      </c>
      <c r="Q11" s="105">
        <v>53.8</v>
      </c>
      <c r="R11" s="105">
        <v>53.8</v>
      </c>
      <c r="S11" s="105">
        <v>53.8</v>
      </c>
      <c r="T11" s="128">
        <v>53.8</v>
      </c>
      <c r="U11" s="128">
        <v>53.9</v>
      </c>
      <c r="V11" s="128">
        <v>53.7</v>
      </c>
      <c r="W11" s="128">
        <v>53.7</v>
      </c>
      <c r="X11" s="128">
        <v>53.7</v>
      </c>
      <c r="Y11" s="128">
        <v>53.7</v>
      </c>
      <c r="Z11" s="128">
        <v>53.7</v>
      </c>
      <c r="AA11" s="128">
        <v>53.7</v>
      </c>
      <c r="AB11" s="128">
        <v>53.7</v>
      </c>
      <c r="AC11" s="128">
        <v>53.7</v>
      </c>
      <c r="AD11" s="128">
        <v>53.7</v>
      </c>
      <c r="AE11" s="128">
        <v>53.9</v>
      </c>
      <c r="AF11" s="128">
        <v>53.9</v>
      </c>
      <c r="AG11" s="127">
        <v>52.4</v>
      </c>
      <c r="AH11" s="20">
        <f t="shared" ref="AH11:AH76" si="2">MAX(B11:AF11)</f>
        <v>53.9</v>
      </c>
      <c r="AI11" s="19">
        <f t="shared" ref="AI11:AI76" si="3">MIN(B11:AF11)</f>
        <v>53.7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50.7</v>
      </c>
      <c r="C12" s="105">
        <v>50.7</v>
      </c>
      <c r="D12" s="105">
        <v>50.7</v>
      </c>
      <c r="E12" s="105">
        <v>50.7</v>
      </c>
      <c r="F12" s="105">
        <v>50.7</v>
      </c>
      <c r="G12" s="105">
        <v>50.7</v>
      </c>
      <c r="H12" s="105">
        <v>50.7</v>
      </c>
      <c r="I12" s="105">
        <v>50.7</v>
      </c>
      <c r="J12" s="105">
        <v>50.7</v>
      </c>
      <c r="K12" s="105">
        <v>50.7</v>
      </c>
      <c r="L12" s="105">
        <v>50.7</v>
      </c>
      <c r="M12" s="105">
        <v>50.4</v>
      </c>
      <c r="N12" s="105">
        <v>50.4</v>
      </c>
      <c r="O12" s="105">
        <v>50.4</v>
      </c>
      <c r="P12" s="105">
        <v>50.4</v>
      </c>
      <c r="Q12" s="105">
        <v>50.4</v>
      </c>
      <c r="R12" s="105">
        <v>50.4</v>
      </c>
      <c r="S12" s="105">
        <v>50.4</v>
      </c>
      <c r="T12" s="105">
        <v>50.3</v>
      </c>
      <c r="U12" s="105">
        <v>50.3</v>
      </c>
      <c r="V12" s="105">
        <v>50.2</v>
      </c>
      <c r="W12" s="105">
        <v>50.2</v>
      </c>
      <c r="X12" s="105">
        <v>50.2</v>
      </c>
      <c r="Y12" s="105">
        <v>50.2</v>
      </c>
      <c r="Z12" s="105">
        <v>50.2</v>
      </c>
      <c r="AA12" s="105">
        <v>50.2</v>
      </c>
      <c r="AB12" s="105">
        <v>50.2</v>
      </c>
      <c r="AC12" s="105">
        <v>50.2</v>
      </c>
      <c r="AD12" s="105">
        <v>50.2</v>
      </c>
      <c r="AE12" s="105">
        <v>50.4</v>
      </c>
      <c r="AF12" s="105">
        <v>50.4</v>
      </c>
      <c r="AG12" s="126">
        <v>50</v>
      </c>
      <c r="AH12" s="20">
        <f t="shared" si="2"/>
        <v>50.7</v>
      </c>
      <c r="AI12" s="19">
        <f t="shared" si="3"/>
        <v>50.2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46</v>
      </c>
      <c r="C13" s="105">
        <v>46</v>
      </c>
      <c r="D13" s="105">
        <v>46</v>
      </c>
      <c r="E13" s="105">
        <v>46</v>
      </c>
      <c r="F13" s="105">
        <v>46</v>
      </c>
      <c r="G13" s="105">
        <v>46</v>
      </c>
      <c r="H13" s="105">
        <v>46</v>
      </c>
      <c r="I13" s="105">
        <v>46</v>
      </c>
      <c r="J13" s="105">
        <v>46</v>
      </c>
      <c r="K13" s="105">
        <v>46</v>
      </c>
      <c r="L13" s="105">
        <v>46</v>
      </c>
      <c r="M13" s="105">
        <v>46</v>
      </c>
      <c r="N13" s="105">
        <v>46</v>
      </c>
      <c r="O13" s="105">
        <v>46</v>
      </c>
      <c r="P13" s="105">
        <v>46</v>
      </c>
      <c r="Q13" s="105">
        <v>46</v>
      </c>
      <c r="R13" s="105">
        <v>46</v>
      </c>
      <c r="S13" s="105">
        <v>46</v>
      </c>
      <c r="T13" s="105">
        <v>45.9</v>
      </c>
      <c r="U13" s="105">
        <v>46.1</v>
      </c>
      <c r="V13" s="105">
        <v>46</v>
      </c>
      <c r="W13" s="105">
        <v>46</v>
      </c>
      <c r="X13" s="105">
        <v>46</v>
      </c>
      <c r="Y13" s="105">
        <v>46</v>
      </c>
      <c r="Z13" s="105">
        <v>46</v>
      </c>
      <c r="AA13" s="105">
        <v>46</v>
      </c>
      <c r="AB13" s="105">
        <v>46</v>
      </c>
      <c r="AC13" s="105">
        <v>46</v>
      </c>
      <c r="AD13" s="105">
        <v>46</v>
      </c>
      <c r="AE13" s="105">
        <v>46</v>
      </c>
      <c r="AF13" s="105">
        <v>46</v>
      </c>
      <c r="AG13" s="126">
        <v>45</v>
      </c>
      <c r="AH13" s="20">
        <f t="shared" si="2"/>
        <v>46.1</v>
      </c>
      <c r="AI13" s="19">
        <f t="shared" si="3"/>
        <v>45.9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27</v>
      </c>
      <c r="C14" s="105">
        <v>27</v>
      </c>
      <c r="D14" s="105">
        <v>27</v>
      </c>
      <c r="E14" s="105">
        <v>27</v>
      </c>
      <c r="F14" s="105">
        <v>27</v>
      </c>
      <c r="G14" s="105">
        <v>27</v>
      </c>
      <c r="H14" s="105">
        <v>27</v>
      </c>
      <c r="I14" s="105">
        <v>27</v>
      </c>
      <c r="J14" s="105">
        <v>27</v>
      </c>
      <c r="K14" s="105">
        <v>27</v>
      </c>
      <c r="L14" s="105">
        <v>35</v>
      </c>
      <c r="M14" s="105">
        <v>35</v>
      </c>
      <c r="N14" s="105">
        <v>35</v>
      </c>
      <c r="O14" s="105">
        <v>35</v>
      </c>
      <c r="P14" s="105">
        <v>35</v>
      </c>
      <c r="Q14" s="105">
        <v>35</v>
      </c>
      <c r="R14" s="105">
        <v>35</v>
      </c>
      <c r="S14" s="105">
        <v>35</v>
      </c>
      <c r="T14" s="105">
        <v>30</v>
      </c>
      <c r="U14" s="105">
        <v>34</v>
      </c>
      <c r="V14" s="105">
        <v>28</v>
      </c>
      <c r="W14" s="105">
        <v>32</v>
      </c>
      <c r="X14" s="105">
        <v>30</v>
      </c>
      <c r="Y14" s="105">
        <v>32</v>
      </c>
      <c r="Z14" s="105">
        <v>0</v>
      </c>
      <c r="AA14" s="105">
        <v>14</v>
      </c>
      <c r="AB14" s="105">
        <v>15</v>
      </c>
      <c r="AC14" s="105">
        <v>0</v>
      </c>
      <c r="AD14" s="105">
        <v>0</v>
      </c>
      <c r="AE14" s="105">
        <v>26</v>
      </c>
      <c r="AF14" s="105">
        <v>26</v>
      </c>
      <c r="AG14" s="126">
        <v>42</v>
      </c>
      <c r="AH14" s="20">
        <f t="shared" si="2"/>
        <v>35</v>
      </c>
      <c r="AI14" s="19">
        <f t="shared" si="3"/>
        <v>0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0</v>
      </c>
      <c r="N15" s="105">
        <v>0</v>
      </c>
      <c r="O15" s="105">
        <v>0</v>
      </c>
      <c r="P15" s="105">
        <v>0</v>
      </c>
      <c r="Q15" s="105">
        <v>0</v>
      </c>
      <c r="R15" s="105">
        <v>0</v>
      </c>
      <c r="S15" s="105">
        <v>0</v>
      </c>
      <c r="T15" s="105">
        <v>30</v>
      </c>
      <c r="U15" s="105">
        <v>30</v>
      </c>
      <c r="V15" s="105">
        <v>30</v>
      </c>
      <c r="W15" s="105">
        <v>30</v>
      </c>
      <c r="X15" s="105">
        <v>30</v>
      </c>
      <c r="Y15" s="105">
        <v>30</v>
      </c>
      <c r="Z15" s="105">
        <v>30</v>
      </c>
      <c r="AA15" s="105">
        <v>30</v>
      </c>
      <c r="AB15" s="105">
        <v>20</v>
      </c>
      <c r="AC15" s="105">
        <v>10</v>
      </c>
      <c r="AD15" s="105">
        <v>10</v>
      </c>
      <c r="AE15" s="105">
        <v>15</v>
      </c>
      <c r="AF15" s="105">
        <v>15</v>
      </c>
      <c r="AG15" s="96">
        <v>30</v>
      </c>
      <c r="AH15" s="20">
        <f t="shared" si="2"/>
        <v>30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268</v>
      </c>
      <c r="B16" s="105">
        <v>20</v>
      </c>
      <c r="C16" s="105">
        <v>20</v>
      </c>
      <c r="D16" s="105">
        <v>20</v>
      </c>
      <c r="E16" s="105">
        <v>20</v>
      </c>
      <c r="F16" s="105">
        <v>20</v>
      </c>
      <c r="G16" s="105">
        <v>20</v>
      </c>
      <c r="H16" s="105">
        <v>27</v>
      </c>
      <c r="I16" s="105">
        <v>27</v>
      </c>
      <c r="J16" s="105">
        <v>27</v>
      </c>
      <c r="K16" s="105">
        <v>27</v>
      </c>
      <c r="L16" s="105">
        <v>27</v>
      </c>
      <c r="M16" s="105">
        <v>27</v>
      </c>
      <c r="N16" s="105">
        <v>27</v>
      </c>
      <c r="O16" s="105">
        <v>27</v>
      </c>
      <c r="P16" s="105">
        <v>27</v>
      </c>
      <c r="Q16" s="105">
        <v>27</v>
      </c>
      <c r="R16" s="105">
        <v>27</v>
      </c>
      <c r="S16" s="105">
        <v>27</v>
      </c>
      <c r="T16" s="105">
        <v>27</v>
      </c>
      <c r="U16" s="105">
        <v>27</v>
      </c>
      <c r="V16" s="105">
        <v>27</v>
      </c>
      <c r="W16" s="105">
        <v>27</v>
      </c>
      <c r="X16" s="105">
        <v>27</v>
      </c>
      <c r="Y16" s="105">
        <v>27</v>
      </c>
      <c r="Z16" s="105">
        <v>27</v>
      </c>
      <c r="AA16" s="105">
        <v>27</v>
      </c>
      <c r="AB16" s="105">
        <v>27</v>
      </c>
      <c r="AC16" s="105">
        <v>27</v>
      </c>
      <c r="AD16" s="105">
        <v>27</v>
      </c>
      <c r="AE16" s="105">
        <v>27</v>
      </c>
      <c r="AF16" s="105">
        <v>27</v>
      </c>
      <c r="AG16" s="166"/>
      <c r="AH16" s="20">
        <f t="shared" si="2"/>
        <v>27</v>
      </c>
      <c r="AI16" s="19">
        <f t="shared" si="3"/>
        <v>20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217</v>
      </c>
      <c r="B17" s="105">
        <v>25</v>
      </c>
      <c r="C17" s="105">
        <v>25</v>
      </c>
      <c r="D17" s="105">
        <v>25</v>
      </c>
      <c r="E17" s="105">
        <v>25</v>
      </c>
      <c r="F17" s="105">
        <v>25</v>
      </c>
      <c r="G17" s="105">
        <v>25</v>
      </c>
      <c r="H17" s="105">
        <v>25</v>
      </c>
      <c r="I17" s="105">
        <v>25</v>
      </c>
      <c r="J17" s="105">
        <v>25</v>
      </c>
      <c r="K17" s="105">
        <v>25</v>
      </c>
      <c r="L17" s="105">
        <v>25</v>
      </c>
      <c r="M17" s="105">
        <v>25</v>
      </c>
      <c r="N17" s="105">
        <v>25</v>
      </c>
      <c r="O17" s="105">
        <v>25</v>
      </c>
      <c r="P17" s="105">
        <v>25</v>
      </c>
      <c r="Q17" s="105">
        <v>25</v>
      </c>
      <c r="R17" s="105">
        <v>25</v>
      </c>
      <c r="S17" s="105">
        <v>25</v>
      </c>
      <c r="T17" s="105">
        <v>25</v>
      </c>
      <c r="U17" s="105">
        <v>25</v>
      </c>
      <c r="V17" s="105">
        <v>25.2</v>
      </c>
      <c r="W17" s="105">
        <v>25.2</v>
      </c>
      <c r="X17" s="105">
        <v>25.2</v>
      </c>
      <c r="Y17" s="105">
        <v>25.2</v>
      </c>
      <c r="Z17" s="105">
        <v>25.2</v>
      </c>
      <c r="AA17" s="105">
        <v>25.2</v>
      </c>
      <c r="AB17" s="105">
        <v>25.2</v>
      </c>
      <c r="AC17" s="105">
        <v>25.2</v>
      </c>
      <c r="AD17" s="105">
        <v>25.2</v>
      </c>
      <c r="AE17" s="105">
        <v>25.2</v>
      </c>
      <c r="AF17" s="105">
        <v>25.2</v>
      </c>
      <c r="AG17" s="126">
        <v>25</v>
      </c>
      <c r="AH17" s="20">
        <f t="shared" si="2"/>
        <v>25.2</v>
      </c>
      <c r="AI17" s="19">
        <f t="shared" si="3"/>
        <v>25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216</v>
      </c>
      <c r="B18" s="105">
        <v>25</v>
      </c>
      <c r="C18" s="105">
        <v>25</v>
      </c>
      <c r="D18" s="105">
        <v>25</v>
      </c>
      <c r="E18" s="105">
        <v>25</v>
      </c>
      <c r="F18" s="105">
        <v>25</v>
      </c>
      <c r="G18" s="105">
        <v>25</v>
      </c>
      <c r="H18" s="105">
        <v>25</v>
      </c>
      <c r="I18" s="105">
        <v>25</v>
      </c>
      <c r="J18" s="105">
        <v>25</v>
      </c>
      <c r="K18" s="105">
        <v>25</v>
      </c>
      <c r="L18" s="105">
        <v>25</v>
      </c>
      <c r="M18" s="105">
        <v>25</v>
      </c>
      <c r="N18" s="105">
        <v>25</v>
      </c>
      <c r="O18" s="105">
        <v>25</v>
      </c>
      <c r="P18" s="105">
        <v>25</v>
      </c>
      <c r="Q18" s="105">
        <v>25</v>
      </c>
      <c r="R18" s="105">
        <v>25</v>
      </c>
      <c r="S18" s="105">
        <v>25</v>
      </c>
      <c r="T18" s="105">
        <v>25</v>
      </c>
      <c r="U18" s="105">
        <v>25</v>
      </c>
      <c r="V18" s="105">
        <v>25</v>
      </c>
      <c r="W18" s="105">
        <v>25</v>
      </c>
      <c r="X18" s="105">
        <v>25</v>
      </c>
      <c r="Y18" s="105">
        <v>25</v>
      </c>
      <c r="Z18" s="105">
        <v>25</v>
      </c>
      <c r="AA18" s="105">
        <v>25</v>
      </c>
      <c r="AB18" s="105">
        <v>25</v>
      </c>
      <c r="AC18" s="105">
        <v>25</v>
      </c>
      <c r="AD18" s="105">
        <v>25</v>
      </c>
      <c r="AE18" s="105">
        <v>25</v>
      </c>
      <c r="AF18" s="105">
        <v>25</v>
      </c>
      <c r="AG18" s="126">
        <v>25</v>
      </c>
      <c r="AH18" s="20">
        <f t="shared" si="2"/>
        <v>25</v>
      </c>
      <c r="AI18" s="19">
        <f t="shared" si="3"/>
        <v>25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215</v>
      </c>
      <c r="B19" s="105">
        <v>22</v>
      </c>
      <c r="C19" s="105">
        <v>22</v>
      </c>
      <c r="D19" s="105">
        <v>22</v>
      </c>
      <c r="E19" s="105">
        <v>22</v>
      </c>
      <c r="F19" s="105">
        <v>22</v>
      </c>
      <c r="G19" s="105">
        <v>22</v>
      </c>
      <c r="H19" s="105">
        <v>25</v>
      </c>
      <c r="I19" s="105">
        <v>25</v>
      </c>
      <c r="J19" s="105">
        <v>25</v>
      </c>
      <c r="K19" s="105">
        <v>25</v>
      </c>
      <c r="L19" s="105">
        <v>25</v>
      </c>
      <c r="M19" s="105">
        <v>25</v>
      </c>
      <c r="N19" s="105">
        <v>25</v>
      </c>
      <c r="O19" s="105">
        <v>25</v>
      </c>
      <c r="P19" s="105">
        <v>25</v>
      </c>
      <c r="Q19" s="105">
        <v>25</v>
      </c>
      <c r="R19" s="105">
        <v>25</v>
      </c>
      <c r="S19" s="105">
        <v>25</v>
      </c>
      <c r="T19" s="105">
        <v>25</v>
      </c>
      <c r="U19" s="105">
        <v>25</v>
      </c>
      <c r="V19" s="105">
        <v>25</v>
      </c>
      <c r="W19" s="105">
        <v>25</v>
      </c>
      <c r="X19" s="105">
        <v>25</v>
      </c>
      <c r="Y19" s="105">
        <v>25</v>
      </c>
      <c r="Z19" s="105">
        <v>25</v>
      </c>
      <c r="AA19" s="105">
        <v>25</v>
      </c>
      <c r="AB19" s="105">
        <v>25</v>
      </c>
      <c r="AC19" s="105">
        <v>25</v>
      </c>
      <c r="AD19" s="105">
        <v>25</v>
      </c>
      <c r="AE19" s="105">
        <v>25</v>
      </c>
      <c r="AF19" s="105">
        <v>25</v>
      </c>
      <c r="AG19" s="126">
        <v>25</v>
      </c>
      <c r="AH19" s="20">
        <f t="shared" si="2"/>
        <v>25</v>
      </c>
      <c r="AI19" s="19">
        <f t="shared" si="3"/>
        <v>22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214</v>
      </c>
      <c r="B20" s="105">
        <v>33.1</v>
      </c>
      <c r="C20" s="105">
        <v>33.1</v>
      </c>
      <c r="D20" s="105">
        <v>33.1</v>
      </c>
      <c r="E20" s="105">
        <v>33.1</v>
      </c>
      <c r="F20" s="105">
        <v>26</v>
      </c>
      <c r="G20" s="105">
        <v>26</v>
      </c>
      <c r="H20" s="105">
        <v>26</v>
      </c>
      <c r="I20" s="105">
        <v>26</v>
      </c>
      <c r="J20" s="105">
        <v>26</v>
      </c>
      <c r="K20" s="105">
        <v>26</v>
      </c>
      <c r="L20" s="105">
        <v>26</v>
      </c>
      <c r="M20" s="105">
        <v>26</v>
      </c>
      <c r="N20" s="105">
        <v>26</v>
      </c>
      <c r="O20" s="105">
        <v>26</v>
      </c>
      <c r="P20" s="105">
        <v>26</v>
      </c>
      <c r="Q20" s="105">
        <v>26</v>
      </c>
      <c r="R20" s="105">
        <v>26</v>
      </c>
      <c r="S20" s="105">
        <v>26</v>
      </c>
      <c r="T20" s="105">
        <v>33.200000000000003</v>
      </c>
      <c r="U20" s="105">
        <v>33.200000000000003</v>
      </c>
      <c r="V20" s="105">
        <v>33.200000000000003</v>
      </c>
      <c r="W20" s="105">
        <v>33.200000000000003</v>
      </c>
      <c r="X20" s="105">
        <v>33.200000000000003</v>
      </c>
      <c r="Y20" s="105">
        <v>33.200000000000003</v>
      </c>
      <c r="Z20" s="105">
        <v>33.200000000000003</v>
      </c>
      <c r="AA20" s="105">
        <v>33.200000000000003</v>
      </c>
      <c r="AB20" s="105">
        <v>33.200000000000003</v>
      </c>
      <c r="AC20" s="105">
        <v>33.200000000000003</v>
      </c>
      <c r="AD20" s="105">
        <v>33.200000000000003</v>
      </c>
      <c r="AE20" s="105">
        <v>33.200000000000003</v>
      </c>
      <c r="AF20" s="105">
        <v>33.200000000000003</v>
      </c>
      <c r="AG20" s="126">
        <v>24.2</v>
      </c>
      <c r="AH20" s="20">
        <f t="shared" si="2"/>
        <v>33.200000000000003</v>
      </c>
      <c r="AI20" s="19">
        <f t="shared" si="3"/>
        <v>26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23.5</v>
      </c>
      <c r="C21" s="105">
        <v>23.5</v>
      </c>
      <c r="D21" s="105">
        <v>23.5</v>
      </c>
      <c r="E21" s="105">
        <v>23.5</v>
      </c>
      <c r="F21" s="105">
        <v>23.5</v>
      </c>
      <c r="G21" s="105">
        <v>23.5</v>
      </c>
      <c r="H21" s="105">
        <v>23.5</v>
      </c>
      <c r="I21" s="105">
        <v>23.5</v>
      </c>
      <c r="J21" s="105">
        <v>23.5</v>
      </c>
      <c r="K21" s="105">
        <v>23.5</v>
      </c>
      <c r="L21" s="105">
        <v>23.5</v>
      </c>
      <c r="M21" s="105">
        <v>23.5</v>
      </c>
      <c r="N21" s="105">
        <v>23.5</v>
      </c>
      <c r="O21" s="105">
        <v>23.5</v>
      </c>
      <c r="P21" s="105">
        <v>23.5</v>
      </c>
      <c r="Q21" s="105">
        <v>23.5</v>
      </c>
      <c r="R21" s="105">
        <v>23.5</v>
      </c>
      <c r="S21" s="105">
        <v>23.5</v>
      </c>
      <c r="T21" s="105">
        <v>23.5</v>
      </c>
      <c r="U21" s="105">
        <v>23.5</v>
      </c>
      <c r="V21" s="105">
        <v>23.5</v>
      </c>
      <c r="W21" s="105">
        <v>23.5</v>
      </c>
      <c r="X21" s="105">
        <v>23.5</v>
      </c>
      <c r="Y21" s="105">
        <v>23.5</v>
      </c>
      <c r="Z21" s="105">
        <v>23.5</v>
      </c>
      <c r="AA21" s="105">
        <v>23.5</v>
      </c>
      <c r="AB21" s="105">
        <v>23.5</v>
      </c>
      <c r="AC21" s="105">
        <v>23.5</v>
      </c>
      <c r="AD21" s="105">
        <v>23.5</v>
      </c>
      <c r="AE21" s="105">
        <v>23.5</v>
      </c>
      <c r="AF21" s="105">
        <v>23.5</v>
      </c>
      <c r="AG21" s="126">
        <v>23.5</v>
      </c>
      <c r="AH21" s="20">
        <f t="shared" si="2"/>
        <v>23.5</v>
      </c>
      <c r="AI21" s="19">
        <f t="shared" si="3"/>
        <v>23.5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11</v>
      </c>
      <c r="C22" s="105">
        <v>11</v>
      </c>
      <c r="D22" s="105">
        <v>11</v>
      </c>
      <c r="E22" s="105">
        <v>11</v>
      </c>
      <c r="F22" s="105">
        <v>11</v>
      </c>
      <c r="G22" s="105">
        <v>11</v>
      </c>
      <c r="H22" s="105">
        <v>11</v>
      </c>
      <c r="I22" s="105">
        <v>11</v>
      </c>
      <c r="J22" s="105">
        <v>11</v>
      </c>
      <c r="K22" s="105">
        <v>11</v>
      </c>
      <c r="L22" s="105">
        <v>11</v>
      </c>
      <c r="M22" s="105">
        <v>11</v>
      </c>
      <c r="N22" s="105">
        <v>11</v>
      </c>
      <c r="O22" s="105">
        <v>11</v>
      </c>
      <c r="P22" s="105">
        <v>11</v>
      </c>
      <c r="Q22" s="105">
        <v>11</v>
      </c>
      <c r="R22" s="105">
        <v>11</v>
      </c>
      <c r="S22" s="105">
        <v>0</v>
      </c>
      <c r="T22" s="105">
        <v>0</v>
      </c>
      <c r="U22" s="105">
        <v>0</v>
      </c>
      <c r="V22" s="105">
        <v>0</v>
      </c>
      <c r="W22" s="105">
        <v>0</v>
      </c>
      <c r="X22" s="105">
        <v>0</v>
      </c>
      <c r="Y22" s="105">
        <v>0</v>
      </c>
      <c r="Z22" s="105">
        <v>0</v>
      </c>
      <c r="AA22" s="105">
        <v>0</v>
      </c>
      <c r="AB22" s="105">
        <v>9</v>
      </c>
      <c r="AC22" s="105">
        <v>9</v>
      </c>
      <c r="AD22" s="105">
        <v>9</v>
      </c>
      <c r="AE22" s="105">
        <v>9</v>
      </c>
      <c r="AF22" s="105">
        <v>9</v>
      </c>
      <c r="AG22" s="126">
        <v>22.2</v>
      </c>
      <c r="AH22" s="20">
        <f t="shared" si="2"/>
        <v>11</v>
      </c>
      <c r="AI22" s="19">
        <f t="shared" si="3"/>
        <v>0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22</v>
      </c>
      <c r="C23" s="105">
        <v>22</v>
      </c>
      <c r="D23" s="105">
        <v>22</v>
      </c>
      <c r="E23" s="105">
        <v>22</v>
      </c>
      <c r="F23" s="105">
        <v>22</v>
      </c>
      <c r="G23" s="105">
        <v>22</v>
      </c>
      <c r="H23" s="105">
        <v>22</v>
      </c>
      <c r="I23" s="105">
        <v>22</v>
      </c>
      <c r="J23" s="105">
        <v>22</v>
      </c>
      <c r="K23" s="105">
        <v>22</v>
      </c>
      <c r="L23" s="105">
        <v>22</v>
      </c>
      <c r="M23" s="105">
        <v>22</v>
      </c>
      <c r="N23" s="105">
        <v>22</v>
      </c>
      <c r="O23" s="105">
        <v>22</v>
      </c>
      <c r="P23" s="105">
        <v>22</v>
      </c>
      <c r="Q23" s="105">
        <v>22</v>
      </c>
      <c r="R23" s="105">
        <v>22</v>
      </c>
      <c r="S23" s="105">
        <v>22</v>
      </c>
      <c r="T23" s="105">
        <v>22</v>
      </c>
      <c r="U23" s="105">
        <v>22</v>
      </c>
      <c r="V23" s="105">
        <v>22</v>
      </c>
      <c r="W23" s="105">
        <v>22</v>
      </c>
      <c r="X23" s="105">
        <v>22</v>
      </c>
      <c r="Y23" s="105">
        <v>22</v>
      </c>
      <c r="Z23" s="105">
        <v>22</v>
      </c>
      <c r="AA23" s="105">
        <v>22</v>
      </c>
      <c r="AB23" s="105">
        <v>22</v>
      </c>
      <c r="AC23" s="105">
        <v>22</v>
      </c>
      <c r="AD23" s="105">
        <v>22</v>
      </c>
      <c r="AE23" s="105">
        <v>22</v>
      </c>
      <c r="AF23" s="105">
        <v>22</v>
      </c>
      <c r="AG23" s="126">
        <v>22.1</v>
      </c>
      <c r="AH23" s="20">
        <f t="shared" si="2"/>
        <v>22</v>
      </c>
      <c r="AI23" s="19">
        <f t="shared" si="3"/>
        <v>22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22</v>
      </c>
      <c r="C24" s="105">
        <v>22</v>
      </c>
      <c r="D24" s="105">
        <v>22</v>
      </c>
      <c r="E24" s="105">
        <v>22</v>
      </c>
      <c r="F24" s="105">
        <v>22</v>
      </c>
      <c r="G24" s="105">
        <v>22</v>
      </c>
      <c r="H24" s="105">
        <v>22</v>
      </c>
      <c r="I24" s="105">
        <v>22</v>
      </c>
      <c r="J24" s="105">
        <v>22</v>
      </c>
      <c r="K24" s="105">
        <v>22</v>
      </c>
      <c r="L24" s="105">
        <v>22</v>
      </c>
      <c r="M24" s="105">
        <v>22</v>
      </c>
      <c r="N24" s="105">
        <v>22</v>
      </c>
      <c r="O24" s="105">
        <v>22</v>
      </c>
      <c r="P24" s="105">
        <v>22</v>
      </c>
      <c r="Q24" s="105">
        <v>22</v>
      </c>
      <c r="R24" s="105">
        <v>22</v>
      </c>
      <c r="S24" s="105">
        <v>22</v>
      </c>
      <c r="T24" s="105">
        <v>22</v>
      </c>
      <c r="U24" s="105">
        <v>22</v>
      </c>
      <c r="V24" s="105">
        <v>22</v>
      </c>
      <c r="W24" s="105">
        <v>22</v>
      </c>
      <c r="X24" s="105">
        <v>22</v>
      </c>
      <c r="Y24" s="105">
        <v>22</v>
      </c>
      <c r="Z24" s="105">
        <v>22</v>
      </c>
      <c r="AA24" s="105">
        <v>22</v>
      </c>
      <c r="AB24" s="105">
        <v>22</v>
      </c>
      <c r="AC24" s="105">
        <v>22</v>
      </c>
      <c r="AD24" s="105">
        <v>22</v>
      </c>
      <c r="AE24" s="105">
        <v>22</v>
      </c>
      <c r="AF24" s="105">
        <v>22</v>
      </c>
      <c r="AG24" s="126">
        <v>22</v>
      </c>
      <c r="AH24" s="20">
        <f t="shared" si="2"/>
        <v>22</v>
      </c>
      <c r="AI24" s="19">
        <f t="shared" si="3"/>
        <v>22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22</v>
      </c>
      <c r="C25" s="105">
        <v>22</v>
      </c>
      <c r="D25" s="105">
        <v>22</v>
      </c>
      <c r="E25" s="105">
        <v>22</v>
      </c>
      <c r="F25" s="105">
        <v>22</v>
      </c>
      <c r="G25" s="105">
        <v>22</v>
      </c>
      <c r="H25" s="105">
        <v>22</v>
      </c>
      <c r="I25" s="105">
        <v>22</v>
      </c>
      <c r="J25" s="105">
        <v>22</v>
      </c>
      <c r="K25" s="105">
        <v>22</v>
      </c>
      <c r="L25" s="105">
        <v>22</v>
      </c>
      <c r="M25" s="105">
        <v>22</v>
      </c>
      <c r="N25" s="105">
        <v>22</v>
      </c>
      <c r="O25" s="105">
        <v>22</v>
      </c>
      <c r="P25" s="105">
        <v>22</v>
      </c>
      <c r="Q25" s="105">
        <v>22</v>
      </c>
      <c r="R25" s="105">
        <v>22</v>
      </c>
      <c r="S25" s="105">
        <v>22</v>
      </c>
      <c r="T25" s="105">
        <v>22</v>
      </c>
      <c r="U25" s="105">
        <v>22</v>
      </c>
      <c r="V25" s="105">
        <v>22</v>
      </c>
      <c r="W25" s="105">
        <v>22</v>
      </c>
      <c r="X25" s="105">
        <v>22</v>
      </c>
      <c r="Y25" s="105">
        <v>22</v>
      </c>
      <c r="Z25" s="105">
        <v>22</v>
      </c>
      <c r="AA25" s="105">
        <v>22</v>
      </c>
      <c r="AB25" s="105">
        <v>22</v>
      </c>
      <c r="AC25" s="105">
        <v>22</v>
      </c>
      <c r="AD25" s="105">
        <v>22</v>
      </c>
      <c r="AE25" s="105">
        <v>22</v>
      </c>
      <c r="AF25" s="105">
        <v>22</v>
      </c>
      <c r="AG25" s="126">
        <v>22</v>
      </c>
      <c r="AH25" s="20">
        <f t="shared" si="2"/>
        <v>22</v>
      </c>
      <c r="AI25" s="19">
        <f t="shared" si="3"/>
        <v>22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5">
        <v>0</v>
      </c>
      <c r="M26" s="105">
        <v>0</v>
      </c>
      <c r="N26" s="105">
        <v>0</v>
      </c>
      <c r="O26" s="105">
        <v>0</v>
      </c>
      <c r="P26" s="105">
        <v>0</v>
      </c>
      <c r="Q26" s="105">
        <v>0</v>
      </c>
      <c r="R26" s="105">
        <v>0</v>
      </c>
      <c r="S26" s="105">
        <v>13</v>
      </c>
      <c r="T26" s="105">
        <v>9</v>
      </c>
      <c r="U26" s="105">
        <v>10</v>
      </c>
      <c r="V26" s="105">
        <v>10</v>
      </c>
      <c r="W26" s="105">
        <v>10</v>
      </c>
      <c r="X26" s="105">
        <v>10</v>
      </c>
      <c r="Y26" s="105">
        <v>10</v>
      </c>
      <c r="Z26" s="105">
        <v>15</v>
      </c>
      <c r="AA26" s="105">
        <v>20</v>
      </c>
      <c r="AB26" s="105">
        <v>0</v>
      </c>
      <c r="AC26" s="105">
        <v>0</v>
      </c>
      <c r="AD26" s="105">
        <v>0</v>
      </c>
      <c r="AE26" s="105">
        <v>0</v>
      </c>
      <c r="AF26" s="105">
        <v>0</v>
      </c>
      <c r="AG26" s="126">
        <v>20</v>
      </c>
      <c r="AH26" s="20">
        <f t="shared" si="2"/>
        <v>20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0</v>
      </c>
      <c r="C27" s="105">
        <v>0</v>
      </c>
      <c r="D27" s="105">
        <v>0</v>
      </c>
      <c r="E27" s="105">
        <v>0</v>
      </c>
      <c r="F27" s="105">
        <v>0</v>
      </c>
      <c r="G27" s="105">
        <v>0</v>
      </c>
      <c r="H27" s="105">
        <v>0</v>
      </c>
      <c r="I27" s="105">
        <v>0</v>
      </c>
      <c r="J27" s="105">
        <v>14</v>
      </c>
      <c r="K27" s="105">
        <v>14</v>
      </c>
      <c r="L27" s="105">
        <v>14</v>
      </c>
      <c r="M27" s="105">
        <v>14</v>
      </c>
      <c r="N27" s="105">
        <v>14</v>
      </c>
      <c r="O27" s="105">
        <v>14</v>
      </c>
      <c r="P27" s="105">
        <v>14</v>
      </c>
      <c r="Q27" s="105">
        <v>14</v>
      </c>
      <c r="R27" s="105">
        <v>14</v>
      </c>
      <c r="S27" s="105">
        <v>14</v>
      </c>
      <c r="T27" s="105">
        <v>14</v>
      </c>
      <c r="U27" s="105">
        <v>14</v>
      </c>
      <c r="V27" s="105">
        <v>14</v>
      </c>
      <c r="W27" s="105">
        <v>14</v>
      </c>
      <c r="X27" s="105">
        <v>14</v>
      </c>
      <c r="Y27" s="105">
        <v>14</v>
      </c>
      <c r="Z27" s="105">
        <v>14</v>
      </c>
      <c r="AA27" s="105">
        <v>14</v>
      </c>
      <c r="AB27" s="105">
        <v>14</v>
      </c>
      <c r="AC27" s="105">
        <v>14</v>
      </c>
      <c r="AD27" s="105">
        <v>14</v>
      </c>
      <c r="AE27" s="105">
        <v>14</v>
      </c>
      <c r="AF27" s="105">
        <v>14</v>
      </c>
      <c r="AG27" s="126">
        <v>14.9</v>
      </c>
      <c r="AH27" s="20">
        <f t="shared" si="2"/>
        <v>14</v>
      </c>
      <c r="AI27" s="19">
        <f t="shared" si="3"/>
        <v>0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8</v>
      </c>
      <c r="C28" s="105">
        <v>8</v>
      </c>
      <c r="D28" s="105">
        <v>8</v>
      </c>
      <c r="E28" s="105">
        <v>8</v>
      </c>
      <c r="F28" s="105">
        <v>8</v>
      </c>
      <c r="G28" s="105">
        <v>8</v>
      </c>
      <c r="H28" s="105">
        <v>8</v>
      </c>
      <c r="I28" s="105">
        <v>8</v>
      </c>
      <c r="J28" s="105">
        <v>8</v>
      </c>
      <c r="K28" s="105">
        <v>8</v>
      </c>
      <c r="L28" s="105">
        <v>8</v>
      </c>
      <c r="M28" s="105">
        <v>8</v>
      </c>
      <c r="N28" s="105">
        <v>8</v>
      </c>
      <c r="O28" s="105">
        <v>8</v>
      </c>
      <c r="P28" s="105">
        <v>8</v>
      </c>
      <c r="Q28" s="105">
        <v>8</v>
      </c>
      <c r="R28" s="105">
        <v>8</v>
      </c>
      <c r="S28" s="105">
        <v>8</v>
      </c>
      <c r="T28" s="105">
        <v>8</v>
      </c>
      <c r="U28" s="105">
        <v>8</v>
      </c>
      <c r="V28" s="105">
        <v>8</v>
      </c>
      <c r="W28" s="105">
        <v>8</v>
      </c>
      <c r="X28" s="105">
        <v>8</v>
      </c>
      <c r="Y28" s="105">
        <v>8</v>
      </c>
      <c r="Z28" s="105">
        <v>8</v>
      </c>
      <c r="AA28" s="105">
        <v>8</v>
      </c>
      <c r="AB28" s="105">
        <v>8</v>
      </c>
      <c r="AC28" s="105">
        <v>0</v>
      </c>
      <c r="AD28" s="105">
        <v>0</v>
      </c>
      <c r="AE28" s="105">
        <v>6.8</v>
      </c>
      <c r="AF28" s="105">
        <v>6.8</v>
      </c>
      <c r="AG28" s="126">
        <v>13.6</v>
      </c>
      <c r="AH28" s="20">
        <f t="shared" si="2"/>
        <v>8</v>
      </c>
      <c r="AI28" s="19">
        <f t="shared" si="3"/>
        <v>0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11</v>
      </c>
      <c r="C29" s="105">
        <v>11</v>
      </c>
      <c r="D29" s="105">
        <v>11</v>
      </c>
      <c r="E29" s="105">
        <v>11</v>
      </c>
      <c r="F29" s="105">
        <v>11</v>
      </c>
      <c r="G29" s="105">
        <v>11</v>
      </c>
      <c r="H29" s="105">
        <v>11</v>
      </c>
      <c r="I29" s="105">
        <v>11</v>
      </c>
      <c r="J29" s="105">
        <v>11</v>
      </c>
      <c r="K29" s="105">
        <v>11</v>
      </c>
      <c r="L29" s="105">
        <v>11</v>
      </c>
      <c r="M29" s="105">
        <v>11</v>
      </c>
      <c r="N29" s="105">
        <v>11</v>
      </c>
      <c r="O29" s="105">
        <v>11</v>
      </c>
      <c r="P29" s="105">
        <v>11</v>
      </c>
      <c r="Q29" s="105">
        <v>11</v>
      </c>
      <c r="R29" s="105">
        <v>11</v>
      </c>
      <c r="S29" s="105">
        <v>11</v>
      </c>
      <c r="T29" s="105">
        <v>11</v>
      </c>
      <c r="U29" s="105">
        <v>11</v>
      </c>
      <c r="V29" s="105">
        <v>11</v>
      </c>
      <c r="W29" s="105">
        <v>11</v>
      </c>
      <c r="X29" s="105">
        <v>11</v>
      </c>
      <c r="Y29" s="105">
        <v>11</v>
      </c>
      <c r="Z29" s="105">
        <v>11</v>
      </c>
      <c r="AA29" s="105">
        <v>11</v>
      </c>
      <c r="AB29" s="105">
        <v>11</v>
      </c>
      <c r="AC29" s="105">
        <v>11</v>
      </c>
      <c r="AD29" s="105">
        <v>11</v>
      </c>
      <c r="AE29" s="105">
        <v>11</v>
      </c>
      <c r="AF29" s="105">
        <v>11</v>
      </c>
      <c r="AG29" s="126">
        <v>13</v>
      </c>
      <c r="AH29" s="20">
        <f t="shared" si="2"/>
        <v>11</v>
      </c>
      <c r="AI29" s="19">
        <f t="shared" si="3"/>
        <v>11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269</v>
      </c>
      <c r="B30" s="105">
        <v>5</v>
      </c>
      <c r="C30" s="105">
        <v>5</v>
      </c>
      <c r="D30" s="105">
        <v>5</v>
      </c>
      <c r="E30" s="105">
        <v>5</v>
      </c>
      <c r="F30" s="105">
        <v>5</v>
      </c>
      <c r="G30" s="105">
        <v>5</v>
      </c>
      <c r="H30" s="105">
        <v>12</v>
      </c>
      <c r="I30" s="105">
        <v>12</v>
      </c>
      <c r="J30" s="105">
        <v>12</v>
      </c>
      <c r="K30" s="105">
        <v>12</v>
      </c>
      <c r="L30" s="105">
        <v>12</v>
      </c>
      <c r="M30" s="105">
        <v>12</v>
      </c>
      <c r="N30" s="105">
        <v>12</v>
      </c>
      <c r="O30" s="105">
        <v>12</v>
      </c>
      <c r="P30" s="105">
        <v>12</v>
      </c>
      <c r="Q30" s="105">
        <v>12</v>
      </c>
      <c r="R30" s="105">
        <v>12</v>
      </c>
      <c r="S30" s="105">
        <v>12</v>
      </c>
      <c r="T30" s="105">
        <v>12</v>
      </c>
      <c r="U30" s="105">
        <v>12</v>
      </c>
      <c r="V30" s="105">
        <v>12</v>
      </c>
      <c r="W30" s="105">
        <v>12</v>
      </c>
      <c r="X30" s="105">
        <v>12</v>
      </c>
      <c r="Y30" s="105">
        <v>12</v>
      </c>
      <c r="Z30" s="105">
        <v>12</v>
      </c>
      <c r="AA30" s="105">
        <v>12</v>
      </c>
      <c r="AB30" s="105">
        <v>12</v>
      </c>
      <c r="AC30" s="105">
        <v>12</v>
      </c>
      <c r="AD30" s="105">
        <v>12</v>
      </c>
      <c r="AE30" s="105">
        <v>12</v>
      </c>
      <c r="AF30" s="105">
        <v>12</v>
      </c>
      <c r="AG30" s="126"/>
      <c r="AH30" s="20">
        <f t="shared" si="2"/>
        <v>12</v>
      </c>
      <c r="AI30" s="19">
        <f t="shared" si="3"/>
        <v>5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12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>
        <v>12</v>
      </c>
      <c r="AE31" s="105">
        <v>12</v>
      </c>
      <c r="AF31" s="105">
        <v>12</v>
      </c>
      <c r="AG31" s="126">
        <v>12</v>
      </c>
      <c r="AH31" s="20">
        <f t="shared" si="2"/>
        <v>12</v>
      </c>
      <c r="AI31" s="19">
        <f t="shared" si="3"/>
        <v>12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2</v>
      </c>
      <c r="C32" s="105">
        <v>2</v>
      </c>
      <c r="D32" s="105">
        <v>2</v>
      </c>
      <c r="E32" s="105">
        <v>2</v>
      </c>
      <c r="F32" s="105">
        <v>2</v>
      </c>
      <c r="G32" s="105">
        <v>2</v>
      </c>
      <c r="H32" s="105">
        <v>2</v>
      </c>
      <c r="I32" s="105">
        <v>2</v>
      </c>
      <c r="J32" s="105">
        <v>2</v>
      </c>
      <c r="K32" s="105">
        <v>2</v>
      </c>
      <c r="L32" s="105">
        <v>2</v>
      </c>
      <c r="M32" s="105">
        <v>2</v>
      </c>
      <c r="N32" s="105">
        <v>2</v>
      </c>
      <c r="O32" s="105">
        <v>2</v>
      </c>
      <c r="P32" s="105">
        <v>2</v>
      </c>
      <c r="Q32" s="105">
        <v>2</v>
      </c>
      <c r="R32" s="105">
        <v>2</v>
      </c>
      <c r="S32" s="105">
        <v>2</v>
      </c>
      <c r="T32" s="105">
        <v>2</v>
      </c>
      <c r="U32" s="105">
        <v>2</v>
      </c>
      <c r="V32" s="105">
        <v>2</v>
      </c>
      <c r="W32" s="105">
        <v>2</v>
      </c>
      <c r="X32" s="105">
        <v>2</v>
      </c>
      <c r="Y32" s="105">
        <v>2</v>
      </c>
      <c r="Z32" s="105">
        <v>2</v>
      </c>
      <c r="AA32" s="105">
        <v>2</v>
      </c>
      <c r="AB32" s="105">
        <v>2</v>
      </c>
      <c r="AC32" s="105">
        <v>2</v>
      </c>
      <c r="AD32" s="105">
        <v>2</v>
      </c>
      <c r="AE32" s="105">
        <v>2</v>
      </c>
      <c r="AF32" s="105">
        <v>2</v>
      </c>
      <c r="AG32" s="126">
        <v>12</v>
      </c>
      <c r="AH32" s="20">
        <f t="shared" si="2"/>
        <v>2</v>
      </c>
      <c r="AI32" s="19">
        <f t="shared" si="3"/>
        <v>2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12</v>
      </c>
      <c r="C33" s="105">
        <v>12</v>
      </c>
      <c r="D33" s="105">
        <v>12</v>
      </c>
      <c r="E33" s="105">
        <v>12</v>
      </c>
      <c r="F33" s="105">
        <v>12</v>
      </c>
      <c r="G33" s="105">
        <v>12</v>
      </c>
      <c r="H33" s="105">
        <v>12</v>
      </c>
      <c r="I33" s="105">
        <v>12</v>
      </c>
      <c r="J33" s="105">
        <v>12</v>
      </c>
      <c r="K33" s="105">
        <v>12</v>
      </c>
      <c r="L33" s="105">
        <v>12</v>
      </c>
      <c r="M33" s="105">
        <v>12</v>
      </c>
      <c r="N33" s="105">
        <v>12</v>
      </c>
      <c r="O33" s="105">
        <v>12</v>
      </c>
      <c r="P33" s="105">
        <v>12</v>
      </c>
      <c r="Q33" s="105">
        <v>12</v>
      </c>
      <c r="R33" s="105">
        <v>12</v>
      </c>
      <c r="S33" s="105">
        <v>12</v>
      </c>
      <c r="T33" s="105">
        <v>12</v>
      </c>
      <c r="U33" s="105">
        <v>12</v>
      </c>
      <c r="V33" s="105">
        <v>12</v>
      </c>
      <c r="W33" s="105">
        <v>12</v>
      </c>
      <c r="X33" s="105">
        <v>12</v>
      </c>
      <c r="Y33" s="105">
        <v>12</v>
      </c>
      <c r="Z33" s="105">
        <v>12</v>
      </c>
      <c r="AA33" s="105">
        <v>12</v>
      </c>
      <c r="AB33" s="105">
        <v>12</v>
      </c>
      <c r="AC33" s="105">
        <v>12</v>
      </c>
      <c r="AD33" s="105">
        <v>12</v>
      </c>
      <c r="AE33" s="105">
        <v>12</v>
      </c>
      <c r="AF33" s="105">
        <v>12</v>
      </c>
      <c r="AG33" s="125">
        <v>22</v>
      </c>
      <c r="AH33" s="20">
        <f t="shared" si="2"/>
        <v>12</v>
      </c>
      <c r="AI33" s="19">
        <f t="shared" si="3"/>
        <v>12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Z34" s="105">
        <v>11</v>
      </c>
      <c r="AA34" s="105">
        <v>11</v>
      </c>
      <c r="AB34" s="105">
        <v>11</v>
      </c>
      <c r="AC34" s="105">
        <v>11</v>
      </c>
      <c r="AD34" s="105">
        <v>11</v>
      </c>
      <c r="AE34" s="105">
        <v>11</v>
      </c>
      <c r="AF34" s="105">
        <v>11</v>
      </c>
      <c r="AG34" s="96">
        <v>11.88</v>
      </c>
      <c r="AH34" s="20">
        <f t="shared" si="2"/>
        <v>11</v>
      </c>
      <c r="AI34" s="19">
        <f t="shared" si="3"/>
        <v>0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>
        <v>11</v>
      </c>
      <c r="AG35" s="94">
        <v>11</v>
      </c>
      <c r="AH35" s="20">
        <f t="shared" si="2"/>
        <v>11</v>
      </c>
      <c r="AI35" s="19">
        <f t="shared" si="3"/>
        <v>11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8.8000000000000007</v>
      </c>
      <c r="C36" s="105">
        <v>8.8000000000000007</v>
      </c>
      <c r="D36" s="105">
        <v>8.8000000000000007</v>
      </c>
      <c r="E36" s="105">
        <v>8.8000000000000007</v>
      </c>
      <c r="F36" s="105">
        <v>8.8000000000000007</v>
      </c>
      <c r="G36" s="105">
        <v>8.8000000000000007</v>
      </c>
      <c r="H36" s="105">
        <v>8.8000000000000007</v>
      </c>
      <c r="I36" s="105">
        <v>8.8000000000000007</v>
      </c>
      <c r="J36" s="105">
        <v>8.8000000000000007</v>
      </c>
      <c r="K36" s="105">
        <v>8.8000000000000007</v>
      </c>
      <c r="L36" s="105">
        <v>8.8000000000000007</v>
      </c>
      <c r="M36" s="105">
        <v>8.8000000000000007</v>
      </c>
      <c r="N36" s="105">
        <v>8.8000000000000007</v>
      </c>
      <c r="O36" s="105">
        <v>8.8000000000000007</v>
      </c>
      <c r="P36" s="105">
        <v>8.8000000000000007</v>
      </c>
      <c r="Q36" s="105">
        <v>8.8000000000000007</v>
      </c>
      <c r="R36" s="105">
        <v>8.8000000000000007</v>
      </c>
      <c r="S36" s="105">
        <v>8.8000000000000007</v>
      </c>
      <c r="T36" s="105">
        <v>8.8000000000000007</v>
      </c>
      <c r="U36" s="105">
        <v>8.8000000000000007</v>
      </c>
      <c r="V36" s="105">
        <v>8.8000000000000007</v>
      </c>
      <c r="W36" s="105">
        <v>8.8000000000000007</v>
      </c>
      <c r="X36" s="105">
        <v>8.8000000000000007</v>
      </c>
      <c r="Y36" s="105">
        <v>8.8000000000000007</v>
      </c>
      <c r="Z36" s="105">
        <v>8.8000000000000007</v>
      </c>
      <c r="AA36" s="105">
        <v>8.8000000000000007</v>
      </c>
      <c r="AB36" s="105">
        <v>8.8000000000000007</v>
      </c>
      <c r="AC36" s="105">
        <v>0</v>
      </c>
      <c r="AD36" s="105">
        <v>0</v>
      </c>
      <c r="AE36" s="105">
        <v>9</v>
      </c>
      <c r="AF36" s="105">
        <v>9</v>
      </c>
      <c r="AG36" s="94">
        <v>10</v>
      </c>
      <c r="AH36" s="20">
        <f t="shared" si="2"/>
        <v>9</v>
      </c>
      <c r="AI36" s="19">
        <f t="shared" si="3"/>
        <v>0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4</v>
      </c>
      <c r="C37" s="105">
        <v>4</v>
      </c>
      <c r="D37" s="105">
        <v>4</v>
      </c>
      <c r="E37" s="105">
        <v>4</v>
      </c>
      <c r="F37" s="105">
        <v>4</v>
      </c>
      <c r="G37" s="105">
        <v>4</v>
      </c>
      <c r="H37" s="105">
        <v>4</v>
      </c>
      <c r="I37" s="105">
        <v>4</v>
      </c>
      <c r="J37" s="105">
        <v>4</v>
      </c>
      <c r="K37" s="105">
        <v>4</v>
      </c>
      <c r="L37" s="105">
        <v>4</v>
      </c>
      <c r="M37" s="105">
        <v>4</v>
      </c>
      <c r="N37" s="105">
        <v>4</v>
      </c>
      <c r="O37" s="105">
        <v>4</v>
      </c>
      <c r="P37" s="105">
        <v>4</v>
      </c>
      <c r="Q37" s="105">
        <v>4</v>
      </c>
      <c r="R37" s="105">
        <v>4</v>
      </c>
      <c r="S37" s="105">
        <v>4</v>
      </c>
      <c r="T37" s="105">
        <v>4</v>
      </c>
      <c r="U37" s="105">
        <v>4</v>
      </c>
      <c r="V37" s="105">
        <v>4</v>
      </c>
      <c r="W37" s="105">
        <v>4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4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v>170</v>
      </c>
      <c r="C39" s="119">
        <v>171</v>
      </c>
      <c r="D39" s="119">
        <v>171</v>
      </c>
      <c r="E39" s="119">
        <v>171</v>
      </c>
      <c r="F39" s="119">
        <v>171</v>
      </c>
      <c r="G39" s="119">
        <v>171</v>
      </c>
      <c r="H39" s="119">
        <v>170</v>
      </c>
      <c r="I39" s="119">
        <v>170</v>
      </c>
      <c r="J39" s="119">
        <v>184</v>
      </c>
      <c r="K39" s="119">
        <v>184</v>
      </c>
      <c r="L39" s="119">
        <v>182</v>
      </c>
      <c r="M39" s="119">
        <f t="shared" ref="M39:R39" si="4">82.9+99.5</f>
        <v>182.4</v>
      </c>
      <c r="N39" s="119">
        <f t="shared" si="4"/>
        <v>182.4</v>
      </c>
      <c r="O39" s="119">
        <f t="shared" si="4"/>
        <v>182.4</v>
      </c>
      <c r="P39" s="119">
        <f t="shared" si="4"/>
        <v>182.4</v>
      </c>
      <c r="Q39" s="119">
        <f t="shared" si="4"/>
        <v>182.4</v>
      </c>
      <c r="R39" s="119">
        <f t="shared" si="4"/>
        <v>182.4</v>
      </c>
      <c r="S39" s="119">
        <f>85.3+90.1</f>
        <v>175.39999999999998</v>
      </c>
      <c r="T39" s="119">
        <f>91+69.6</f>
        <v>160.6</v>
      </c>
      <c r="U39" s="119">
        <f>100.5+84.8</f>
        <v>185.3</v>
      </c>
      <c r="V39" s="119">
        <f>91.9+82.8</f>
        <v>174.7</v>
      </c>
      <c r="W39" s="119">
        <f>84.1+95.5</f>
        <v>179.6</v>
      </c>
      <c r="X39" s="119">
        <f>99.4+84.1</f>
        <v>183.5</v>
      </c>
      <c r="Y39" s="119">
        <v>181</v>
      </c>
      <c r="Z39" s="119">
        <f>98.6+82.6</f>
        <v>181.2</v>
      </c>
      <c r="AA39" s="119">
        <f>82.8+98.6</f>
        <v>181.39999999999998</v>
      </c>
      <c r="AB39" s="119">
        <f>79.6+83.6</f>
        <v>163.19999999999999</v>
      </c>
      <c r="AC39" s="119">
        <f>83.6+98.3</f>
        <v>181.89999999999998</v>
      </c>
      <c r="AD39" s="119">
        <f>83.8+99.5</f>
        <v>183.3</v>
      </c>
      <c r="AE39" s="119">
        <f>82+100.5</f>
        <v>182.5</v>
      </c>
      <c r="AF39" s="119">
        <f>65.4+97.8</f>
        <v>163.19999999999999</v>
      </c>
      <c r="AG39" s="94">
        <v>240</v>
      </c>
      <c r="AH39" s="20">
        <f t="shared" si="2"/>
        <v>185.3</v>
      </c>
      <c r="AI39" s="19">
        <f t="shared" si="3"/>
        <v>160.6</v>
      </c>
      <c r="AK39" s="41"/>
    </row>
    <row r="40" spans="1:88" ht="15.75" thickBot="1" x14ac:dyDescent="0.3">
      <c r="A40" s="118" t="s">
        <v>195</v>
      </c>
      <c r="B40" s="86">
        <v>765.9</v>
      </c>
      <c r="C40" s="86">
        <f t="shared" ref="C40:AG40" si="5">SUM(C11:C38)</f>
        <v>776.90000000000009</v>
      </c>
      <c r="D40" s="86">
        <f t="shared" si="5"/>
        <v>776.90000000000009</v>
      </c>
      <c r="E40" s="86">
        <f t="shared" si="5"/>
        <v>776.90000000000009</v>
      </c>
      <c r="F40" s="86">
        <f t="shared" si="5"/>
        <v>769.8</v>
      </c>
      <c r="G40" s="86">
        <f t="shared" si="5"/>
        <v>769.8</v>
      </c>
      <c r="H40" s="86">
        <f t="shared" si="5"/>
        <v>786.8</v>
      </c>
      <c r="I40" s="86">
        <f t="shared" si="5"/>
        <v>786.8</v>
      </c>
      <c r="J40" s="86">
        <f t="shared" si="5"/>
        <v>800.8</v>
      </c>
      <c r="K40" s="86">
        <f t="shared" si="5"/>
        <v>800.8</v>
      </c>
      <c r="L40" s="86">
        <f t="shared" si="5"/>
        <v>808.8</v>
      </c>
      <c r="M40" s="86">
        <f t="shared" si="5"/>
        <v>808.5</v>
      </c>
      <c r="N40" s="86">
        <f t="shared" si="5"/>
        <v>808.5</v>
      </c>
      <c r="O40" s="86">
        <f t="shared" si="5"/>
        <v>808.5</v>
      </c>
      <c r="P40" s="86">
        <f t="shared" si="5"/>
        <v>808.5</v>
      </c>
      <c r="Q40" s="86">
        <f t="shared" si="5"/>
        <v>808.5</v>
      </c>
      <c r="R40" s="86">
        <f t="shared" si="5"/>
        <v>808.5</v>
      </c>
      <c r="S40" s="86">
        <f t="shared" si="5"/>
        <v>810.5</v>
      </c>
      <c r="T40" s="86">
        <f t="shared" si="5"/>
        <v>838.5</v>
      </c>
      <c r="U40" s="86">
        <f t="shared" si="5"/>
        <v>843.8</v>
      </c>
      <c r="V40" s="86">
        <f t="shared" si="5"/>
        <v>837.59999999999991</v>
      </c>
      <c r="W40" s="86">
        <f t="shared" si="5"/>
        <v>841.59999999999991</v>
      </c>
      <c r="X40" s="86">
        <f t="shared" si="5"/>
        <v>835.59999999999991</v>
      </c>
      <c r="Y40" s="86">
        <f t="shared" si="5"/>
        <v>837.59999999999991</v>
      </c>
      <c r="Z40" s="86">
        <f t="shared" si="5"/>
        <v>821.59999999999991</v>
      </c>
      <c r="AA40" s="86">
        <f t="shared" si="5"/>
        <v>840.59999999999991</v>
      </c>
      <c r="AB40" s="86">
        <f t="shared" si="5"/>
        <v>820.6</v>
      </c>
      <c r="AC40" s="86">
        <f t="shared" si="5"/>
        <v>778.8</v>
      </c>
      <c r="AD40" s="86">
        <f t="shared" si="5"/>
        <v>778.8</v>
      </c>
      <c r="AE40" s="86">
        <f t="shared" si="5"/>
        <v>826</v>
      </c>
      <c r="AF40" s="86">
        <f t="shared" si="5"/>
        <v>826</v>
      </c>
      <c r="AG40" s="101">
        <f t="shared" si="5"/>
        <v>665.78</v>
      </c>
      <c r="AH40" s="20">
        <f t="shared" si="2"/>
        <v>843.8</v>
      </c>
      <c r="AI40" s="19">
        <f t="shared" si="3"/>
        <v>765.9</v>
      </c>
      <c r="AK40" s="41"/>
    </row>
    <row r="41" spans="1:88" x14ac:dyDescent="0.25">
      <c r="A41" s="117" t="s">
        <v>194</v>
      </c>
      <c r="B41" s="105">
        <v>456</v>
      </c>
      <c r="C41" s="105">
        <v>456</v>
      </c>
      <c r="D41" s="105">
        <v>456</v>
      </c>
      <c r="E41" s="105">
        <v>456</v>
      </c>
      <c r="F41" s="105">
        <v>390</v>
      </c>
      <c r="G41" s="105">
        <v>380</v>
      </c>
      <c r="H41" s="105">
        <v>380</v>
      </c>
      <c r="I41" s="105">
        <v>380</v>
      </c>
      <c r="J41" s="105">
        <v>380</v>
      </c>
      <c r="K41" s="105">
        <v>456</v>
      </c>
      <c r="L41" s="105">
        <v>456</v>
      </c>
      <c r="M41" s="105">
        <v>456</v>
      </c>
      <c r="N41" s="105">
        <v>456</v>
      </c>
      <c r="O41" s="105">
        <v>456</v>
      </c>
      <c r="P41" s="105">
        <v>456</v>
      </c>
      <c r="Q41" s="105">
        <v>456</v>
      </c>
      <c r="R41" s="105">
        <v>456</v>
      </c>
      <c r="S41" s="105">
        <v>456</v>
      </c>
      <c r="T41" s="105">
        <v>456</v>
      </c>
      <c r="U41" s="105">
        <v>456</v>
      </c>
      <c r="V41" s="105">
        <v>456</v>
      </c>
      <c r="W41" s="105">
        <v>456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456</v>
      </c>
      <c r="AD41" s="105">
        <v>456</v>
      </c>
      <c r="AE41" s="105">
        <v>456</v>
      </c>
      <c r="AF41" s="105">
        <v>456</v>
      </c>
      <c r="AG41" s="96">
        <v>456</v>
      </c>
      <c r="AH41" s="20">
        <f t="shared" si="2"/>
        <v>456</v>
      </c>
      <c r="AI41" s="19">
        <f t="shared" si="3"/>
        <v>380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48</v>
      </c>
      <c r="Q42" s="80">
        <v>48</v>
      </c>
      <c r="R42" s="80">
        <v>48</v>
      </c>
      <c r="S42" s="80">
        <v>48</v>
      </c>
      <c r="T42" s="80">
        <v>48</v>
      </c>
      <c r="U42" s="80">
        <v>48</v>
      </c>
      <c r="V42" s="80">
        <v>48</v>
      </c>
      <c r="W42" s="80">
        <v>48</v>
      </c>
      <c r="X42" s="80">
        <v>48</v>
      </c>
      <c r="Y42" s="80">
        <v>48</v>
      </c>
      <c r="Z42" s="80">
        <v>48</v>
      </c>
      <c r="AA42" s="80">
        <v>48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48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>
        <v>22</v>
      </c>
      <c r="S43" s="107">
        <v>22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>
        <v>22</v>
      </c>
      <c r="AG43" s="106">
        <v>22.1</v>
      </c>
      <c r="AH43" s="20">
        <f t="shared" si="2"/>
        <v>22</v>
      </c>
      <c r="AI43" s="19">
        <f t="shared" si="3"/>
        <v>22</v>
      </c>
      <c r="AK43" s="41"/>
    </row>
    <row r="44" spans="1:88" ht="15.75" thickBot="1" x14ac:dyDescent="0.3">
      <c r="A44" s="114" t="s">
        <v>191</v>
      </c>
      <c r="B44" s="86">
        <f t="shared" ref="B44:AG44" si="6">SUM(B41:B43)</f>
        <v>538</v>
      </c>
      <c r="C44" s="86">
        <f t="shared" si="6"/>
        <v>538</v>
      </c>
      <c r="D44" s="86">
        <f t="shared" si="6"/>
        <v>538</v>
      </c>
      <c r="E44" s="86">
        <f t="shared" si="6"/>
        <v>538</v>
      </c>
      <c r="F44" s="86">
        <f t="shared" si="6"/>
        <v>472</v>
      </c>
      <c r="G44" s="86">
        <f t="shared" si="6"/>
        <v>462</v>
      </c>
      <c r="H44" s="86">
        <f t="shared" si="6"/>
        <v>462</v>
      </c>
      <c r="I44" s="86">
        <f t="shared" si="6"/>
        <v>462</v>
      </c>
      <c r="J44" s="86">
        <f t="shared" si="6"/>
        <v>462</v>
      </c>
      <c r="K44" s="86">
        <f t="shared" si="6"/>
        <v>538</v>
      </c>
      <c r="L44" s="86">
        <f t="shared" si="6"/>
        <v>538</v>
      </c>
      <c r="M44" s="86">
        <f t="shared" si="6"/>
        <v>538</v>
      </c>
      <c r="N44" s="86">
        <f t="shared" si="6"/>
        <v>538</v>
      </c>
      <c r="O44" s="86">
        <f t="shared" si="6"/>
        <v>538</v>
      </c>
      <c r="P44" s="86">
        <f t="shared" si="6"/>
        <v>526</v>
      </c>
      <c r="Q44" s="86">
        <f t="shared" si="6"/>
        <v>526</v>
      </c>
      <c r="R44" s="86">
        <f t="shared" si="6"/>
        <v>526</v>
      </c>
      <c r="S44" s="86">
        <f t="shared" si="6"/>
        <v>526</v>
      </c>
      <c r="T44" s="86">
        <f t="shared" si="6"/>
        <v>526</v>
      </c>
      <c r="U44" s="86">
        <f t="shared" si="6"/>
        <v>526</v>
      </c>
      <c r="V44" s="86">
        <f t="shared" si="6"/>
        <v>526</v>
      </c>
      <c r="W44" s="86">
        <f t="shared" si="6"/>
        <v>526</v>
      </c>
      <c r="X44" s="86">
        <f t="shared" si="6"/>
        <v>526</v>
      </c>
      <c r="Y44" s="86">
        <f t="shared" si="6"/>
        <v>526</v>
      </c>
      <c r="Z44" s="86">
        <f t="shared" si="6"/>
        <v>526</v>
      </c>
      <c r="AA44" s="86">
        <f t="shared" si="6"/>
        <v>526</v>
      </c>
      <c r="AB44" s="86">
        <f t="shared" si="6"/>
        <v>538</v>
      </c>
      <c r="AC44" s="86">
        <f t="shared" si="6"/>
        <v>538</v>
      </c>
      <c r="AD44" s="86">
        <f t="shared" si="6"/>
        <v>538</v>
      </c>
      <c r="AE44" s="86">
        <f t="shared" si="6"/>
        <v>538</v>
      </c>
      <c r="AF44" s="86">
        <f t="shared" si="6"/>
        <v>538</v>
      </c>
      <c r="AG44" s="101">
        <f t="shared" si="6"/>
        <v>538.1</v>
      </c>
      <c r="AH44" s="20">
        <f t="shared" si="2"/>
        <v>538</v>
      </c>
      <c r="AI44" s="19">
        <f t="shared" si="3"/>
        <v>462</v>
      </c>
      <c r="AK44" s="41"/>
    </row>
    <row r="45" spans="1:88" x14ac:dyDescent="0.25">
      <c r="A45" s="97" t="s">
        <v>190</v>
      </c>
      <c r="B45" s="105">
        <v>143.19999999999999</v>
      </c>
      <c r="C45" s="105">
        <v>143.19999999999999</v>
      </c>
      <c r="D45" s="105">
        <v>143.19999999999999</v>
      </c>
      <c r="E45" s="105">
        <v>140</v>
      </c>
      <c r="F45" s="105">
        <v>141</v>
      </c>
      <c r="G45" s="105">
        <v>141</v>
      </c>
      <c r="H45" s="105">
        <v>141</v>
      </c>
      <c r="I45" s="105">
        <v>141</v>
      </c>
      <c r="J45" s="105">
        <v>141</v>
      </c>
      <c r="K45" s="105">
        <v>141</v>
      </c>
      <c r="L45" s="105">
        <v>141</v>
      </c>
      <c r="M45" s="105">
        <v>143</v>
      </c>
      <c r="N45" s="105">
        <v>143</v>
      </c>
      <c r="O45" s="105">
        <v>143</v>
      </c>
      <c r="P45" s="105">
        <v>143</v>
      </c>
      <c r="Q45" s="105">
        <v>143</v>
      </c>
      <c r="R45" s="105">
        <v>143</v>
      </c>
      <c r="S45" s="105">
        <v>142.80000000000001</v>
      </c>
      <c r="T45" s="105">
        <v>142.69999999999999</v>
      </c>
      <c r="U45" s="105">
        <v>143</v>
      </c>
      <c r="V45" s="105">
        <v>143.1</v>
      </c>
      <c r="W45" s="105">
        <v>143.4</v>
      </c>
      <c r="X45" s="105">
        <v>143.30000000000001</v>
      </c>
      <c r="Y45" s="105">
        <v>143.30000000000001</v>
      </c>
      <c r="Z45" s="105">
        <v>143.30000000000001</v>
      </c>
      <c r="AA45" s="105">
        <v>143.30000000000001</v>
      </c>
      <c r="AB45" s="105">
        <v>143.30000000000001</v>
      </c>
      <c r="AC45" s="105">
        <v>143.30000000000001</v>
      </c>
      <c r="AD45" s="105">
        <v>143.30000000000001</v>
      </c>
      <c r="AE45" s="105">
        <v>143.4</v>
      </c>
      <c r="AF45" s="105">
        <v>143.5</v>
      </c>
      <c r="AG45" s="96">
        <v>144</v>
      </c>
      <c r="AH45" s="20">
        <f t="shared" si="2"/>
        <v>143.5</v>
      </c>
      <c r="AI45" s="19">
        <f t="shared" si="3"/>
        <v>140</v>
      </c>
      <c r="AK45" s="41"/>
    </row>
    <row r="46" spans="1:88" x14ac:dyDescent="0.25">
      <c r="A46" s="95" t="s">
        <v>189</v>
      </c>
      <c r="B46" s="80">
        <v>71.8</v>
      </c>
      <c r="C46" s="80">
        <v>71.8</v>
      </c>
      <c r="D46" s="80">
        <v>71.8</v>
      </c>
      <c r="E46" s="80">
        <v>71.8</v>
      </c>
      <c r="F46" s="80">
        <v>71.8</v>
      </c>
      <c r="G46" s="80">
        <v>71.8</v>
      </c>
      <c r="H46" s="80">
        <v>71.8</v>
      </c>
      <c r="I46" s="80">
        <v>71.8</v>
      </c>
      <c r="J46" s="80">
        <v>71.8</v>
      </c>
      <c r="K46" s="80">
        <v>71.8</v>
      </c>
      <c r="L46" s="80">
        <v>71.8</v>
      </c>
      <c r="M46" s="80">
        <v>71.8</v>
      </c>
      <c r="N46" s="80">
        <v>71.8</v>
      </c>
      <c r="O46" s="80">
        <v>71.8</v>
      </c>
      <c r="P46" s="80">
        <v>71.8</v>
      </c>
      <c r="Q46" s="80">
        <v>71.8</v>
      </c>
      <c r="R46" s="80">
        <v>71.8</v>
      </c>
      <c r="S46" s="80">
        <v>71.599999999999994</v>
      </c>
      <c r="T46" s="80">
        <v>72.3</v>
      </c>
      <c r="U46" s="80">
        <v>71</v>
      </c>
      <c r="V46" s="80">
        <v>71.5</v>
      </c>
      <c r="W46" s="80">
        <v>71.3</v>
      </c>
      <c r="X46" s="80">
        <v>70.5</v>
      </c>
      <c r="Y46" s="80">
        <v>70.5</v>
      </c>
      <c r="Z46" s="80">
        <v>70.5</v>
      </c>
      <c r="AA46" s="80">
        <v>70.5</v>
      </c>
      <c r="AB46" s="80">
        <v>70.5</v>
      </c>
      <c r="AC46" s="80">
        <v>70.5</v>
      </c>
      <c r="AD46" s="80">
        <v>70.5</v>
      </c>
      <c r="AE46" s="80">
        <v>72.099999999999994</v>
      </c>
      <c r="AF46" s="80">
        <v>72</v>
      </c>
      <c r="AG46" s="94">
        <v>70</v>
      </c>
      <c r="AH46" s="20">
        <f t="shared" si="2"/>
        <v>72.3</v>
      </c>
      <c r="AI46" s="19">
        <f t="shared" si="3"/>
        <v>70.5</v>
      </c>
      <c r="AK46" s="41"/>
    </row>
    <row r="47" spans="1:88" x14ac:dyDescent="0.25">
      <c r="A47" s="95" t="s">
        <v>188</v>
      </c>
      <c r="B47" s="80">
        <v>65.2</v>
      </c>
      <c r="C47" s="80">
        <v>65.2</v>
      </c>
      <c r="D47" s="80">
        <v>65.2</v>
      </c>
      <c r="E47" s="80">
        <v>65.2</v>
      </c>
      <c r="F47" s="80">
        <v>65.2</v>
      </c>
      <c r="G47" s="80">
        <v>65.2</v>
      </c>
      <c r="H47" s="80">
        <v>65.2</v>
      </c>
      <c r="I47" s="80">
        <v>65.2</v>
      </c>
      <c r="J47" s="80">
        <v>65.2</v>
      </c>
      <c r="K47" s="80">
        <v>65.2</v>
      </c>
      <c r="L47" s="80">
        <v>65.2</v>
      </c>
      <c r="M47" s="80">
        <v>65.2</v>
      </c>
      <c r="N47" s="80">
        <v>65.2</v>
      </c>
      <c r="O47" s="80">
        <v>65.2</v>
      </c>
      <c r="P47" s="80">
        <v>65.2</v>
      </c>
      <c r="Q47" s="80">
        <v>65.2</v>
      </c>
      <c r="R47" s="80">
        <v>65.2</v>
      </c>
      <c r="S47" s="80">
        <v>64.900000000000006</v>
      </c>
      <c r="T47" s="80">
        <v>65.099999999999994</v>
      </c>
      <c r="U47" s="80">
        <v>64.900000000000006</v>
      </c>
      <c r="V47" s="80">
        <v>64.7</v>
      </c>
      <c r="W47" s="80">
        <v>64.599999999999994</v>
      </c>
      <c r="X47" s="80">
        <v>64.7</v>
      </c>
      <c r="Y47" s="80">
        <v>64.7</v>
      </c>
      <c r="Z47" s="80">
        <v>64.7</v>
      </c>
      <c r="AA47" s="80">
        <v>64.7</v>
      </c>
      <c r="AB47" s="80">
        <v>64.7</v>
      </c>
      <c r="AC47" s="80">
        <v>64.7</v>
      </c>
      <c r="AD47" s="80">
        <v>64.7</v>
      </c>
      <c r="AE47" s="80">
        <v>64.400000000000006</v>
      </c>
      <c r="AF47" s="80">
        <v>64.2</v>
      </c>
      <c r="AG47" s="94">
        <v>69</v>
      </c>
      <c r="AH47" s="20">
        <f t="shared" si="2"/>
        <v>65.2</v>
      </c>
      <c r="AI47" s="19">
        <f t="shared" si="3"/>
        <v>64.2</v>
      </c>
      <c r="AK47" s="41"/>
    </row>
    <row r="48" spans="1:88" x14ac:dyDescent="0.25">
      <c r="A48" s="95" t="s">
        <v>187</v>
      </c>
      <c r="B48" s="113">
        <v>60</v>
      </c>
      <c r="C48" s="113">
        <v>60</v>
      </c>
      <c r="D48" s="113">
        <v>60</v>
      </c>
      <c r="E48" s="113">
        <v>60</v>
      </c>
      <c r="F48" s="113">
        <v>50</v>
      </c>
      <c r="G48" s="113">
        <v>60</v>
      </c>
      <c r="H48" s="113">
        <v>60</v>
      </c>
      <c r="I48" s="113">
        <v>60</v>
      </c>
      <c r="J48" s="113">
        <v>60</v>
      </c>
      <c r="K48" s="113">
        <v>60</v>
      </c>
      <c r="L48" s="113">
        <v>60</v>
      </c>
      <c r="M48" s="113">
        <v>60</v>
      </c>
      <c r="N48" s="113">
        <v>60</v>
      </c>
      <c r="O48" s="113">
        <v>60</v>
      </c>
      <c r="P48" s="113">
        <v>60</v>
      </c>
      <c r="Q48" s="113">
        <v>60</v>
      </c>
      <c r="R48" s="113">
        <v>60</v>
      </c>
      <c r="S48" s="105">
        <v>60.4</v>
      </c>
      <c r="T48" s="105">
        <v>60.4</v>
      </c>
      <c r="U48" s="105">
        <v>60.4</v>
      </c>
      <c r="V48" s="80">
        <v>60.7</v>
      </c>
      <c r="W48" s="80">
        <v>60.7</v>
      </c>
      <c r="X48" s="80">
        <v>60.9</v>
      </c>
      <c r="Y48" s="80">
        <v>60.9</v>
      </c>
      <c r="Z48" s="80">
        <v>60.9</v>
      </c>
      <c r="AA48" s="80">
        <v>60.9</v>
      </c>
      <c r="AB48" s="80">
        <v>60.9</v>
      </c>
      <c r="AC48" s="80">
        <v>60.9</v>
      </c>
      <c r="AD48" s="80">
        <v>60.9</v>
      </c>
      <c r="AE48" s="113">
        <v>60.9</v>
      </c>
      <c r="AF48" s="113">
        <v>60.9</v>
      </c>
      <c r="AG48" s="94">
        <v>60</v>
      </c>
      <c r="AH48" s="20">
        <f t="shared" si="2"/>
        <v>60.9</v>
      </c>
      <c r="AI48" s="19">
        <f t="shared" si="3"/>
        <v>50</v>
      </c>
      <c r="AK48" s="41"/>
    </row>
    <row r="49" spans="1:41" x14ac:dyDescent="0.25">
      <c r="A49" s="95" t="s">
        <v>186</v>
      </c>
      <c r="B49" s="113">
        <v>28.6</v>
      </c>
      <c r="C49" s="113">
        <v>28.6</v>
      </c>
      <c r="D49" s="113">
        <v>28.6</v>
      </c>
      <c r="E49" s="113">
        <v>28.6</v>
      </c>
      <c r="F49" s="113">
        <v>25</v>
      </c>
      <c r="G49" s="113">
        <v>28.6</v>
      </c>
      <c r="H49" s="113">
        <v>28.6</v>
      </c>
      <c r="I49" s="113">
        <v>28.6</v>
      </c>
      <c r="J49" s="113">
        <v>28.6</v>
      </c>
      <c r="K49" s="113">
        <v>28.6</v>
      </c>
      <c r="L49" s="113">
        <v>28.6</v>
      </c>
      <c r="M49" s="113">
        <v>28.6</v>
      </c>
      <c r="N49" s="113">
        <v>28.6</v>
      </c>
      <c r="O49" s="113">
        <v>28.6</v>
      </c>
      <c r="P49" s="113">
        <v>28.6</v>
      </c>
      <c r="Q49" s="113">
        <v>28.6</v>
      </c>
      <c r="R49" s="113">
        <v>28.6</v>
      </c>
      <c r="S49" s="105">
        <v>29.1</v>
      </c>
      <c r="T49" s="105">
        <v>29.1</v>
      </c>
      <c r="U49" s="105">
        <v>29.1</v>
      </c>
      <c r="V49" s="105">
        <v>29.1</v>
      </c>
      <c r="W49" s="80">
        <v>29.1</v>
      </c>
      <c r="X49" s="80">
        <v>29.1</v>
      </c>
      <c r="Y49" s="80">
        <v>29.1</v>
      </c>
      <c r="Z49" s="80">
        <v>29.1</v>
      </c>
      <c r="AA49" s="80">
        <v>29.1</v>
      </c>
      <c r="AB49" s="80">
        <v>29.1</v>
      </c>
      <c r="AC49" s="80">
        <v>29.1</v>
      </c>
      <c r="AD49" s="80">
        <v>29.1</v>
      </c>
      <c r="AE49" s="80">
        <v>29.1</v>
      </c>
      <c r="AF49" s="80">
        <v>29.1</v>
      </c>
      <c r="AG49" s="94">
        <v>30</v>
      </c>
      <c r="AH49" s="20">
        <f t="shared" si="2"/>
        <v>29.1</v>
      </c>
      <c r="AI49" s="19">
        <f t="shared" si="3"/>
        <v>25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0</v>
      </c>
      <c r="N50" s="80">
        <v>0</v>
      </c>
      <c r="O50" s="80">
        <v>0</v>
      </c>
      <c r="P50" s="80">
        <v>0</v>
      </c>
      <c r="Q50" s="80">
        <v>0</v>
      </c>
      <c r="R50" s="80">
        <v>0</v>
      </c>
      <c r="S50" s="105">
        <v>18</v>
      </c>
      <c r="T50" s="105">
        <v>18</v>
      </c>
      <c r="U50" s="105">
        <v>18</v>
      </c>
      <c r="V50" s="105">
        <v>10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105">
        <v>0</v>
      </c>
      <c r="AG50" s="94">
        <v>25</v>
      </c>
      <c r="AH50" s="20">
        <f t="shared" si="2"/>
        <v>18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15.9</v>
      </c>
      <c r="C51" s="80">
        <v>15.9</v>
      </c>
      <c r="D51" s="80">
        <v>15.9</v>
      </c>
      <c r="E51" s="80">
        <v>15.9</v>
      </c>
      <c r="F51" s="80">
        <v>15.9</v>
      </c>
      <c r="G51" s="80">
        <v>15.9</v>
      </c>
      <c r="H51" s="80">
        <v>15.9</v>
      </c>
      <c r="I51" s="80">
        <v>15.9</v>
      </c>
      <c r="J51" s="80">
        <v>15.9</v>
      </c>
      <c r="K51" s="80">
        <v>15.9</v>
      </c>
      <c r="L51" s="80">
        <v>15.9</v>
      </c>
      <c r="M51" s="80">
        <v>15.9</v>
      </c>
      <c r="N51" s="80">
        <v>15.9</v>
      </c>
      <c r="O51" s="80">
        <v>15.9</v>
      </c>
      <c r="P51" s="80">
        <v>15.9</v>
      </c>
      <c r="Q51" s="80">
        <v>15.9</v>
      </c>
      <c r="R51" s="80">
        <v>15.9</v>
      </c>
      <c r="S51" s="80">
        <v>15.9</v>
      </c>
      <c r="T51" s="105">
        <v>16.600000000000001</v>
      </c>
      <c r="U51" s="105">
        <v>16.600000000000001</v>
      </c>
      <c r="V51" s="105">
        <v>16.600000000000001</v>
      </c>
      <c r="W51" s="105">
        <v>16.600000000000001</v>
      </c>
      <c r="X51" s="105">
        <v>16.600000000000001</v>
      </c>
      <c r="Y51" s="105">
        <v>16.600000000000001</v>
      </c>
      <c r="Z51" s="105">
        <v>16.600000000000001</v>
      </c>
      <c r="AA51" s="105">
        <v>16.600000000000001</v>
      </c>
      <c r="AB51" s="105">
        <v>16.600000000000001</v>
      </c>
      <c r="AC51" s="105">
        <v>16.399999999999999</v>
      </c>
      <c r="AD51" s="105">
        <v>16.399999999999999</v>
      </c>
      <c r="AE51" s="105">
        <v>16.399999999999999</v>
      </c>
      <c r="AF51" s="105">
        <v>16.5</v>
      </c>
      <c r="AG51" s="94">
        <v>24</v>
      </c>
      <c r="AH51" s="20">
        <f t="shared" si="2"/>
        <v>16.600000000000001</v>
      </c>
      <c r="AI51" s="19">
        <f t="shared" si="3"/>
        <v>15.9</v>
      </c>
      <c r="AK51" s="41"/>
    </row>
    <row r="52" spans="1:41" x14ac:dyDescent="0.25">
      <c r="A52" s="95" t="s">
        <v>183</v>
      </c>
      <c r="B52" s="80">
        <v>3</v>
      </c>
      <c r="C52" s="80">
        <v>3</v>
      </c>
      <c r="D52" s="80">
        <v>3</v>
      </c>
      <c r="E52" s="80">
        <v>3</v>
      </c>
      <c r="F52" s="80">
        <v>3</v>
      </c>
      <c r="G52" s="80">
        <v>3</v>
      </c>
      <c r="H52" s="80">
        <v>3</v>
      </c>
      <c r="I52" s="80">
        <v>3</v>
      </c>
      <c r="J52" s="80">
        <v>3</v>
      </c>
      <c r="K52" s="80">
        <v>3</v>
      </c>
      <c r="L52" s="80">
        <v>3</v>
      </c>
      <c r="M52" s="80">
        <v>3</v>
      </c>
      <c r="N52" s="80">
        <v>3</v>
      </c>
      <c r="O52" s="80">
        <v>3</v>
      </c>
      <c r="P52" s="80">
        <v>3</v>
      </c>
      <c r="Q52" s="80">
        <v>3</v>
      </c>
      <c r="R52" s="80">
        <v>3</v>
      </c>
      <c r="S52" s="80">
        <v>3</v>
      </c>
      <c r="T52" s="105">
        <v>3</v>
      </c>
      <c r="U52" s="105">
        <v>3</v>
      </c>
      <c r="V52" s="105">
        <v>3</v>
      </c>
      <c r="W52" s="105">
        <v>3</v>
      </c>
      <c r="X52" s="105">
        <v>3</v>
      </c>
      <c r="Y52" s="105">
        <v>3</v>
      </c>
      <c r="Z52" s="105">
        <v>3</v>
      </c>
      <c r="AA52" s="105">
        <v>3</v>
      </c>
      <c r="AB52" s="105">
        <v>3</v>
      </c>
      <c r="AC52" s="105">
        <v>3</v>
      </c>
      <c r="AD52" s="105">
        <v>3</v>
      </c>
      <c r="AE52" s="105">
        <v>3</v>
      </c>
      <c r="AF52" s="105">
        <v>3</v>
      </c>
      <c r="AG52" s="94">
        <v>15</v>
      </c>
      <c r="AH52" s="20">
        <f t="shared" si="2"/>
        <v>3</v>
      </c>
      <c r="AI52" s="19">
        <f t="shared" si="3"/>
        <v>3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4.8</v>
      </c>
      <c r="C53" s="80">
        <v>4.8</v>
      </c>
      <c r="D53" s="80">
        <v>4.8</v>
      </c>
      <c r="E53" s="80">
        <v>4.8</v>
      </c>
      <c r="F53" s="80">
        <v>4.8</v>
      </c>
      <c r="G53" s="80">
        <v>4.8</v>
      </c>
      <c r="H53" s="80">
        <v>4.8</v>
      </c>
      <c r="I53" s="80">
        <v>4.8</v>
      </c>
      <c r="J53" s="80">
        <v>4.8</v>
      </c>
      <c r="K53" s="80">
        <v>4.8</v>
      </c>
      <c r="L53" s="80">
        <v>4.8</v>
      </c>
      <c r="M53" s="80">
        <v>4.8</v>
      </c>
      <c r="N53" s="80">
        <v>4.8</v>
      </c>
      <c r="O53" s="80">
        <v>4.8</v>
      </c>
      <c r="P53" s="80">
        <v>4.8</v>
      </c>
      <c r="Q53" s="80">
        <v>4.8</v>
      </c>
      <c r="R53" s="80">
        <v>4.8</v>
      </c>
      <c r="S53" s="80">
        <v>4.8</v>
      </c>
      <c r="T53" s="105">
        <v>9.5</v>
      </c>
      <c r="U53" s="105">
        <v>9.5</v>
      </c>
      <c r="V53" s="105">
        <v>9.5</v>
      </c>
      <c r="W53" s="105">
        <v>7.4</v>
      </c>
      <c r="X53" s="105">
        <v>0</v>
      </c>
      <c r="Y53" s="105">
        <v>0</v>
      </c>
      <c r="Z53" s="105">
        <v>9.3000000000000007</v>
      </c>
      <c r="AA53" s="105">
        <v>9.3000000000000007</v>
      </c>
      <c r="AB53" s="105">
        <v>9.3000000000000007</v>
      </c>
      <c r="AC53" s="105">
        <v>9.3000000000000007</v>
      </c>
      <c r="AD53" s="105">
        <v>9.3000000000000007</v>
      </c>
      <c r="AE53" s="105">
        <v>9.3000000000000007</v>
      </c>
      <c r="AF53" s="105">
        <v>9.1999999999999993</v>
      </c>
      <c r="AG53" s="94">
        <v>14.1</v>
      </c>
      <c r="AH53" s="20">
        <f t="shared" si="2"/>
        <v>9.5</v>
      </c>
      <c r="AI53" s="19">
        <f t="shared" si="3"/>
        <v>0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14.2</v>
      </c>
      <c r="C54" s="80">
        <v>14.2</v>
      </c>
      <c r="D54" s="80">
        <v>14.2</v>
      </c>
      <c r="E54" s="80">
        <v>14.2</v>
      </c>
      <c r="F54" s="80">
        <v>14.2</v>
      </c>
      <c r="G54" s="80">
        <v>14.2</v>
      </c>
      <c r="H54" s="80">
        <v>14.2</v>
      </c>
      <c r="I54" s="80">
        <v>14.2</v>
      </c>
      <c r="J54" s="80">
        <v>14.2</v>
      </c>
      <c r="K54" s="80">
        <v>14.2</v>
      </c>
      <c r="L54" s="80">
        <v>14.2</v>
      </c>
      <c r="M54" s="80">
        <v>14.2</v>
      </c>
      <c r="N54" s="80">
        <v>14.2</v>
      </c>
      <c r="O54" s="80">
        <v>14.2</v>
      </c>
      <c r="P54" s="80">
        <v>14.2</v>
      </c>
      <c r="Q54" s="80">
        <v>14.2</v>
      </c>
      <c r="R54" s="80">
        <v>14.2</v>
      </c>
      <c r="S54" s="80">
        <v>14.2</v>
      </c>
      <c r="T54" s="80">
        <v>14.2</v>
      </c>
      <c r="U54" s="80">
        <v>14.2</v>
      </c>
      <c r="V54" s="80">
        <v>14.2</v>
      </c>
      <c r="W54" s="80">
        <v>14.2</v>
      </c>
      <c r="X54" s="80">
        <v>14.2</v>
      </c>
      <c r="Y54" s="80">
        <v>14.2</v>
      </c>
      <c r="Z54" s="80">
        <v>14.2</v>
      </c>
      <c r="AA54" s="80">
        <v>14.2</v>
      </c>
      <c r="AB54" s="80">
        <v>14.2</v>
      </c>
      <c r="AC54" s="80">
        <v>14.4</v>
      </c>
      <c r="AD54" s="80">
        <v>14.4</v>
      </c>
      <c r="AE54" s="80">
        <v>14.4</v>
      </c>
      <c r="AF54" s="80">
        <v>14.3</v>
      </c>
      <c r="AG54" s="94">
        <v>14</v>
      </c>
      <c r="AH54" s="20">
        <f t="shared" si="2"/>
        <v>14.4</v>
      </c>
      <c r="AI54" s="19">
        <f t="shared" si="3"/>
        <v>14.2</v>
      </c>
      <c r="AK54" s="41"/>
    </row>
    <row r="55" spans="1:41" x14ac:dyDescent="0.25">
      <c r="A55" s="95" t="s">
        <v>180</v>
      </c>
      <c r="B55" s="80">
        <v>9</v>
      </c>
      <c r="C55" s="80">
        <v>9</v>
      </c>
      <c r="D55" s="80">
        <v>9</v>
      </c>
      <c r="E55" s="80">
        <v>9</v>
      </c>
      <c r="F55" s="80">
        <v>9</v>
      </c>
      <c r="G55" s="80">
        <v>9</v>
      </c>
      <c r="H55" s="80">
        <v>9</v>
      </c>
      <c r="I55" s="80">
        <v>9</v>
      </c>
      <c r="J55" s="80">
        <v>9</v>
      </c>
      <c r="K55" s="80">
        <v>9</v>
      </c>
      <c r="L55" s="80">
        <v>9</v>
      </c>
      <c r="M55" s="80">
        <v>9</v>
      </c>
      <c r="N55" s="80">
        <v>9</v>
      </c>
      <c r="O55" s="80">
        <v>9</v>
      </c>
      <c r="P55" s="80">
        <v>9</v>
      </c>
      <c r="Q55" s="80">
        <v>9</v>
      </c>
      <c r="R55" s="80">
        <v>9</v>
      </c>
      <c r="S55" s="80">
        <v>9</v>
      </c>
      <c r="T55" s="80">
        <v>9</v>
      </c>
      <c r="U55" s="80">
        <v>9</v>
      </c>
      <c r="V55" s="80">
        <v>9</v>
      </c>
      <c r="W55" s="80">
        <v>9</v>
      </c>
      <c r="X55" s="80">
        <v>9</v>
      </c>
      <c r="Y55" s="80">
        <v>9</v>
      </c>
      <c r="Z55" s="80">
        <v>9</v>
      </c>
      <c r="AA55" s="80">
        <v>9</v>
      </c>
      <c r="AB55" s="80">
        <v>9</v>
      </c>
      <c r="AC55" s="80">
        <v>9</v>
      </c>
      <c r="AD55" s="80">
        <v>9</v>
      </c>
      <c r="AE55" s="80">
        <v>9</v>
      </c>
      <c r="AF55" s="80">
        <v>9</v>
      </c>
      <c r="AG55" s="94">
        <v>10.050000000000001</v>
      </c>
      <c r="AH55" s="20">
        <f t="shared" si="2"/>
        <v>9</v>
      </c>
      <c r="AI55" s="19">
        <f t="shared" si="3"/>
        <v>9</v>
      </c>
      <c r="AK55" s="41"/>
    </row>
    <row r="56" spans="1:41" x14ac:dyDescent="0.25">
      <c r="A56" s="95" t="s">
        <v>179</v>
      </c>
      <c r="B56" s="80">
        <v>6.2</v>
      </c>
      <c r="C56" s="80">
        <v>6.2</v>
      </c>
      <c r="D56" s="80">
        <v>6.2</v>
      </c>
      <c r="E56" s="80">
        <v>6.2</v>
      </c>
      <c r="F56" s="80">
        <v>6.2</v>
      </c>
      <c r="G56" s="80">
        <v>6.2</v>
      </c>
      <c r="H56" s="80">
        <v>6.2</v>
      </c>
      <c r="I56" s="80">
        <v>6.2</v>
      </c>
      <c r="J56" s="80">
        <v>6.2</v>
      </c>
      <c r="K56" s="80">
        <v>6.2</v>
      </c>
      <c r="L56" s="80">
        <v>6.2</v>
      </c>
      <c r="M56" s="80">
        <v>6.2</v>
      </c>
      <c r="N56" s="80">
        <v>6.2</v>
      </c>
      <c r="O56" s="80">
        <v>6.2</v>
      </c>
      <c r="P56" s="80">
        <v>6.2</v>
      </c>
      <c r="Q56" s="80">
        <v>6.2</v>
      </c>
      <c r="R56" s="80">
        <v>6.2</v>
      </c>
      <c r="S56" s="80">
        <v>6.2</v>
      </c>
      <c r="T56" s="80">
        <v>6.2</v>
      </c>
      <c r="U56" s="80">
        <v>6.2</v>
      </c>
      <c r="V56" s="80">
        <v>6.2</v>
      </c>
      <c r="W56" s="80">
        <v>6.2</v>
      </c>
      <c r="X56" s="80">
        <v>6.2</v>
      </c>
      <c r="Y56" s="80">
        <v>6.2</v>
      </c>
      <c r="Z56" s="80">
        <v>6.2</v>
      </c>
      <c r="AA56" s="80">
        <v>6.2</v>
      </c>
      <c r="AB56" s="80">
        <v>6.2</v>
      </c>
      <c r="AC56" s="80">
        <v>6.2</v>
      </c>
      <c r="AD56" s="80">
        <v>6.2</v>
      </c>
      <c r="AE56" s="80">
        <v>6.2</v>
      </c>
      <c r="AF56" s="80">
        <v>6.2</v>
      </c>
      <c r="AG56" s="94">
        <v>6.2</v>
      </c>
      <c r="AH56" s="20">
        <f t="shared" si="2"/>
        <v>6.2</v>
      </c>
      <c r="AI56" s="19">
        <f t="shared" si="3"/>
        <v>6.2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7">SUM(B45:B57)</f>
        <v>425.44</v>
      </c>
      <c r="C58" s="86">
        <f t="shared" si="7"/>
        <v>425.44</v>
      </c>
      <c r="D58" s="86">
        <f t="shared" si="7"/>
        <v>425.44</v>
      </c>
      <c r="E58" s="86">
        <f t="shared" si="7"/>
        <v>422.24</v>
      </c>
      <c r="F58" s="86">
        <f t="shared" si="7"/>
        <v>409.64</v>
      </c>
      <c r="G58" s="86">
        <f t="shared" si="7"/>
        <v>423.24</v>
      </c>
      <c r="H58" s="86">
        <f t="shared" si="7"/>
        <v>423.24</v>
      </c>
      <c r="I58" s="86">
        <f t="shared" si="7"/>
        <v>423.24</v>
      </c>
      <c r="J58" s="86">
        <f t="shared" si="7"/>
        <v>423.24</v>
      </c>
      <c r="K58" s="86">
        <f t="shared" si="7"/>
        <v>423.24</v>
      </c>
      <c r="L58" s="86">
        <f t="shared" si="7"/>
        <v>423.24</v>
      </c>
      <c r="M58" s="86">
        <f t="shared" si="7"/>
        <v>425.24</v>
      </c>
      <c r="N58" s="86">
        <f t="shared" si="7"/>
        <v>425.24</v>
      </c>
      <c r="O58" s="86">
        <f t="shared" si="7"/>
        <v>425.24</v>
      </c>
      <c r="P58" s="86">
        <f t="shared" si="7"/>
        <v>425.24</v>
      </c>
      <c r="Q58" s="86">
        <f t="shared" si="7"/>
        <v>425.24</v>
      </c>
      <c r="R58" s="86">
        <f t="shared" si="7"/>
        <v>425.24</v>
      </c>
      <c r="S58" s="86">
        <f t="shared" si="7"/>
        <v>443.44</v>
      </c>
      <c r="T58" s="86">
        <f t="shared" si="7"/>
        <v>449.64000000000004</v>
      </c>
      <c r="U58" s="86">
        <f t="shared" si="7"/>
        <v>448.44</v>
      </c>
      <c r="V58" s="86">
        <f t="shared" si="7"/>
        <v>441.14000000000004</v>
      </c>
      <c r="W58" s="86">
        <f t="shared" si="7"/>
        <v>429.03999999999996</v>
      </c>
      <c r="X58" s="86">
        <f t="shared" si="7"/>
        <v>421.04</v>
      </c>
      <c r="Y58" s="86">
        <f>SUM(Y45:Y57)</f>
        <v>421.04</v>
      </c>
      <c r="Z58" s="86">
        <f t="shared" si="7"/>
        <v>430.34000000000003</v>
      </c>
      <c r="AA58" s="86">
        <f t="shared" si="7"/>
        <v>430.34000000000003</v>
      </c>
      <c r="AB58" s="86">
        <f t="shared" si="7"/>
        <v>430.34000000000003</v>
      </c>
      <c r="AC58" s="86">
        <f t="shared" si="7"/>
        <v>430.34</v>
      </c>
      <c r="AD58" s="86">
        <f t="shared" si="7"/>
        <v>430.34</v>
      </c>
      <c r="AE58" s="86">
        <f t="shared" si="7"/>
        <v>431.73999999999995</v>
      </c>
      <c r="AF58" s="86">
        <f t="shared" si="7"/>
        <v>431.44</v>
      </c>
      <c r="AG58" s="101">
        <f t="shared" si="7"/>
        <v>489.91</v>
      </c>
      <c r="AH58" s="20">
        <f t="shared" si="2"/>
        <v>449.64000000000004</v>
      </c>
      <c r="AI58" s="19">
        <f t="shared" si="3"/>
        <v>409.64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>
        <v>0</v>
      </c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>
        <v>29</v>
      </c>
      <c r="Z59" s="105">
        <v>29.4</v>
      </c>
      <c r="AA59" s="105">
        <v>0</v>
      </c>
      <c r="AB59" s="105">
        <v>0</v>
      </c>
      <c r="AC59" s="105">
        <v>0</v>
      </c>
      <c r="AD59" s="105">
        <v>29.1</v>
      </c>
      <c r="AE59" s="105">
        <v>0</v>
      </c>
      <c r="AF59" s="105">
        <v>0</v>
      </c>
      <c r="AG59" s="96">
        <v>60</v>
      </c>
      <c r="AH59" s="20">
        <f t="shared" si="2"/>
        <v>29.4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9</v>
      </c>
      <c r="Z60" s="80">
        <v>16.5</v>
      </c>
      <c r="AA60" s="80">
        <v>4.7</v>
      </c>
      <c r="AB60" s="80">
        <v>0</v>
      </c>
      <c r="AC60" s="80">
        <v>0</v>
      </c>
      <c r="AD60" s="80">
        <v>16</v>
      </c>
      <c r="AE60" s="80">
        <v>0</v>
      </c>
      <c r="AF60" s="80">
        <v>0</v>
      </c>
      <c r="AG60" s="94">
        <v>32</v>
      </c>
      <c r="AH60" s="20">
        <f t="shared" si="2"/>
        <v>16.5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07">
        <v>0</v>
      </c>
      <c r="Y61" s="107">
        <v>3.3</v>
      </c>
      <c r="Z61" s="107">
        <v>6</v>
      </c>
      <c r="AA61" s="107">
        <v>1.7</v>
      </c>
      <c r="AB61" s="107">
        <v>0</v>
      </c>
      <c r="AC61" s="107">
        <v>0</v>
      </c>
      <c r="AD61" s="107">
        <v>5.8</v>
      </c>
      <c r="AE61" s="107">
        <v>0</v>
      </c>
      <c r="AF61" s="107">
        <v>0</v>
      </c>
      <c r="AG61" s="106">
        <v>14</v>
      </c>
      <c r="AH61" s="20">
        <f t="shared" si="2"/>
        <v>6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8">SUM(B59:B61)</f>
        <v>0</v>
      </c>
      <c r="C62" s="86">
        <f t="shared" si="8"/>
        <v>0</v>
      </c>
      <c r="D62" s="86">
        <f t="shared" si="8"/>
        <v>0</v>
      </c>
      <c r="E62" s="86">
        <f t="shared" si="8"/>
        <v>0</v>
      </c>
      <c r="F62" s="86">
        <f t="shared" si="8"/>
        <v>0</v>
      </c>
      <c r="G62" s="86">
        <f t="shared" si="8"/>
        <v>0</v>
      </c>
      <c r="H62" s="86">
        <f t="shared" si="8"/>
        <v>0</v>
      </c>
      <c r="I62" s="86">
        <f t="shared" si="8"/>
        <v>0</v>
      </c>
      <c r="J62" s="86">
        <f t="shared" si="8"/>
        <v>0</v>
      </c>
      <c r="K62" s="86">
        <f t="shared" si="8"/>
        <v>0</v>
      </c>
      <c r="L62" s="86">
        <f t="shared" si="8"/>
        <v>0</v>
      </c>
      <c r="M62" s="86">
        <f t="shared" si="8"/>
        <v>0</v>
      </c>
      <c r="N62" s="86">
        <f t="shared" si="8"/>
        <v>0</v>
      </c>
      <c r="O62" s="86">
        <f t="shared" si="8"/>
        <v>0</v>
      </c>
      <c r="P62" s="86">
        <f t="shared" si="8"/>
        <v>0</v>
      </c>
      <c r="Q62" s="86">
        <f t="shared" si="8"/>
        <v>0</v>
      </c>
      <c r="R62" s="86">
        <f t="shared" si="8"/>
        <v>0</v>
      </c>
      <c r="S62" s="86">
        <f t="shared" si="8"/>
        <v>0</v>
      </c>
      <c r="T62" s="86">
        <f t="shared" si="8"/>
        <v>0</v>
      </c>
      <c r="U62" s="86">
        <f t="shared" si="8"/>
        <v>0</v>
      </c>
      <c r="V62" s="86">
        <f t="shared" si="8"/>
        <v>0</v>
      </c>
      <c r="W62" s="86">
        <f t="shared" si="8"/>
        <v>0</v>
      </c>
      <c r="X62" s="86">
        <f t="shared" si="8"/>
        <v>0</v>
      </c>
      <c r="Y62" s="86">
        <f>SUM(Y59:Y61)</f>
        <v>41.3</v>
      </c>
      <c r="Z62" s="86">
        <f t="shared" si="8"/>
        <v>51.9</v>
      </c>
      <c r="AA62" s="86">
        <f t="shared" si="8"/>
        <v>6.4</v>
      </c>
      <c r="AB62" s="86">
        <f t="shared" si="8"/>
        <v>0</v>
      </c>
      <c r="AC62" s="86">
        <f t="shared" si="8"/>
        <v>0</v>
      </c>
      <c r="AD62" s="86">
        <f t="shared" si="8"/>
        <v>50.9</v>
      </c>
      <c r="AE62" s="86">
        <f t="shared" si="8"/>
        <v>0</v>
      </c>
      <c r="AF62" s="86">
        <f t="shared" si="8"/>
        <v>0</v>
      </c>
      <c r="AG62" s="101">
        <f t="shared" si="8"/>
        <v>106</v>
      </c>
      <c r="AH62" s="20">
        <f t="shared" si="2"/>
        <v>51.9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>
        <v>0</v>
      </c>
      <c r="S63" s="105">
        <v>31.8</v>
      </c>
      <c r="T63" s="105">
        <v>37.200000000000003</v>
      </c>
      <c r="U63" s="105">
        <v>14.3</v>
      </c>
      <c r="V63" s="105">
        <v>13.5</v>
      </c>
      <c r="W63" s="105">
        <v>9.3000000000000007</v>
      </c>
      <c r="X63" s="105">
        <v>10.3</v>
      </c>
      <c r="Y63" s="105">
        <v>33.6</v>
      </c>
      <c r="Z63" s="105">
        <v>46.3</v>
      </c>
      <c r="AA63" s="105">
        <v>48</v>
      </c>
      <c r="AB63" s="105">
        <v>52.1</v>
      </c>
      <c r="AC63" s="105">
        <v>46.3</v>
      </c>
      <c r="AD63" s="105">
        <v>50.3</v>
      </c>
      <c r="AE63" s="105">
        <v>19</v>
      </c>
      <c r="AF63" s="105">
        <v>16.8</v>
      </c>
      <c r="AG63" s="96"/>
      <c r="AH63" s="20">
        <f t="shared" si="2"/>
        <v>52.1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-365</v>
      </c>
      <c r="C65" s="80">
        <v>-376</v>
      </c>
      <c r="D65" s="80">
        <v>-391</v>
      </c>
      <c r="E65" s="80">
        <v>-381</v>
      </c>
      <c r="F65" s="80">
        <v>-374</v>
      </c>
      <c r="G65" s="80">
        <v>-350</v>
      </c>
      <c r="H65" s="80">
        <v>-370</v>
      </c>
      <c r="I65" s="80">
        <v>-383</v>
      </c>
      <c r="J65" s="80">
        <v>-410</v>
      </c>
      <c r="K65" s="80">
        <v>-383</v>
      </c>
      <c r="L65" s="80">
        <v>-375</v>
      </c>
      <c r="M65" s="80">
        <v>-388</v>
      </c>
      <c r="N65" s="80">
        <v>-380</v>
      </c>
      <c r="O65" s="80">
        <v>-342</v>
      </c>
      <c r="P65" s="80">
        <v>-326</v>
      </c>
      <c r="Q65" s="80">
        <v>-326</v>
      </c>
      <c r="R65" s="80">
        <v>-322</v>
      </c>
      <c r="S65" s="80">
        <v>-322.2</v>
      </c>
      <c r="T65" s="80">
        <v>-340.3</v>
      </c>
      <c r="U65" s="80">
        <v>-374.9</v>
      </c>
      <c r="V65" s="80">
        <v>-411.7</v>
      </c>
      <c r="W65" s="80">
        <v>-407.6</v>
      </c>
      <c r="X65" s="80">
        <v>-325.89999999999998</v>
      </c>
      <c r="Y65" s="80">
        <v>-209.2</v>
      </c>
      <c r="Z65" s="80">
        <v>-200.4</v>
      </c>
      <c r="AA65" s="80">
        <v>-237.6</v>
      </c>
      <c r="AB65" s="80">
        <v>-231.7</v>
      </c>
      <c r="AC65" s="80">
        <v>-250.8</v>
      </c>
      <c r="AD65" s="80">
        <v>-328.1</v>
      </c>
      <c r="AE65" s="80">
        <v>-389</v>
      </c>
      <c r="AF65" s="80">
        <v>-408</v>
      </c>
      <c r="AG65" s="102"/>
      <c r="AH65" s="20">
        <f t="shared" si="2"/>
        <v>-200.4</v>
      </c>
      <c r="AI65" s="19">
        <f t="shared" si="3"/>
        <v>-411.7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4</v>
      </c>
      <c r="C68" s="103">
        <v>4</v>
      </c>
      <c r="D68" s="103">
        <v>4</v>
      </c>
      <c r="E68" s="103">
        <v>4</v>
      </c>
      <c r="F68" s="103">
        <v>4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4</v>
      </c>
      <c r="W68" s="103">
        <v>4</v>
      </c>
      <c r="X68" s="103">
        <v>4</v>
      </c>
      <c r="Y68" s="103">
        <v>4</v>
      </c>
      <c r="Z68" s="103">
        <v>4</v>
      </c>
      <c r="AA68" s="103">
        <v>4</v>
      </c>
      <c r="AB68" s="103">
        <v>4</v>
      </c>
      <c r="AC68" s="103">
        <v>4</v>
      </c>
      <c r="AD68" s="103">
        <v>4</v>
      </c>
      <c r="AE68" s="103">
        <v>4</v>
      </c>
      <c r="AF68" s="103">
        <v>4</v>
      </c>
      <c r="AG68" s="102"/>
      <c r="AH68" s="20">
        <f t="shared" si="2"/>
        <v>4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9">SUMIF(B63:B73,"&gt;0")</f>
        <v>4</v>
      </c>
      <c r="C74" s="86">
        <f t="shared" si="9"/>
        <v>4</v>
      </c>
      <c r="D74" s="86">
        <f t="shared" si="9"/>
        <v>4</v>
      </c>
      <c r="E74" s="86">
        <f t="shared" si="9"/>
        <v>4</v>
      </c>
      <c r="F74" s="86">
        <f t="shared" si="9"/>
        <v>4</v>
      </c>
      <c r="G74" s="86">
        <f t="shared" si="9"/>
        <v>0</v>
      </c>
      <c r="H74" s="86">
        <f t="shared" si="9"/>
        <v>0</v>
      </c>
      <c r="I74" s="86">
        <f t="shared" si="9"/>
        <v>0</v>
      </c>
      <c r="J74" s="86">
        <f t="shared" si="9"/>
        <v>0</v>
      </c>
      <c r="K74" s="86">
        <f t="shared" si="9"/>
        <v>0</v>
      </c>
      <c r="L74" s="86">
        <f t="shared" si="9"/>
        <v>0</v>
      </c>
      <c r="M74" s="86">
        <f t="shared" si="9"/>
        <v>0</v>
      </c>
      <c r="N74" s="86">
        <f t="shared" si="9"/>
        <v>0</v>
      </c>
      <c r="O74" s="86">
        <f t="shared" si="9"/>
        <v>0</v>
      </c>
      <c r="P74" s="86">
        <f t="shared" si="9"/>
        <v>0</v>
      </c>
      <c r="Q74" s="86">
        <f t="shared" si="9"/>
        <v>0</v>
      </c>
      <c r="R74" s="86">
        <f t="shared" si="9"/>
        <v>0</v>
      </c>
      <c r="S74" s="86">
        <f t="shared" si="9"/>
        <v>31.8</v>
      </c>
      <c r="T74" s="86">
        <f t="shared" si="9"/>
        <v>37.200000000000003</v>
      </c>
      <c r="U74" s="86">
        <f t="shared" si="9"/>
        <v>14.3</v>
      </c>
      <c r="V74" s="86">
        <f t="shared" si="9"/>
        <v>17.5</v>
      </c>
      <c r="W74" s="86">
        <f t="shared" si="9"/>
        <v>13.3</v>
      </c>
      <c r="X74" s="86">
        <f t="shared" si="9"/>
        <v>14.3</v>
      </c>
      <c r="Y74" s="86">
        <f>SUMIF(Y63:Y73,"&gt;0")</f>
        <v>37.6</v>
      </c>
      <c r="Z74" s="86">
        <f t="shared" si="9"/>
        <v>50.3</v>
      </c>
      <c r="AA74" s="86">
        <f t="shared" si="9"/>
        <v>52</v>
      </c>
      <c r="AB74" s="86">
        <f t="shared" si="9"/>
        <v>56.1</v>
      </c>
      <c r="AC74" s="86">
        <f t="shared" si="9"/>
        <v>50.3</v>
      </c>
      <c r="AD74" s="86">
        <f t="shared" si="9"/>
        <v>54.3</v>
      </c>
      <c r="AE74" s="86">
        <f t="shared" si="9"/>
        <v>23</v>
      </c>
      <c r="AF74" s="86">
        <f t="shared" si="9"/>
        <v>20.8</v>
      </c>
      <c r="AG74" s="85">
        <f>SUM(AG63:AG73)</f>
        <v>0</v>
      </c>
      <c r="AH74" s="20">
        <f t="shared" si="2"/>
        <v>56.1</v>
      </c>
      <c r="AI74" s="19">
        <f t="shared" si="3"/>
        <v>0</v>
      </c>
      <c r="AK74" s="41"/>
    </row>
    <row r="75" spans="1:37" x14ac:dyDescent="0.25">
      <c r="A75" s="97" t="s">
        <v>164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>
        <v>0</v>
      </c>
      <c r="Z75" s="93">
        <v>0</v>
      </c>
      <c r="AA75" s="93">
        <v>0</v>
      </c>
      <c r="AB75" s="93">
        <v>0</v>
      </c>
      <c r="AC75" s="93">
        <v>0</v>
      </c>
      <c r="AD75" s="93">
        <v>0</v>
      </c>
      <c r="AE75" s="93">
        <v>0</v>
      </c>
      <c r="AF75" s="93">
        <v>0</v>
      </c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>
        <v>0</v>
      </c>
      <c r="Z76" s="103">
        <v>0</v>
      </c>
      <c r="AA76" s="103">
        <v>0</v>
      </c>
      <c r="AB76" s="103">
        <v>0</v>
      </c>
      <c r="AC76" s="103">
        <v>0</v>
      </c>
      <c r="AD76" s="103">
        <v>0</v>
      </c>
      <c r="AE76" s="103">
        <v>0</v>
      </c>
      <c r="AF76" s="103">
        <v>0</v>
      </c>
      <c r="AG76" s="102">
        <v>14.4</v>
      </c>
      <c r="AH76" s="20">
        <f t="shared" si="2"/>
        <v>0</v>
      </c>
      <c r="AI76" s="19">
        <f t="shared" si="3"/>
        <v>0</v>
      </c>
      <c r="AK76" s="41"/>
    </row>
    <row r="77" spans="1:37" ht="15.75" thickBot="1" x14ac:dyDescent="0.3">
      <c r="A77" s="91" t="s">
        <v>162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>
        <v>0</v>
      </c>
      <c r="Z77" s="90">
        <v>0</v>
      </c>
      <c r="AA77" s="90">
        <v>0</v>
      </c>
      <c r="AB77" s="90">
        <v>0</v>
      </c>
      <c r="AC77" s="90">
        <v>0</v>
      </c>
      <c r="AD77" s="90">
        <v>0</v>
      </c>
      <c r="AE77" s="90">
        <v>0</v>
      </c>
      <c r="AF77" s="90">
        <v>0</v>
      </c>
      <c r="AG77" s="89">
        <v>2</v>
      </c>
      <c r="AH77" s="20">
        <f t="shared" ref="AH77:AH99" si="10">MAX(B77:AF77)</f>
        <v>0</v>
      </c>
      <c r="AI77" s="19">
        <f>MIN(B77:AF77)</f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f>SUM(Y75:Y77)</f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10"/>
        <v>0</v>
      </c>
      <c r="AI78" s="19">
        <f>MIN(B78:AF78)</f>
        <v>0</v>
      </c>
    </row>
    <row r="79" spans="1:37" ht="15.75" thickBot="1" x14ac:dyDescent="0.3">
      <c r="A79" s="87" t="s">
        <v>160</v>
      </c>
      <c r="B79" s="98">
        <f t="shared" ref="B79:AG79" si="11">B40+B44+B62+B58+B74+B78</f>
        <v>1733.3400000000001</v>
      </c>
      <c r="C79" s="98">
        <f t="shared" si="11"/>
        <v>1744.3400000000001</v>
      </c>
      <c r="D79" s="98">
        <f t="shared" si="11"/>
        <v>1744.3400000000001</v>
      </c>
      <c r="E79" s="98">
        <f t="shared" si="11"/>
        <v>1741.14</v>
      </c>
      <c r="F79" s="98">
        <f t="shared" si="11"/>
        <v>1655.44</v>
      </c>
      <c r="G79" s="98">
        <f t="shared" si="11"/>
        <v>1655.04</v>
      </c>
      <c r="H79" s="98">
        <f t="shared" si="11"/>
        <v>1672.04</v>
      </c>
      <c r="I79" s="98">
        <f t="shared" si="11"/>
        <v>1672.04</v>
      </c>
      <c r="J79" s="98">
        <f t="shared" si="11"/>
        <v>1686.04</v>
      </c>
      <c r="K79" s="98">
        <f t="shared" si="11"/>
        <v>1762.04</v>
      </c>
      <c r="L79" s="98">
        <f t="shared" si="11"/>
        <v>1770.04</v>
      </c>
      <c r="M79" s="98">
        <f t="shared" si="11"/>
        <v>1771.74</v>
      </c>
      <c r="N79" s="98">
        <f t="shared" si="11"/>
        <v>1771.74</v>
      </c>
      <c r="O79" s="98">
        <f t="shared" si="11"/>
        <v>1771.74</v>
      </c>
      <c r="P79" s="98">
        <f t="shared" si="11"/>
        <v>1759.74</v>
      </c>
      <c r="Q79" s="98">
        <f t="shared" si="11"/>
        <v>1759.74</v>
      </c>
      <c r="R79" s="98">
        <f t="shared" si="11"/>
        <v>1759.74</v>
      </c>
      <c r="S79" s="98">
        <f t="shared" si="11"/>
        <v>1811.74</v>
      </c>
      <c r="T79" s="98">
        <f t="shared" si="11"/>
        <v>1851.3400000000001</v>
      </c>
      <c r="U79" s="98">
        <f t="shared" si="11"/>
        <v>1832.54</v>
      </c>
      <c r="V79" s="98">
        <f t="shared" si="11"/>
        <v>1822.24</v>
      </c>
      <c r="W79" s="98">
        <f t="shared" si="11"/>
        <v>1809.9399999999998</v>
      </c>
      <c r="X79" s="98">
        <f t="shared" si="11"/>
        <v>1796.9399999999998</v>
      </c>
      <c r="Y79" s="98">
        <f t="shared" si="11"/>
        <v>1863.5399999999997</v>
      </c>
      <c r="Z79" s="98">
        <f t="shared" si="11"/>
        <v>1880.14</v>
      </c>
      <c r="AA79" s="98">
        <f t="shared" si="11"/>
        <v>1855.3400000000001</v>
      </c>
      <c r="AB79" s="98">
        <f t="shared" si="11"/>
        <v>1845.04</v>
      </c>
      <c r="AC79" s="98">
        <f t="shared" si="11"/>
        <v>1797.4399999999998</v>
      </c>
      <c r="AD79" s="98">
        <f t="shared" si="11"/>
        <v>1852.34</v>
      </c>
      <c r="AE79" s="98">
        <f t="shared" si="11"/>
        <v>1818.74</v>
      </c>
      <c r="AF79" s="98">
        <f t="shared" si="11"/>
        <v>1816.24</v>
      </c>
      <c r="AG79" s="101">
        <f t="shared" si="11"/>
        <v>1855.1900000000003</v>
      </c>
      <c r="AH79" s="20">
        <f t="shared" si="10"/>
        <v>1880.14</v>
      </c>
      <c r="AI79" s="19">
        <f>MIN(B79:AF79)</f>
        <v>1655.04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10"/>
        <v>0</v>
      </c>
      <c r="AI80" s="19">
        <f>MIN(B80:AF80)</f>
        <v>0</v>
      </c>
    </row>
    <row r="81" spans="1:37" ht="15.75" thickBot="1" x14ac:dyDescent="0.3">
      <c r="A81" s="87" t="s">
        <v>158</v>
      </c>
      <c r="B81" s="98">
        <f t="shared" ref="B81:AF81" si="12">B79+B80</f>
        <v>1733.3400000000001</v>
      </c>
      <c r="C81" s="98">
        <f t="shared" si="12"/>
        <v>1744.3400000000001</v>
      </c>
      <c r="D81" s="98">
        <f t="shared" si="12"/>
        <v>1744.3400000000001</v>
      </c>
      <c r="E81" s="98">
        <f t="shared" si="12"/>
        <v>1741.14</v>
      </c>
      <c r="F81" s="98">
        <f t="shared" si="12"/>
        <v>1655.44</v>
      </c>
      <c r="G81" s="98">
        <f t="shared" si="12"/>
        <v>1655.04</v>
      </c>
      <c r="H81" s="98">
        <f t="shared" si="12"/>
        <v>1672.04</v>
      </c>
      <c r="I81" s="98">
        <f t="shared" si="12"/>
        <v>1672.04</v>
      </c>
      <c r="J81" s="98">
        <f t="shared" si="12"/>
        <v>1686.04</v>
      </c>
      <c r="K81" s="98">
        <f t="shared" si="12"/>
        <v>1762.04</v>
      </c>
      <c r="L81" s="98">
        <f t="shared" si="12"/>
        <v>1770.04</v>
      </c>
      <c r="M81" s="98">
        <f t="shared" si="12"/>
        <v>1771.74</v>
      </c>
      <c r="N81" s="98">
        <f t="shared" si="12"/>
        <v>1771.74</v>
      </c>
      <c r="O81" s="98">
        <f t="shared" si="12"/>
        <v>1771.74</v>
      </c>
      <c r="P81" s="98">
        <f t="shared" si="12"/>
        <v>1759.74</v>
      </c>
      <c r="Q81" s="98">
        <f t="shared" si="12"/>
        <v>1759.74</v>
      </c>
      <c r="R81" s="98">
        <f t="shared" si="12"/>
        <v>1759.74</v>
      </c>
      <c r="S81" s="98">
        <f t="shared" si="12"/>
        <v>1811.74</v>
      </c>
      <c r="T81" s="98">
        <f t="shared" si="12"/>
        <v>1851.3400000000001</v>
      </c>
      <c r="U81" s="98">
        <f t="shared" si="12"/>
        <v>1832.54</v>
      </c>
      <c r="V81" s="98">
        <f t="shared" si="12"/>
        <v>1822.24</v>
      </c>
      <c r="W81" s="98">
        <f t="shared" si="12"/>
        <v>1809.9399999999998</v>
      </c>
      <c r="X81" s="98">
        <f t="shared" si="12"/>
        <v>1796.9399999999998</v>
      </c>
      <c r="Y81" s="98">
        <f t="shared" si="12"/>
        <v>1863.5399999999997</v>
      </c>
      <c r="Z81" s="98">
        <f t="shared" si="12"/>
        <v>1880.14</v>
      </c>
      <c r="AA81" s="98">
        <f t="shared" si="12"/>
        <v>1855.3400000000001</v>
      </c>
      <c r="AB81" s="98">
        <f t="shared" si="12"/>
        <v>1845.04</v>
      </c>
      <c r="AC81" s="98">
        <f t="shared" si="12"/>
        <v>1797.4399999999998</v>
      </c>
      <c r="AD81" s="98">
        <f t="shared" si="12"/>
        <v>1852.34</v>
      </c>
      <c r="AE81" s="98">
        <f t="shared" si="12"/>
        <v>1818.74</v>
      </c>
      <c r="AF81" s="98">
        <f t="shared" si="12"/>
        <v>1816.24</v>
      </c>
      <c r="AG81" s="85">
        <f>AG78+AG74+AG62+AG58+AG40+AG80</f>
        <v>1317.0900000000001</v>
      </c>
      <c r="AH81" s="20">
        <f t="shared" si="10"/>
        <v>1880.14</v>
      </c>
      <c r="AI81" s="19">
        <f>MIN(B81:AF81)</f>
        <v>1655.04</v>
      </c>
    </row>
    <row r="82" spans="1:37" ht="15.75" thickBot="1" x14ac:dyDescent="0.3">
      <c r="A82" s="87" t="s">
        <v>157</v>
      </c>
      <c r="B82" s="98">
        <f t="shared" ref="B82:AF82" si="13">B81-B89</f>
        <v>1368.3400000000001</v>
      </c>
      <c r="C82" s="98">
        <f t="shared" si="13"/>
        <v>1368.3400000000001</v>
      </c>
      <c r="D82" s="98">
        <f t="shared" si="13"/>
        <v>1353.3400000000001</v>
      </c>
      <c r="E82" s="98">
        <f t="shared" si="13"/>
        <v>1360.14</v>
      </c>
      <c r="F82" s="98">
        <f t="shared" si="13"/>
        <v>1281.44</v>
      </c>
      <c r="G82" s="98">
        <f t="shared" si="13"/>
        <v>1305.04</v>
      </c>
      <c r="H82" s="98">
        <f t="shared" si="13"/>
        <v>1302.04</v>
      </c>
      <c r="I82" s="98">
        <f t="shared" si="13"/>
        <v>1289.04</v>
      </c>
      <c r="J82" s="98">
        <f t="shared" si="13"/>
        <v>1276.04</v>
      </c>
      <c r="K82" s="98">
        <f t="shared" si="13"/>
        <v>1379.04</v>
      </c>
      <c r="L82" s="98">
        <f t="shared" si="13"/>
        <v>1395.04</v>
      </c>
      <c r="M82" s="98">
        <f t="shared" si="13"/>
        <v>1383.74</v>
      </c>
      <c r="N82" s="98">
        <f t="shared" si="13"/>
        <v>1391.74</v>
      </c>
      <c r="O82" s="98">
        <f t="shared" si="13"/>
        <v>1429.74</v>
      </c>
      <c r="P82" s="98">
        <f t="shared" si="13"/>
        <v>1433.74</v>
      </c>
      <c r="Q82" s="98">
        <f t="shared" si="13"/>
        <v>1433.74</v>
      </c>
      <c r="R82" s="98">
        <f t="shared" si="13"/>
        <v>1437.74</v>
      </c>
      <c r="S82" s="98">
        <f t="shared" si="13"/>
        <v>1489.54</v>
      </c>
      <c r="T82" s="98">
        <f t="shared" si="13"/>
        <v>1511.0400000000002</v>
      </c>
      <c r="U82" s="98">
        <f t="shared" si="13"/>
        <v>1457.6399999999999</v>
      </c>
      <c r="V82" s="98">
        <f t="shared" si="13"/>
        <v>1410.54</v>
      </c>
      <c r="W82" s="98">
        <f t="shared" si="13"/>
        <v>1402.3399999999997</v>
      </c>
      <c r="X82" s="98">
        <f t="shared" si="13"/>
        <v>1471.04</v>
      </c>
      <c r="Y82" s="98">
        <f t="shared" si="13"/>
        <v>1654.3399999999997</v>
      </c>
      <c r="Z82" s="98">
        <f t="shared" si="13"/>
        <v>1679.74</v>
      </c>
      <c r="AA82" s="98">
        <f t="shared" si="13"/>
        <v>1617.7400000000002</v>
      </c>
      <c r="AB82" s="98">
        <f t="shared" si="13"/>
        <v>1613.34</v>
      </c>
      <c r="AC82" s="98">
        <f t="shared" si="13"/>
        <v>1546.6399999999999</v>
      </c>
      <c r="AD82" s="98">
        <f t="shared" si="13"/>
        <v>1524.2399999999998</v>
      </c>
      <c r="AE82" s="98">
        <f t="shared" si="13"/>
        <v>1429.74</v>
      </c>
      <c r="AF82" s="98">
        <f t="shared" si="13"/>
        <v>1408.24</v>
      </c>
      <c r="AG82" s="85"/>
      <c r="AH82" s="20">
        <f t="shared" si="10"/>
        <v>1679.74</v>
      </c>
      <c r="AI82" s="19"/>
    </row>
    <row r="83" spans="1:37" x14ac:dyDescent="0.25">
      <c r="A83" s="97" t="s">
        <v>156</v>
      </c>
      <c r="B83" s="93">
        <f t="shared" ref="B83:AF83" si="14">IF(B66&lt;0,B66*-1,0)</f>
        <v>0</v>
      </c>
      <c r="C83" s="93">
        <f t="shared" si="14"/>
        <v>0</v>
      </c>
      <c r="D83" s="93">
        <f t="shared" si="14"/>
        <v>0</v>
      </c>
      <c r="E83" s="93">
        <f t="shared" si="14"/>
        <v>0</v>
      </c>
      <c r="F83" s="93">
        <f t="shared" si="14"/>
        <v>0</v>
      </c>
      <c r="G83" s="93">
        <f t="shared" si="14"/>
        <v>0</v>
      </c>
      <c r="H83" s="93">
        <f t="shared" si="14"/>
        <v>0</v>
      </c>
      <c r="I83" s="93">
        <f t="shared" si="14"/>
        <v>0</v>
      </c>
      <c r="J83" s="93">
        <f t="shared" si="14"/>
        <v>0</v>
      </c>
      <c r="K83" s="93">
        <f t="shared" si="14"/>
        <v>0</v>
      </c>
      <c r="L83" s="93">
        <f t="shared" si="14"/>
        <v>0</v>
      </c>
      <c r="M83" s="93">
        <f t="shared" si="14"/>
        <v>0</v>
      </c>
      <c r="N83" s="93">
        <f t="shared" si="14"/>
        <v>0</v>
      </c>
      <c r="O83" s="93">
        <f t="shared" si="14"/>
        <v>0</v>
      </c>
      <c r="P83" s="93">
        <f t="shared" si="14"/>
        <v>0</v>
      </c>
      <c r="Q83" s="93">
        <f t="shared" si="14"/>
        <v>0</v>
      </c>
      <c r="R83" s="93">
        <f t="shared" si="14"/>
        <v>0</v>
      </c>
      <c r="S83" s="93">
        <f t="shared" si="14"/>
        <v>0</v>
      </c>
      <c r="T83" s="93">
        <f t="shared" si="14"/>
        <v>0</v>
      </c>
      <c r="U83" s="93">
        <f t="shared" si="14"/>
        <v>0</v>
      </c>
      <c r="V83" s="93">
        <f t="shared" si="14"/>
        <v>0</v>
      </c>
      <c r="W83" s="93">
        <f t="shared" si="14"/>
        <v>0</v>
      </c>
      <c r="X83" s="93">
        <f t="shared" si="14"/>
        <v>0</v>
      </c>
      <c r="Y83" s="93">
        <f t="shared" si="14"/>
        <v>0</v>
      </c>
      <c r="Z83" s="93">
        <f t="shared" si="14"/>
        <v>0</v>
      </c>
      <c r="AA83" s="93">
        <f t="shared" si="14"/>
        <v>0</v>
      </c>
      <c r="AB83" s="93">
        <f t="shared" si="14"/>
        <v>0</v>
      </c>
      <c r="AC83" s="93">
        <f t="shared" si="14"/>
        <v>0</v>
      </c>
      <c r="AD83" s="93">
        <f t="shared" si="14"/>
        <v>0</v>
      </c>
      <c r="AE83" s="93">
        <f t="shared" si="14"/>
        <v>0</v>
      </c>
      <c r="AF83" s="93">
        <f t="shared" si="14"/>
        <v>0</v>
      </c>
      <c r="AG83" s="96"/>
      <c r="AH83" s="20">
        <f t="shared" si="10"/>
        <v>0</v>
      </c>
      <c r="AI83" s="19">
        <f t="shared" ref="AI83:AI99" si="15">MIN(B83:AF83)</f>
        <v>0</v>
      </c>
    </row>
    <row r="84" spans="1:37" x14ac:dyDescent="0.25">
      <c r="A84" s="95" t="s">
        <v>155</v>
      </c>
      <c r="B84" s="93">
        <f t="shared" ref="B84:AF84" si="16">IF(B64&lt;0,B64*-1,0)</f>
        <v>0</v>
      </c>
      <c r="C84" s="93">
        <f t="shared" si="16"/>
        <v>0</v>
      </c>
      <c r="D84" s="93">
        <f t="shared" si="16"/>
        <v>0</v>
      </c>
      <c r="E84" s="93">
        <f t="shared" si="16"/>
        <v>0</v>
      </c>
      <c r="F84" s="93">
        <f t="shared" si="16"/>
        <v>0</v>
      </c>
      <c r="G84" s="93">
        <f t="shared" si="16"/>
        <v>0</v>
      </c>
      <c r="H84" s="93">
        <f t="shared" si="16"/>
        <v>0</v>
      </c>
      <c r="I84" s="93">
        <f t="shared" si="16"/>
        <v>0</v>
      </c>
      <c r="J84" s="93">
        <f t="shared" si="16"/>
        <v>0</v>
      </c>
      <c r="K84" s="93">
        <f t="shared" si="16"/>
        <v>0</v>
      </c>
      <c r="L84" s="93">
        <f t="shared" si="16"/>
        <v>0</v>
      </c>
      <c r="M84" s="93">
        <f t="shared" si="16"/>
        <v>0</v>
      </c>
      <c r="N84" s="93">
        <f t="shared" si="16"/>
        <v>0</v>
      </c>
      <c r="O84" s="93">
        <f t="shared" si="16"/>
        <v>0</v>
      </c>
      <c r="P84" s="93">
        <f t="shared" si="16"/>
        <v>0</v>
      </c>
      <c r="Q84" s="93">
        <f t="shared" si="16"/>
        <v>0</v>
      </c>
      <c r="R84" s="93">
        <f t="shared" si="16"/>
        <v>0</v>
      </c>
      <c r="S84" s="93">
        <f t="shared" si="16"/>
        <v>0</v>
      </c>
      <c r="T84" s="93">
        <f t="shared" si="16"/>
        <v>0</v>
      </c>
      <c r="U84" s="93">
        <f t="shared" si="16"/>
        <v>0</v>
      </c>
      <c r="V84" s="93">
        <f t="shared" si="16"/>
        <v>0</v>
      </c>
      <c r="W84" s="93">
        <f t="shared" si="16"/>
        <v>0</v>
      </c>
      <c r="X84" s="93">
        <f t="shared" si="16"/>
        <v>0</v>
      </c>
      <c r="Y84" s="93">
        <f t="shared" si="16"/>
        <v>0</v>
      </c>
      <c r="Z84" s="93">
        <f t="shared" si="16"/>
        <v>0</v>
      </c>
      <c r="AA84" s="93">
        <f t="shared" si="16"/>
        <v>0</v>
      </c>
      <c r="AB84" s="93">
        <f t="shared" si="16"/>
        <v>0</v>
      </c>
      <c r="AC84" s="93">
        <f t="shared" si="16"/>
        <v>0</v>
      </c>
      <c r="AD84" s="93">
        <f t="shared" si="16"/>
        <v>0</v>
      </c>
      <c r="AE84" s="93">
        <f t="shared" si="16"/>
        <v>0</v>
      </c>
      <c r="AF84" s="93">
        <f t="shared" si="16"/>
        <v>0</v>
      </c>
      <c r="AG84" s="94"/>
      <c r="AH84" s="20">
        <f t="shared" si="10"/>
        <v>0</v>
      </c>
      <c r="AI84" s="19">
        <f t="shared" si="15"/>
        <v>0</v>
      </c>
    </row>
    <row r="85" spans="1:37" x14ac:dyDescent="0.25">
      <c r="A85" s="91" t="s">
        <v>154</v>
      </c>
      <c r="B85" s="93">
        <f t="shared" ref="B85:AF85" si="17">IF(B67&lt;0,B67*-1,0)</f>
        <v>0</v>
      </c>
      <c r="C85" s="93">
        <f t="shared" si="17"/>
        <v>0</v>
      </c>
      <c r="D85" s="93">
        <f t="shared" si="17"/>
        <v>0</v>
      </c>
      <c r="E85" s="93">
        <f t="shared" si="17"/>
        <v>0</v>
      </c>
      <c r="F85" s="93">
        <f t="shared" si="17"/>
        <v>0</v>
      </c>
      <c r="G85" s="93">
        <f t="shared" si="17"/>
        <v>0</v>
      </c>
      <c r="H85" s="93">
        <f t="shared" si="17"/>
        <v>0</v>
      </c>
      <c r="I85" s="93">
        <f t="shared" si="17"/>
        <v>0</v>
      </c>
      <c r="J85" s="93">
        <f t="shared" si="17"/>
        <v>0</v>
      </c>
      <c r="K85" s="93">
        <f t="shared" si="17"/>
        <v>0</v>
      </c>
      <c r="L85" s="93">
        <f t="shared" si="17"/>
        <v>0</v>
      </c>
      <c r="M85" s="93">
        <f t="shared" si="17"/>
        <v>0</v>
      </c>
      <c r="N85" s="93">
        <f t="shared" si="17"/>
        <v>0</v>
      </c>
      <c r="O85" s="93">
        <f t="shared" si="17"/>
        <v>0</v>
      </c>
      <c r="P85" s="93">
        <f t="shared" si="17"/>
        <v>0</v>
      </c>
      <c r="Q85" s="93">
        <f t="shared" si="17"/>
        <v>0</v>
      </c>
      <c r="R85" s="93">
        <f t="shared" si="17"/>
        <v>0</v>
      </c>
      <c r="S85" s="93">
        <f t="shared" si="17"/>
        <v>0</v>
      </c>
      <c r="T85" s="93">
        <f t="shared" si="17"/>
        <v>0</v>
      </c>
      <c r="U85" s="93">
        <f t="shared" si="17"/>
        <v>0</v>
      </c>
      <c r="V85" s="93">
        <f t="shared" si="17"/>
        <v>0</v>
      </c>
      <c r="W85" s="93">
        <f t="shared" si="17"/>
        <v>0</v>
      </c>
      <c r="X85" s="93">
        <f t="shared" si="17"/>
        <v>0</v>
      </c>
      <c r="Y85" s="93">
        <f t="shared" si="17"/>
        <v>0</v>
      </c>
      <c r="Z85" s="93">
        <f t="shared" si="17"/>
        <v>0</v>
      </c>
      <c r="AA85" s="93">
        <f t="shared" si="17"/>
        <v>0</v>
      </c>
      <c r="AB85" s="93">
        <f t="shared" si="17"/>
        <v>0</v>
      </c>
      <c r="AC85" s="93">
        <f t="shared" si="17"/>
        <v>0</v>
      </c>
      <c r="AD85" s="93">
        <f t="shared" si="17"/>
        <v>0</v>
      </c>
      <c r="AE85" s="93">
        <f t="shared" si="17"/>
        <v>0</v>
      </c>
      <c r="AF85" s="93">
        <f t="shared" si="17"/>
        <v>0</v>
      </c>
      <c r="AG85" s="92"/>
      <c r="AH85" s="20">
        <f t="shared" si="10"/>
        <v>0</v>
      </c>
      <c r="AI85" s="19">
        <f t="shared" si="15"/>
        <v>0</v>
      </c>
    </row>
    <row r="86" spans="1:37" x14ac:dyDescent="0.25">
      <c r="A86" s="91" t="s">
        <v>153</v>
      </c>
      <c r="B86" s="93">
        <f t="shared" ref="B86:AF86" si="18">IF(B65&lt;0,B65*-1,0)</f>
        <v>365</v>
      </c>
      <c r="C86" s="93">
        <f t="shared" si="18"/>
        <v>376</v>
      </c>
      <c r="D86" s="93">
        <f t="shared" si="18"/>
        <v>391</v>
      </c>
      <c r="E86" s="93">
        <f t="shared" si="18"/>
        <v>381</v>
      </c>
      <c r="F86" s="93">
        <f t="shared" si="18"/>
        <v>374</v>
      </c>
      <c r="G86" s="93">
        <f t="shared" si="18"/>
        <v>350</v>
      </c>
      <c r="H86" s="93">
        <f t="shared" si="18"/>
        <v>370</v>
      </c>
      <c r="I86" s="93">
        <f t="shared" si="18"/>
        <v>383</v>
      </c>
      <c r="J86" s="93">
        <f t="shared" si="18"/>
        <v>410</v>
      </c>
      <c r="K86" s="93">
        <f t="shared" si="18"/>
        <v>383</v>
      </c>
      <c r="L86" s="93">
        <f t="shared" si="18"/>
        <v>375</v>
      </c>
      <c r="M86" s="93">
        <f t="shared" si="18"/>
        <v>388</v>
      </c>
      <c r="N86" s="93">
        <f t="shared" si="18"/>
        <v>380</v>
      </c>
      <c r="O86" s="93">
        <f t="shared" si="18"/>
        <v>342</v>
      </c>
      <c r="P86" s="93">
        <f t="shared" si="18"/>
        <v>326</v>
      </c>
      <c r="Q86" s="93">
        <f t="shared" si="18"/>
        <v>326</v>
      </c>
      <c r="R86" s="93">
        <f t="shared" si="18"/>
        <v>322</v>
      </c>
      <c r="S86" s="93">
        <f t="shared" si="18"/>
        <v>322.2</v>
      </c>
      <c r="T86" s="93">
        <f t="shared" si="18"/>
        <v>340.3</v>
      </c>
      <c r="U86" s="93">
        <f t="shared" si="18"/>
        <v>374.9</v>
      </c>
      <c r="V86" s="93">
        <f t="shared" si="18"/>
        <v>411.7</v>
      </c>
      <c r="W86" s="93">
        <f t="shared" si="18"/>
        <v>407.6</v>
      </c>
      <c r="X86" s="93">
        <f t="shared" si="18"/>
        <v>325.89999999999998</v>
      </c>
      <c r="Y86" s="93">
        <f t="shared" si="18"/>
        <v>209.2</v>
      </c>
      <c r="Z86" s="93">
        <f t="shared" si="18"/>
        <v>200.4</v>
      </c>
      <c r="AA86" s="93">
        <f t="shared" si="18"/>
        <v>237.6</v>
      </c>
      <c r="AB86" s="93">
        <f t="shared" si="18"/>
        <v>231.7</v>
      </c>
      <c r="AC86" s="93">
        <f t="shared" si="18"/>
        <v>250.8</v>
      </c>
      <c r="AD86" s="93">
        <f t="shared" si="18"/>
        <v>328.1</v>
      </c>
      <c r="AE86" s="93">
        <f t="shared" si="18"/>
        <v>389</v>
      </c>
      <c r="AF86" s="93">
        <f t="shared" si="18"/>
        <v>408</v>
      </c>
      <c r="AG86" s="92"/>
      <c r="AH86" s="20">
        <f t="shared" si="10"/>
        <v>411.7</v>
      </c>
      <c r="AI86" s="19">
        <f t="shared" si="15"/>
        <v>200.4</v>
      </c>
    </row>
    <row r="87" spans="1:37" x14ac:dyDescent="0.25">
      <c r="A87" s="91" t="s">
        <v>152</v>
      </c>
      <c r="B87" s="93">
        <f t="shared" ref="B87:AF87" si="19">IF(B63&lt;0,B63*-1,0)</f>
        <v>0</v>
      </c>
      <c r="C87" s="93">
        <f t="shared" si="19"/>
        <v>0</v>
      </c>
      <c r="D87" s="93">
        <f t="shared" si="19"/>
        <v>0</v>
      </c>
      <c r="E87" s="93">
        <f t="shared" si="19"/>
        <v>0</v>
      </c>
      <c r="F87" s="93">
        <f t="shared" si="19"/>
        <v>0</v>
      </c>
      <c r="G87" s="93">
        <f t="shared" si="19"/>
        <v>0</v>
      </c>
      <c r="H87" s="93">
        <f t="shared" si="19"/>
        <v>0</v>
      </c>
      <c r="I87" s="93">
        <f t="shared" si="19"/>
        <v>0</v>
      </c>
      <c r="J87" s="93">
        <f t="shared" si="19"/>
        <v>0</v>
      </c>
      <c r="K87" s="93">
        <f t="shared" si="19"/>
        <v>0</v>
      </c>
      <c r="L87" s="93">
        <f t="shared" si="19"/>
        <v>0</v>
      </c>
      <c r="M87" s="93">
        <f t="shared" si="19"/>
        <v>0</v>
      </c>
      <c r="N87" s="93">
        <f t="shared" si="19"/>
        <v>0</v>
      </c>
      <c r="O87" s="93">
        <f t="shared" si="19"/>
        <v>0</v>
      </c>
      <c r="P87" s="93">
        <f t="shared" si="19"/>
        <v>0</v>
      </c>
      <c r="Q87" s="93">
        <f t="shared" si="19"/>
        <v>0</v>
      </c>
      <c r="R87" s="93">
        <f t="shared" si="19"/>
        <v>0</v>
      </c>
      <c r="S87" s="93">
        <f t="shared" si="19"/>
        <v>0</v>
      </c>
      <c r="T87" s="93">
        <f t="shared" si="19"/>
        <v>0</v>
      </c>
      <c r="U87" s="93">
        <f t="shared" si="19"/>
        <v>0</v>
      </c>
      <c r="V87" s="93">
        <f t="shared" si="19"/>
        <v>0</v>
      </c>
      <c r="W87" s="93">
        <f t="shared" si="19"/>
        <v>0</v>
      </c>
      <c r="X87" s="93">
        <f t="shared" si="19"/>
        <v>0</v>
      </c>
      <c r="Y87" s="93">
        <f t="shared" si="19"/>
        <v>0</v>
      </c>
      <c r="Z87" s="93">
        <f t="shared" si="19"/>
        <v>0</v>
      </c>
      <c r="AA87" s="93">
        <f t="shared" si="19"/>
        <v>0</v>
      </c>
      <c r="AB87" s="93">
        <f t="shared" si="19"/>
        <v>0</v>
      </c>
      <c r="AC87" s="93">
        <f t="shared" si="19"/>
        <v>0</v>
      </c>
      <c r="AD87" s="93">
        <f t="shared" si="19"/>
        <v>0</v>
      </c>
      <c r="AE87" s="93">
        <f t="shared" si="19"/>
        <v>0</v>
      </c>
      <c r="AF87" s="93">
        <f t="shared" si="19"/>
        <v>0</v>
      </c>
      <c r="AG87" s="92"/>
      <c r="AH87" s="20">
        <f t="shared" si="10"/>
        <v>0</v>
      </c>
      <c r="AI87" s="19">
        <f t="shared" si="15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10"/>
        <v>0</v>
      </c>
      <c r="AI88" s="19">
        <f t="shared" si="15"/>
        <v>0</v>
      </c>
    </row>
    <row r="89" spans="1:37" ht="15.75" thickBot="1" x14ac:dyDescent="0.3">
      <c r="A89" s="88" t="s">
        <v>150</v>
      </c>
      <c r="B89" s="86">
        <f t="shared" ref="B89:AF89" si="20">SUM(B83:B88)</f>
        <v>365</v>
      </c>
      <c r="C89" s="86">
        <f t="shared" si="20"/>
        <v>376</v>
      </c>
      <c r="D89" s="86">
        <f t="shared" si="20"/>
        <v>391</v>
      </c>
      <c r="E89" s="86">
        <f t="shared" si="20"/>
        <v>381</v>
      </c>
      <c r="F89" s="86">
        <f t="shared" si="20"/>
        <v>374</v>
      </c>
      <c r="G89" s="86">
        <f t="shared" si="20"/>
        <v>350</v>
      </c>
      <c r="H89" s="86">
        <f t="shared" si="20"/>
        <v>370</v>
      </c>
      <c r="I89" s="86">
        <f t="shared" si="20"/>
        <v>383</v>
      </c>
      <c r="J89" s="86">
        <f t="shared" si="20"/>
        <v>410</v>
      </c>
      <c r="K89" s="86">
        <f t="shared" si="20"/>
        <v>383</v>
      </c>
      <c r="L89" s="86">
        <f t="shared" si="20"/>
        <v>375</v>
      </c>
      <c r="M89" s="86">
        <f t="shared" si="20"/>
        <v>388</v>
      </c>
      <c r="N89" s="86">
        <f t="shared" si="20"/>
        <v>380</v>
      </c>
      <c r="O89" s="86">
        <f t="shared" si="20"/>
        <v>342</v>
      </c>
      <c r="P89" s="86">
        <f t="shared" si="20"/>
        <v>326</v>
      </c>
      <c r="Q89" s="86">
        <f t="shared" si="20"/>
        <v>326</v>
      </c>
      <c r="R89" s="86">
        <f t="shared" si="20"/>
        <v>322</v>
      </c>
      <c r="S89" s="86">
        <f t="shared" si="20"/>
        <v>322.2</v>
      </c>
      <c r="T89" s="86">
        <f t="shared" si="20"/>
        <v>340.3</v>
      </c>
      <c r="U89" s="86">
        <f t="shared" si="20"/>
        <v>374.9</v>
      </c>
      <c r="V89" s="86">
        <f t="shared" si="20"/>
        <v>411.7</v>
      </c>
      <c r="W89" s="86">
        <f t="shared" si="20"/>
        <v>407.6</v>
      </c>
      <c r="X89" s="86">
        <f t="shared" si="20"/>
        <v>325.89999999999998</v>
      </c>
      <c r="Y89" s="86">
        <f t="shared" si="20"/>
        <v>209.2</v>
      </c>
      <c r="Z89" s="86">
        <f t="shared" si="20"/>
        <v>200.4</v>
      </c>
      <c r="AA89" s="86">
        <f t="shared" si="20"/>
        <v>237.6</v>
      </c>
      <c r="AB89" s="86">
        <f t="shared" si="20"/>
        <v>231.7</v>
      </c>
      <c r="AC89" s="86">
        <f t="shared" si="20"/>
        <v>250.8</v>
      </c>
      <c r="AD89" s="86">
        <f t="shared" si="20"/>
        <v>328.1</v>
      </c>
      <c r="AE89" s="86">
        <f t="shared" si="20"/>
        <v>389</v>
      </c>
      <c r="AF89" s="86">
        <f t="shared" si="20"/>
        <v>408</v>
      </c>
      <c r="AG89" s="85"/>
      <c r="AH89" s="20">
        <f t="shared" si="10"/>
        <v>411.7</v>
      </c>
      <c r="AI89" s="19">
        <f t="shared" si="15"/>
        <v>200.4</v>
      </c>
      <c r="AK89" s="41"/>
    </row>
    <row r="90" spans="1:37" ht="15.75" thickBot="1" x14ac:dyDescent="0.3">
      <c r="A90" s="87" t="s">
        <v>149</v>
      </c>
      <c r="B90" s="86">
        <f t="shared" ref="B90:AF90" si="21">B74-B89</f>
        <v>-361</v>
      </c>
      <c r="C90" s="86">
        <f t="shared" si="21"/>
        <v>-372</v>
      </c>
      <c r="D90" s="86">
        <f t="shared" si="21"/>
        <v>-387</v>
      </c>
      <c r="E90" s="86">
        <f t="shared" si="21"/>
        <v>-377</v>
      </c>
      <c r="F90" s="86">
        <f t="shared" si="21"/>
        <v>-370</v>
      </c>
      <c r="G90" s="86">
        <f t="shared" si="21"/>
        <v>-350</v>
      </c>
      <c r="H90" s="86">
        <f t="shared" si="21"/>
        <v>-370</v>
      </c>
      <c r="I90" s="86">
        <f t="shared" si="21"/>
        <v>-383</v>
      </c>
      <c r="J90" s="86">
        <f t="shared" si="21"/>
        <v>-410</v>
      </c>
      <c r="K90" s="86">
        <f t="shared" si="21"/>
        <v>-383</v>
      </c>
      <c r="L90" s="86">
        <f t="shared" si="21"/>
        <v>-375</v>
      </c>
      <c r="M90" s="86">
        <f t="shared" si="21"/>
        <v>-388</v>
      </c>
      <c r="N90" s="86">
        <f t="shared" si="21"/>
        <v>-380</v>
      </c>
      <c r="O90" s="86">
        <f t="shared" si="21"/>
        <v>-342</v>
      </c>
      <c r="P90" s="86">
        <f t="shared" si="21"/>
        <v>-326</v>
      </c>
      <c r="Q90" s="86">
        <f t="shared" si="21"/>
        <v>-326</v>
      </c>
      <c r="R90" s="86">
        <f t="shared" si="21"/>
        <v>-322</v>
      </c>
      <c r="S90" s="86">
        <f t="shared" si="21"/>
        <v>-290.39999999999998</v>
      </c>
      <c r="T90" s="86">
        <f t="shared" si="21"/>
        <v>-303.10000000000002</v>
      </c>
      <c r="U90" s="86">
        <f t="shared" si="21"/>
        <v>-360.59999999999997</v>
      </c>
      <c r="V90" s="86">
        <f t="shared" si="21"/>
        <v>-394.2</v>
      </c>
      <c r="W90" s="86">
        <f t="shared" si="21"/>
        <v>-394.3</v>
      </c>
      <c r="X90" s="86">
        <f t="shared" si="21"/>
        <v>-311.59999999999997</v>
      </c>
      <c r="Y90" s="86">
        <f t="shared" si="21"/>
        <v>-171.6</v>
      </c>
      <c r="Z90" s="86">
        <f t="shared" si="21"/>
        <v>-150.10000000000002</v>
      </c>
      <c r="AA90" s="86">
        <f t="shared" si="21"/>
        <v>-185.6</v>
      </c>
      <c r="AB90" s="86">
        <f t="shared" si="21"/>
        <v>-175.6</v>
      </c>
      <c r="AC90" s="86">
        <f t="shared" si="21"/>
        <v>-200.5</v>
      </c>
      <c r="AD90" s="86">
        <f t="shared" si="21"/>
        <v>-273.8</v>
      </c>
      <c r="AE90" s="86">
        <f t="shared" si="21"/>
        <v>-366</v>
      </c>
      <c r="AF90" s="86">
        <f t="shared" si="21"/>
        <v>-387.2</v>
      </c>
      <c r="AG90" s="85"/>
      <c r="AH90" s="20">
        <f t="shared" si="10"/>
        <v>-150.10000000000002</v>
      </c>
      <c r="AI90" s="19">
        <f t="shared" si="15"/>
        <v>-410</v>
      </c>
    </row>
    <row r="91" spans="1:37" x14ac:dyDescent="0.25">
      <c r="A91" s="47" t="s">
        <v>148</v>
      </c>
      <c r="B91" s="84">
        <v>50.1</v>
      </c>
      <c r="C91" s="84">
        <v>49.95</v>
      </c>
      <c r="D91" s="84">
        <v>50.061</v>
      </c>
      <c r="E91" s="84">
        <v>5.0019999999999998</v>
      </c>
      <c r="F91" s="84">
        <v>50.014000000000003</v>
      </c>
      <c r="G91" s="84">
        <v>49.975000000000001</v>
      </c>
      <c r="H91" s="84">
        <v>50</v>
      </c>
      <c r="I91" s="84">
        <v>49.981000000000002</v>
      </c>
      <c r="J91" s="84">
        <v>49.981000000000002</v>
      </c>
      <c r="K91" s="84">
        <v>49.981000000000002</v>
      </c>
      <c r="L91" s="84">
        <v>50.015000000000001</v>
      </c>
      <c r="M91" s="84">
        <v>50.01</v>
      </c>
      <c r="N91" s="84">
        <v>50.07</v>
      </c>
      <c r="O91" s="84">
        <v>50.02</v>
      </c>
      <c r="P91" s="84">
        <v>49.99</v>
      </c>
      <c r="Q91" s="84">
        <v>49.97</v>
      </c>
      <c r="R91" s="84">
        <v>49.97</v>
      </c>
      <c r="S91" s="84">
        <v>49.984999999999999</v>
      </c>
      <c r="T91" s="84">
        <v>49.959000000000003</v>
      </c>
      <c r="U91" s="84">
        <v>50.029000000000003</v>
      </c>
      <c r="V91" s="84">
        <v>50.012999999999998</v>
      </c>
      <c r="W91" s="84">
        <v>49.978000000000002</v>
      </c>
      <c r="X91" s="84">
        <v>49.887</v>
      </c>
      <c r="Y91" s="84">
        <v>49.966999999999999</v>
      </c>
      <c r="Z91" s="84">
        <v>50.011000000000003</v>
      </c>
      <c r="AA91" s="84">
        <v>49.963999999999999</v>
      </c>
      <c r="AB91" s="84">
        <v>50.085999999999999</v>
      </c>
      <c r="AC91" s="84">
        <v>49.994999999999997</v>
      </c>
      <c r="AD91" s="84">
        <v>49.975999999999999</v>
      </c>
      <c r="AE91" s="84">
        <v>49.987000000000002</v>
      </c>
      <c r="AF91" s="84">
        <v>50</v>
      </c>
      <c r="AG91" s="83"/>
      <c r="AH91" s="20">
        <f t="shared" si="10"/>
        <v>50.1</v>
      </c>
      <c r="AI91" s="19">
        <f t="shared" si="15"/>
        <v>5.0019999999999998</v>
      </c>
    </row>
    <row r="92" spans="1:37" x14ac:dyDescent="0.25">
      <c r="A92" s="44" t="s">
        <v>147</v>
      </c>
      <c r="B92" s="80">
        <v>124</v>
      </c>
      <c r="C92" s="80">
        <v>129</v>
      </c>
      <c r="D92" s="80">
        <v>124</v>
      </c>
      <c r="E92" s="80">
        <v>124</v>
      </c>
      <c r="F92" s="80">
        <v>124</v>
      </c>
      <c r="G92" s="80">
        <v>124</v>
      </c>
      <c r="H92" s="80">
        <v>125</v>
      </c>
      <c r="I92" s="80">
        <v>124</v>
      </c>
      <c r="J92" s="80">
        <v>124</v>
      </c>
      <c r="K92" s="80">
        <v>124</v>
      </c>
      <c r="L92" s="80">
        <v>123</v>
      </c>
      <c r="M92" s="80">
        <v>121.7</v>
      </c>
      <c r="N92" s="80">
        <v>121.7</v>
      </c>
      <c r="O92" s="80">
        <v>122</v>
      </c>
      <c r="P92" s="80">
        <v>123.6</v>
      </c>
      <c r="Q92" s="80">
        <v>123.6</v>
      </c>
      <c r="R92" s="80">
        <v>123.6</v>
      </c>
      <c r="S92" s="80">
        <v>121.9</v>
      </c>
      <c r="T92" s="80">
        <v>121.8</v>
      </c>
      <c r="U92" s="80">
        <v>121.9</v>
      </c>
      <c r="V92" s="80">
        <v>122.4</v>
      </c>
      <c r="W92" s="80">
        <v>124</v>
      </c>
      <c r="X92" s="80">
        <v>123.9</v>
      </c>
      <c r="Y92" s="80">
        <v>123.3</v>
      </c>
      <c r="Z92" s="80">
        <v>125</v>
      </c>
      <c r="AA92" s="80">
        <v>124.6</v>
      </c>
      <c r="AB92" s="80">
        <v>124.8</v>
      </c>
      <c r="AC92" s="80">
        <v>124.8</v>
      </c>
      <c r="AD92" s="80">
        <v>125.1</v>
      </c>
      <c r="AE92" s="80">
        <v>123.4</v>
      </c>
      <c r="AF92" s="80">
        <v>1234</v>
      </c>
      <c r="AG92" s="79"/>
      <c r="AH92" s="20">
        <f t="shared" si="10"/>
        <v>1234</v>
      </c>
      <c r="AI92" s="19">
        <f t="shared" si="15"/>
        <v>121.7</v>
      </c>
    </row>
    <row r="93" spans="1:37" x14ac:dyDescent="0.25">
      <c r="A93" s="44" t="s">
        <v>146</v>
      </c>
      <c r="B93" s="80">
        <v>129</v>
      </c>
      <c r="C93" s="80">
        <v>130</v>
      </c>
      <c r="D93" s="80">
        <v>129</v>
      </c>
      <c r="E93" s="80">
        <v>129</v>
      </c>
      <c r="F93" s="80">
        <v>129</v>
      </c>
      <c r="G93" s="80">
        <v>129</v>
      </c>
      <c r="H93" s="80">
        <v>129</v>
      </c>
      <c r="I93" s="80">
        <v>129</v>
      </c>
      <c r="J93" s="80">
        <v>129</v>
      </c>
      <c r="K93" s="80">
        <v>129</v>
      </c>
      <c r="L93" s="80">
        <v>126</v>
      </c>
      <c r="M93" s="80">
        <v>125.1</v>
      </c>
      <c r="N93" s="80">
        <v>125.1</v>
      </c>
      <c r="O93" s="80">
        <v>125.2</v>
      </c>
      <c r="P93" s="80">
        <v>126.6</v>
      </c>
      <c r="Q93" s="80">
        <v>126.6</v>
      </c>
      <c r="R93" s="80">
        <v>126.1</v>
      </c>
      <c r="S93" s="80">
        <v>126.3</v>
      </c>
      <c r="T93" s="80">
        <v>125.7</v>
      </c>
      <c r="U93" s="80">
        <v>125</v>
      </c>
      <c r="V93" s="80">
        <v>126.2</v>
      </c>
      <c r="W93" s="80">
        <v>127.2</v>
      </c>
      <c r="X93" s="80">
        <v>126.9</v>
      </c>
      <c r="Y93" s="80">
        <v>125.9</v>
      </c>
      <c r="Z93" s="80">
        <v>127.7</v>
      </c>
      <c r="AA93" s="80">
        <v>127.7</v>
      </c>
      <c r="AB93" s="80">
        <v>128.4</v>
      </c>
      <c r="AC93" s="80">
        <v>128.69999999999999</v>
      </c>
      <c r="AD93" s="80">
        <v>129.1</v>
      </c>
      <c r="AE93" s="80">
        <v>128.1</v>
      </c>
      <c r="AF93" s="80">
        <v>128</v>
      </c>
      <c r="AG93" s="79"/>
      <c r="AH93" s="20">
        <f t="shared" si="10"/>
        <v>130</v>
      </c>
      <c r="AI93" s="19">
        <f t="shared" si="15"/>
        <v>125</v>
      </c>
    </row>
    <row r="94" spans="1:37" x14ac:dyDescent="0.25">
      <c r="A94" s="44" t="s">
        <v>145</v>
      </c>
      <c r="B94" s="80">
        <v>130</v>
      </c>
      <c r="C94" s="80">
        <v>132</v>
      </c>
      <c r="D94" s="80">
        <v>129</v>
      </c>
      <c r="E94" s="80">
        <v>129</v>
      </c>
      <c r="F94" s="80">
        <v>129</v>
      </c>
      <c r="G94" s="80">
        <v>129</v>
      </c>
      <c r="H94" s="80">
        <v>131</v>
      </c>
      <c r="I94" s="80">
        <v>129</v>
      </c>
      <c r="J94" s="80">
        <v>129</v>
      </c>
      <c r="K94" s="80">
        <v>129</v>
      </c>
      <c r="L94" s="80">
        <v>128</v>
      </c>
      <c r="M94" s="80">
        <v>127.5</v>
      </c>
      <c r="N94" s="80">
        <v>127.5</v>
      </c>
      <c r="O94" s="80">
        <v>126.6</v>
      </c>
      <c r="P94" s="80">
        <v>130.4</v>
      </c>
      <c r="Q94" s="80">
        <v>130.4</v>
      </c>
      <c r="R94" s="80">
        <v>132.80000000000001</v>
      </c>
      <c r="S94" s="80">
        <v>127.6</v>
      </c>
      <c r="T94" s="80">
        <v>129.69999999999999</v>
      </c>
      <c r="U94" s="80">
        <v>128.4</v>
      </c>
      <c r="V94" s="80">
        <v>130.6</v>
      </c>
      <c r="W94" s="80">
        <v>126.5</v>
      </c>
      <c r="X94" s="80">
        <v>129</v>
      </c>
      <c r="Y94" s="80">
        <v>129.5</v>
      </c>
      <c r="Z94" s="80">
        <v>130.5</v>
      </c>
      <c r="AA94" s="80">
        <v>128.30000000000001</v>
      </c>
      <c r="AB94" s="80">
        <v>131.5</v>
      </c>
      <c r="AC94" s="80">
        <v>130.30000000000001</v>
      </c>
      <c r="AD94" s="80">
        <v>127.5</v>
      </c>
      <c r="AE94" s="80">
        <v>129.30000000000001</v>
      </c>
      <c r="AF94" s="80">
        <v>128.4</v>
      </c>
      <c r="AG94" s="79"/>
      <c r="AH94" s="20">
        <f t="shared" si="10"/>
        <v>132.80000000000001</v>
      </c>
      <c r="AI94" s="19">
        <f t="shared" si="15"/>
        <v>126.5</v>
      </c>
    </row>
    <row r="95" spans="1:37" x14ac:dyDescent="0.25">
      <c r="A95" s="82" t="s">
        <v>144</v>
      </c>
      <c r="B95" s="80">
        <v>133</v>
      </c>
      <c r="C95" s="80">
        <v>132</v>
      </c>
      <c r="D95" s="80">
        <v>131</v>
      </c>
      <c r="E95" s="80">
        <v>131</v>
      </c>
      <c r="F95" s="80">
        <v>131</v>
      </c>
      <c r="G95" s="80">
        <v>131</v>
      </c>
      <c r="H95" s="80">
        <v>134</v>
      </c>
      <c r="I95" s="80">
        <v>131</v>
      </c>
      <c r="J95" s="80">
        <v>131</v>
      </c>
      <c r="K95" s="80">
        <v>131</v>
      </c>
      <c r="L95" s="80">
        <v>131</v>
      </c>
      <c r="M95" s="80">
        <v>130.30000000000001</v>
      </c>
      <c r="N95" s="80">
        <v>130.30000000000001</v>
      </c>
      <c r="O95" s="80">
        <v>129.6</v>
      </c>
      <c r="P95" s="80">
        <v>131.6</v>
      </c>
      <c r="Q95" s="80">
        <v>131.6</v>
      </c>
      <c r="R95" s="80">
        <v>131.6</v>
      </c>
      <c r="S95" s="80">
        <v>130.19999999999999</v>
      </c>
      <c r="T95" s="80">
        <v>130.6</v>
      </c>
      <c r="U95" s="80">
        <v>129.5</v>
      </c>
      <c r="V95" s="80">
        <v>131.19999999999999</v>
      </c>
      <c r="W95" s="80">
        <v>129.1</v>
      </c>
      <c r="X95" s="80">
        <v>130.6</v>
      </c>
      <c r="Y95" s="80">
        <v>130.5</v>
      </c>
      <c r="Z95" s="80">
        <v>131.6</v>
      </c>
      <c r="AA95" s="80">
        <v>130.5</v>
      </c>
      <c r="AB95" s="80">
        <v>133.1</v>
      </c>
      <c r="AC95" s="80">
        <v>132.9</v>
      </c>
      <c r="AD95" s="80">
        <v>131</v>
      </c>
      <c r="AE95" s="80">
        <v>132.80000000000001</v>
      </c>
      <c r="AF95" s="80">
        <v>132.1</v>
      </c>
      <c r="AG95" s="79"/>
      <c r="AH95" s="20">
        <f t="shared" si="10"/>
        <v>134</v>
      </c>
      <c r="AI95" s="19">
        <f t="shared" si="15"/>
        <v>129.1</v>
      </c>
    </row>
    <row r="96" spans="1:37" x14ac:dyDescent="0.25">
      <c r="A96" s="82" t="s">
        <v>143</v>
      </c>
      <c r="B96" s="66">
        <v>131</v>
      </c>
      <c r="C96" s="66">
        <v>133</v>
      </c>
      <c r="D96" s="66">
        <v>131</v>
      </c>
      <c r="E96" s="66">
        <v>131</v>
      </c>
      <c r="F96" s="66">
        <v>131</v>
      </c>
      <c r="G96" s="66">
        <v>131</v>
      </c>
      <c r="H96" s="66">
        <v>132</v>
      </c>
      <c r="I96" s="66">
        <v>131</v>
      </c>
      <c r="J96" s="66">
        <v>131</v>
      </c>
      <c r="K96" s="66">
        <v>131</v>
      </c>
      <c r="L96" s="66">
        <v>34</v>
      </c>
      <c r="M96" s="66">
        <v>130</v>
      </c>
      <c r="N96" s="66">
        <v>130</v>
      </c>
      <c r="O96" s="66">
        <v>131.1</v>
      </c>
      <c r="P96" s="66">
        <v>133.69999999999999</v>
      </c>
      <c r="Q96" s="66">
        <v>133.69999999999999</v>
      </c>
      <c r="R96" s="66">
        <v>133.69999999999999</v>
      </c>
      <c r="S96" s="66">
        <v>131</v>
      </c>
      <c r="T96" s="66">
        <v>131.1</v>
      </c>
      <c r="U96" s="66">
        <v>133.6</v>
      </c>
      <c r="V96" s="66">
        <v>133.30000000000001</v>
      </c>
      <c r="W96" s="66">
        <v>133.30000000000001</v>
      </c>
      <c r="X96" s="66">
        <v>132.4</v>
      </c>
      <c r="Y96" s="66">
        <v>132.4</v>
      </c>
      <c r="Z96" s="66">
        <v>132.69999999999999</v>
      </c>
      <c r="AA96" s="66">
        <v>131.1</v>
      </c>
      <c r="AB96" s="66">
        <v>133.80000000000001</v>
      </c>
      <c r="AC96" s="66">
        <v>133.19999999999999</v>
      </c>
      <c r="AD96" s="66">
        <v>133.80000000000001</v>
      </c>
      <c r="AE96" s="66">
        <v>133.4</v>
      </c>
      <c r="AF96" s="66">
        <v>133.30000000000001</v>
      </c>
      <c r="AG96" s="81"/>
      <c r="AH96" s="20">
        <f t="shared" si="10"/>
        <v>133.80000000000001</v>
      </c>
      <c r="AI96" s="19">
        <f t="shared" si="15"/>
        <v>34</v>
      </c>
    </row>
    <row r="97" spans="1:37" x14ac:dyDescent="0.25">
      <c r="A97" s="44" t="s">
        <v>142</v>
      </c>
      <c r="B97" s="80">
        <v>127</v>
      </c>
      <c r="C97" s="80">
        <v>130</v>
      </c>
      <c r="D97" s="80">
        <v>126</v>
      </c>
      <c r="E97" s="80">
        <v>126</v>
      </c>
      <c r="F97" s="80">
        <v>126</v>
      </c>
      <c r="G97" s="80">
        <v>126</v>
      </c>
      <c r="H97" s="80">
        <v>130</v>
      </c>
      <c r="I97" s="80">
        <v>126</v>
      </c>
      <c r="J97" s="80">
        <v>126</v>
      </c>
      <c r="K97" s="80">
        <v>126</v>
      </c>
      <c r="L97" s="80">
        <v>131</v>
      </c>
      <c r="M97" s="80">
        <v>126.8</v>
      </c>
      <c r="N97" s="80">
        <v>126.8</v>
      </c>
      <c r="O97" s="80">
        <v>127.4</v>
      </c>
      <c r="P97" s="80">
        <v>134.5</v>
      </c>
      <c r="Q97" s="80">
        <v>134.5</v>
      </c>
      <c r="R97" s="80">
        <v>134.5</v>
      </c>
      <c r="S97" s="80">
        <v>124.4</v>
      </c>
      <c r="T97" s="80">
        <v>133.69999999999999</v>
      </c>
      <c r="U97" s="80">
        <v>129.80000000000001</v>
      </c>
      <c r="V97" s="80">
        <v>131.4</v>
      </c>
      <c r="W97" s="80">
        <v>130.4</v>
      </c>
      <c r="X97" s="80">
        <v>130.80000000000001</v>
      </c>
      <c r="Y97" s="80">
        <v>126.9</v>
      </c>
      <c r="Z97" s="80">
        <v>130.6</v>
      </c>
      <c r="AA97" s="80">
        <v>129</v>
      </c>
      <c r="AB97" s="80">
        <v>132.6</v>
      </c>
      <c r="AC97" s="80">
        <v>130.5</v>
      </c>
      <c r="AD97" s="80">
        <v>132.30000000000001</v>
      </c>
      <c r="AE97" s="80">
        <v>129.9</v>
      </c>
      <c r="AF97" s="80">
        <v>130.19999999999999</v>
      </c>
      <c r="AG97" s="79"/>
      <c r="AH97" s="20">
        <f t="shared" si="10"/>
        <v>134.5</v>
      </c>
      <c r="AI97" s="19">
        <f t="shared" si="15"/>
        <v>124.4</v>
      </c>
    </row>
    <row r="98" spans="1:37" ht="15.75" thickBot="1" x14ac:dyDescent="0.3">
      <c r="A98" s="44" t="s">
        <v>141</v>
      </c>
      <c r="B98" s="77">
        <v>65</v>
      </c>
      <c r="C98" s="77">
        <v>65.2</v>
      </c>
      <c r="D98" s="77">
        <v>64.8</v>
      </c>
      <c r="E98" s="77">
        <v>64.8</v>
      </c>
      <c r="F98" s="77">
        <v>64.8</v>
      </c>
      <c r="G98" s="77">
        <v>64.8</v>
      </c>
      <c r="H98" s="77">
        <v>65</v>
      </c>
      <c r="I98" s="77">
        <v>64.8</v>
      </c>
      <c r="J98" s="77">
        <v>64.8</v>
      </c>
      <c r="K98" s="77">
        <v>64.8</v>
      </c>
      <c r="L98" s="77">
        <v>64</v>
      </c>
      <c r="M98" s="77">
        <v>62.9</v>
      </c>
      <c r="N98" s="77">
        <v>62.9</v>
      </c>
      <c r="O98" s="77">
        <v>62.7</v>
      </c>
      <c r="P98" s="77">
        <v>62.6</v>
      </c>
      <c r="Q98" s="77">
        <v>62.6</v>
      </c>
      <c r="R98" s="77">
        <v>63.1</v>
      </c>
      <c r="S98" s="77">
        <v>62.4</v>
      </c>
      <c r="T98" s="77">
        <v>62.4</v>
      </c>
      <c r="U98" s="77">
        <v>62.9</v>
      </c>
      <c r="V98" s="77">
        <v>63.5</v>
      </c>
      <c r="W98" s="77">
        <v>64</v>
      </c>
      <c r="X98" s="77">
        <v>63.9</v>
      </c>
      <c r="Y98" s="77">
        <v>63.9</v>
      </c>
      <c r="Z98" s="77">
        <v>64.7</v>
      </c>
      <c r="AA98" s="77">
        <v>64.400000000000006</v>
      </c>
      <c r="AB98" s="77">
        <v>65.099999999999994</v>
      </c>
      <c r="AC98" s="77">
        <v>64.900000000000006</v>
      </c>
      <c r="AD98" s="77">
        <v>65.2</v>
      </c>
      <c r="AE98" s="77">
        <v>64.599999999999994</v>
      </c>
      <c r="AF98" s="77">
        <v>64.5</v>
      </c>
      <c r="AG98" s="76"/>
      <c r="AH98" s="20">
        <f t="shared" si="10"/>
        <v>65.2</v>
      </c>
      <c r="AI98" s="19">
        <f t="shared" si="15"/>
        <v>62.4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10"/>
        <v>0</v>
      </c>
      <c r="AI99" s="19">
        <f t="shared" si="15"/>
        <v>0</v>
      </c>
    </row>
    <row r="100" spans="1:37" ht="15.75" thickBot="1" x14ac:dyDescent="0.3">
      <c r="A100" s="75" t="s">
        <v>140</v>
      </c>
      <c r="B100" s="74">
        <f t="shared" ref="B100:X100" si="22">SUM(B15,B19,B22:B23,B48,B50:B51,B53,B55,B101:B105,B127,B133,B139,B148,B150,B162,B169,B172:B173,B180,B182,B184,B188:B190,B192:B194,B199,B205:B206,B208:B210,B218,B223)</f>
        <v>43.400000000000034</v>
      </c>
      <c r="C100" s="74">
        <f t="shared" si="22"/>
        <v>35.640000000000015</v>
      </c>
      <c r="D100" s="74">
        <f t="shared" si="22"/>
        <v>25.640000000000018</v>
      </c>
      <c r="E100" s="74">
        <f t="shared" si="22"/>
        <v>145.64000000000001</v>
      </c>
      <c r="F100" s="74">
        <f t="shared" si="22"/>
        <v>30.63999999999999</v>
      </c>
      <c r="G100" s="74">
        <f t="shared" si="22"/>
        <v>58.640000000000015</v>
      </c>
      <c r="H100" s="74">
        <f t="shared" si="22"/>
        <v>68.640000000000015</v>
      </c>
      <c r="I100" s="74">
        <f t="shared" si="22"/>
        <v>104.64000000000001</v>
      </c>
      <c r="J100" s="74">
        <f t="shared" si="22"/>
        <v>104.64000000000001</v>
      </c>
      <c r="K100" s="74">
        <f t="shared" si="22"/>
        <v>158.64000000000001</v>
      </c>
      <c r="L100" s="74">
        <f t="shared" si="22"/>
        <v>188.64000000000001</v>
      </c>
      <c r="M100" s="74">
        <f t="shared" si="22"/>
        <v>176.74</v>
      </c>
      <c r="N100" s="74">
        <f t="shared" si="22"/>
        <v>176.74</v>
      </c>
      <c r="O100" s="74">
        <f t="shared" si="22"/>
        <v>141.34</v>
      </c>
      <c r="P100" s="74">
        <f t="shared" si="22"/>
        <v>163.94000000000003</v>
      </c>
      <c r="Q100" s="74">
        <f t="shared" si="22"/>
        <v>132.90000000000003</v>
      </c>
      <c r="R100" s="74">
        <f t="shared" si="22"/>
        <v>199.5</v>
      </c>
      <c r="S100" s="74">
        <f t="shared" si="22"/>
        <v>205.50000000000003</v>
      </c>
      <c r="T100" s="74">
        <f t="shared" si="22"/>
        <v>242.1</v>
      </c>
      <c r="U100" s="74">
        <f t="shared" si="22"/>
        <v>247.8</v>
      </c>
      <c r="V100" s="74">
        <f t="shared" si="22"/>
        <v>224.89999999999998</v>
      </c>
      <c r="W100" s="74">
        <f t="shared" si="22"/>
        <v>226.3</v>
      </c>
      <c r="X100" s="74">
        <f t="shared" si="22"/>
        <v>252.7</v>
      </c>
      <c r="Y100" s="74">
        <v>331.79708333333332</v>
      </c>
      <c r="Z100" s="74">
        <f t="shared" ref="Z100:AF100" si="23">SUM(Z15,Z19,Z22:Z23,Z48,Z50:Z51,Z53,Z55,Z101:Z105,Z127,Z133,Z139,Z148,Z150,Z162,Z169,Z172:Z173,Z180,Z182,Z184,Z188:Z190,Z192:Z194,Z199,Z205:Z206,Z208:Z210,Z218,Z223)</f>
        <v>302.3</v>
      </c>
      <c r="AA100" s="74">
        <f t="shared" si="23"/>
        <v>271.60000000000002</v>
      </c>
      <c r="AB100" s="74">
        <f t="shared" si="23"/>
        <v>233.7</v>
      </c>
      <c r="AC100" s="74">
        <f t="shared" si="23"/>
        <v>199.8</v>
      </c>
      <c r="AD100" s="74">
        <f t="shared" si="23"/>
        <v>150.30000000000001</v>
      </c>
      <c r="AE100" s="74">
        <f t="shared" si="23"/>
        <v>96.5</v>
      </c>
      <c r="AF100" s="74">
        <f t="shared" si="23"/>
        <v>76.799999999999955</v>
      </c>
      <c r="AG100" s="73"/>
      <c r="AH100" s="20">
        <f>MAX(C100:AF100)</f>
        <v>331.79708333333332</v>
      </c>
      <c r="AI100" s="19">
        <f>MIN(C100:AF100)</f>
        <v>25.640000000000018</v>
      </c>
    </row>
    <row r="101" spans="1:37" x14ac:dyDescent="0.25">
      <c r="A101" s="47" t="s">
        <v>139</v>
      </c>
      <c r="B101" s="72">
        <v>14</v>
      </c>
      <c r="C101" s="72">
        <v>10</v>
      </c>
      <c r="D101" s="72">
        <v>10</v>
      </c>
      <c r="E101" s="72"/>
      <c r="F101" s="72">
        <v>15</v>
      </c>
      <c r="G101" s="72">
        <v>14</v>
      </c>
      <c r="H101" s="72">
        <v>22</v>
      </c>
      <c r="I101" s="72">
        <v>30</v>
      </c>
      <c r="J101" s="72">
        <v>30</v>
      </c>
      <c r="K101" s="72">
        <v>30</v>
      </c>
      <c r="L101" s="72">
        <v>33</v>
      </c>
      <c r="M101" s="72">
        <v>35.9</v>
      </c>
      <c r="N101" s="72">
        <v>35.9</v>
      </c>
      <c r="O101" s="72">
        <v>29.4</v>
      </c>
      <c r="P101" s="72">
        <v>25.4</v>
      </c>
      <c r="Q101" s="72">
        <v>23.5</v>
      </c>
      <c r="R101" s="72">
        <v>35.799999999999997</v>
      </c>
      <c r="S101" s="72">
        <v>34.5</v>
      </c>
      <c r="T101" s="72">
        <v>42.9</v>
      </c>
      <c r="U101" s="72">
        <v>40.799999999999997</v>
      </c>
      <c r="V101" s="72">
        <v>45.8</v>
      </c>
      <c r="W101" s="72">
        <v>43.8</v>
      </c>
      <c r="X101" s="72">
        <v>46.1</v>
      </c>
      <c r="Y101" s="72">
        <v>37.299999999999997</v>
      </c>
      <c r="Z101" s="72">
        <v>31</v>
      </c>
      <c r="AA101" s="72">
        <v>36.1</v>
      </c>
      <c r="AB101" s="72">
        <v>30.4</v>
      </c>
      <c r="AC101" s="72">
        <v>21.2</v>
      </c>
      <c r="AD101" s="72">
        <v>19.600000000000001</v>
      </c>
      <c r="AE101" s="72">
        <v>22.2</v>
      </c>
      <c r="AF101" s="72">
        <v>23.7</v>
      </c>
      <c r="AG101" s="70">
        <v>75</v>
      </c>
      <c r="AH101" s="20">
        <f t="shared" ref="AH101:AH109" si="24">IF(ABS(MAX(C101:AF101))&gt;ABS(MIN(C101:AF101)),MAX(C101:AF101),MIN(C101:AF101))</f>
        <v>46.1</v>
      </c>
      <c r="AI101" s="65">
        <f t="shared" ref="AI101:AI109" si="25">INDEX($C$9:$AF$9,1,MATCH(AH101,C101:AF101,0))</f>
        <v>0.75</v>
      </c>
    </row>
    <row r="102" spans="1:37" x14ac:dyDescent="0.25">
      <c r="A102" s="44" t="s">
        <v>138</v>
      </c>
      <c r="B102" s="71">
        <v>33.700000000000003</v>
      </c>
      <c r="C102" s="71">
        <v>28</v>
      </c>
      <c r="D102" s="71">
        <v>28</v>
      </c>
      <c r="E102" s="71"/>
      <c r="F102" s="71">
        <v>34</v>
      </c>
      <c r="G102" s="71">
        <v>30</v>
      </c>
      <c r="H102" s="71">
        <v>40</v>
      </c>
      <c r="I102" s="71">
        <v>49</v>
      </c>
      <c r="J102" s="71">
        <v>49</v>
      </c>
      <c r="K102" s="71">
        <v>48</v>
      </c>
      <c r="L102" s="71">
        <v>53</v>
      </c>
      <c r="M102" s="71">
        <v>56.6</v>
      </c>
      <c r="N102" s="71">
        <v>56.6</v>
      </c>
      <c r="O102" s="71">
        <v>50.6</v>
      </c>
      <c r="P102" s="71">
        <v>57.9</v>
      </c>
      <c r="Q102" s="71">
        <v>41.4</v>
      </c>
      <c r="R102" s="71">
        <v>57.7</v>
      </c>
      <c r="S102" s="71">
        <v>56</v>
      </c>
      <c r="T102" s="71">
        <v>68.8</v>
      </c>
      <c r="U102" s="71">
        <v>63.9</v>
      </c>
      <c r="V102" s="71">
        <v>68.900000000000006</v>
      </c>
      <c r="W102" s="71">
        <v>66.599999999999994</v>
      </c>
      <c r="X102" s="71">
        <v>65.400000000000006</v>
      </c>
      <c r="Y102" s="71">
        <v>45.6</v>
      </c>
      <c r="Z102" s="71">
        <v>48.3</v>
      </c>
      <c r="AA102" s="71">
        <v>55.1</v>
      </c>
      <c r="AB102" s="71">
        <v>47.3</v>
      </c>
      <c r="AC102" s="71">
        <v>35.5</v>
      </c>
      <c r="AD102" s="71">
        <v>34.9</v>
      </c>
      <c r="AE102" s="71">
        <v>46.6</v>
      </c>
      <c r="AF102" s="71">
        <v>47.8</v>
      </c>
      <c r="AG102" s="70">
        <v>240</v>
      </c>
      <c r="AH102" s="20">
        <f t="shared" si="24"/>
        <v>68.900000000000006</v>
      </c>
      <c r="AI102" s="65">
        <f t="shared" si="25"/>
        <v>0.70833333333333304</v>
      </c>
    </row>
    <row r="103" spans="1:37" x14ac:dyDescent="0.25">
      <c r="A103" s="44" t="s">
        <v>137</v>
      </c>
      <c r="B103" s="71">
        <v>-140</v>
      </c>
      <c r="C103" s="71">
        <v>-140</v>
      </c>
      <c r="D103" s="71">
        <v>-150</v>
      </c>
      <c r="E103" s="71"/>
      <c r="F103" s="71">
        <v>-145</v>
      </c>
      <c r="G103" s="71">
        <v>-125</v>
      </c>
      <c r="H103" s="71">
        <v>-140</v>
      </c>
      <c r="I103" s="71">
        <v>-122</v>
      </c>
      <c r="J103" s="71">
        <v>-122</v>
      </c>
      <c r="K103" s="71">
        <v>-75</v>
      </c>
      <c r="L103" s="71">
        <v>-56</v>
      </c>
      <c r="M103" s="71">
        <f>-33.6-36.4</f>
        <v>-70</v>
      </c>
      <c r="N103" s="71">
        <f>-33.6-36.4</f>
        <v>-70</v>
      </c>
      <c r="O103" s="71">
        <f>-44-47</f>
        <v>-91</v>
      </c>
      <c r="P103" s="71">
        <f>-40.7-47.9</f>
        <v>-88.6</v>
      </c>
      <c r="Q103" s="71">
        <f>-41.5-43.3</f>
        <v>-84.8</v>
      </c>
      <c r="R103" s="71">
        <f>-43.3-46.9</f>
        <v>-90.199999999999989</v>
      </c>
      <c r="S103" s="71">
        <f>-42.4-46.2</f>
        <v>-88.6</v>
      </c>
      <c r="T103" s="71">
        <f>-48-52</f>
        <v>-100</v>
      </c>
      <c r="U103" s="71">
        <f>-46.9-50.6</f>
        <v>-97.5</v>
      </c>
      <c r="V103" s="71">
        <f>-51-55</f>
        <v>-106</v>
      </c>
      <c r="W103" s="71">
        <f>-47.4-50.4</f>
        <v>-97.8</v>
      </c>
      <c r="X103" s="71">
        <f>-42.1-44.3</f>
        <v>-86.4</v>
      </c>
      <c r="Y103" s="71">
        <v>-55.9</v>
      </c>
      <c r="Z103" s="71">
        <f>-25-32.3</f>
        <v>-57.3</v>
      </c>
      <c r="AA103" s="71">
        <f>-33.3-38</f>
        <v>-71.3</v>
      </c>
      <c r="AB103" s="71">
        <v>-85</v>
      </c>
      <c r="AC103" s="71">
        <v>-95</v>
      </c>
      <c r="AD103" s="71">
        <v>-147</v>
      </c>
      <c r="AE103" s="71">
        <f>-72.6-76.4</f>
        <v>-149</v>
      </c>
      <c r="AF103" s="71">
        <f>-75-79.8</f>
        <v>-154.80000000000001</v>
      </c>
      <c r="AG103" s="70">
        <v>240</v>
      </c>
      <c r="AH103" s="20">
        <f t="shared" si="24"/>
        <v>-154.80000000000001</v>
      </c>
      <c r="AI103" s="65">
        <f t="shared" si="25"/>
        <v>0.95833333333333304</v>
      </c>
    </row>
    <row r="104" spans="1:37" x14ac:dyDescent="0.25">
      <c r="A104" s="44" t="s">
        <v>136</v>
      </c>
      <c r="B104" s="71">
        <v>-9</v>
      </c>
      <c r="C104" s="71">
        <v>-8</v>
      </c>
      <c r="D104" s="71">
        <v>-8</v>
      </c>
      <c r="E104" s="71"/>
      <c r="F104" s="71">
        <v>-9</v>
      </c>
      <c r="G104" s="71">
        <v>-6</v>
      </c>
      <c r="H104" s="71">
        <v>-2</v>
      </c>
      <c r="I104" s="71">
        <v>-1</v>
      </c>
      <c r="J104" s="71">
        <v>-1</v>
      </c>
      <c r="K104" s="71">
        <v>7</v>
      </c>
      <c r="L104" s="71">
        <v>10</v>
      </c>
      <c r="M104" s="71">
        <v>5.6</v>
      </c>
      <c r="N104" s="71">
        <v>5.6</v>
      </c>
      <c r="O104" s="71">
        <v>3.7</v>
      </c>
      <c r="P104" s="71">
        <v>20.6</v>
      </c>
      <c r="Q104" s="71">
        <v>5.0999999999999996</v>
      </c>
      <c r="R104" s="71">
        <v>5.7</v>
      </c>
      <c r="S104" s="71">
        <v>5.6</v>
      </c>
      <c r="T104" s="71">
        <v>6</v>
      </c>
      <c r="U104" s="71">
        <v>9.3000000000000007</v>
      </c>
      <c r="V104" s="71">
        <v>8.6999999999999993</v>
      </c>
      <c r="W104" s="71">
        <v>10.4</v>
      </c>
      <c r="X104" s="71">
        <v>13.8</v>
      </c>
      <c r="Y104" s="71">
        <v>29.7</v>
      </c>
      <c r="Z104" s="71">
        <v>29</v>
      </c>
      <c r="AA104" s="71">
        <v>8.9</v>
      </c>
      <c r="AB104" s="71">
        <v>6.1</v>
      </c>
      <c r="AC104" s="71">
        <v>12.5</v>
      </c>
      <c r="AD104" s="71">
        <v>17.2</v>
      </c>
      <c r="AE104" s="71">
        <v>10.1</v>
      </c>
      <c r="AF104" s="71">
        <v>-6.5</v>
      </c>
      <c r="AG104" s="70">
        <v>60</v>
      </c>
      <c r="AH104" s="20">
        <f t="shared" si="24"/>
        <v>29.7</v>
      </c>
      <c r="AI104" s="65">
        <f t="shared" si="25"/>
        <v>0.77083333333333337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/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42.8</v>
      </c>
      <c r="S105" s="68">
        <v>42.9</v>
      </c>
      <c r="T105" s="68">
        <v>33.9</v>
      </c>
      <c r="U105" s="68">
        <v>40.799999999999997</v>
      </c>
      <c r="V105" s="68">
        <v>24.7</v>
      </c>
      <c r="W105" s="68">
        <v>32.6</v>
      </c>
      <c r="X105" s="68">
        <v>50.3</v>
      </c>
      <c r="Y105" s="71">
        <v>81.099999999999994</v>
      </c>
      <c r="Z105" s="68">
        <v>78.5</v>
      </c>
      <c r="AA105" s="68">
        <v>70</v>
      </c>
      <c r="AB105" s="68">
        <v>63.1</v>
      </c>
      <c r="AC105" s="68">
        <v>64</v>
      </c>
      <c r="AD105" s="68">
        <v>64</v>
      </c>
      <c r="AE105" s="68">
        <v>0</v>
      </c>
      <c r="AF105" s="68">
        <v>0</v>
      </c>
      <c r="AG105" s="69">
        <v>120</v>
      </c>
      <c r="AH105" s="20">
        <f t="shared" si="24"/>
        <v>81.099999999999994</v>
      </c>
      <c r="AI105" s="65">
        <f t="shared" si="25"/>
        <v>0.77083333333333337</v>
      </c>
    </row>
    <row r="106" spans="1:37" x14ac:dyDescent="0.25">
      <c r="A106" s="40" t="s">
        <v>134</v>
      </c>
      <c r="B106" s="68">
        <v>41</v>
      </c>
      <c r="C106" s="68">
        <v>34</v>
      </c>
      <c r="D106" s="68">
        <v>28</v>
      </c>
      <c r="E106" s="68"/>
      <c r="F106" s="68">
        <v>24</v>
      </c>
      <c r="G106" s="68">
        <v>37</v>
      </c>
      <c r="H106" s="68">
        <v>27</v>
      </c>
      <c r="I106" s="68">
        <v>31</v>
      </c>
      <c r="J106" s="68">
        <v>31</v>
      </c>
      <c r="K106" s="68">
        <v>57</v>
      </c>
      <c r="L106" s="68">
        <v>72</v>
      </c>
      <c r="M106" s="68">
        <f>60.4</f>
        <v>60.4</v>
      </c>
      <c r="N106" s="68">
        <f>60.4</f>
        <v>60.4</v>
      </c>
      <c r="O106" s="68">
        <v>54.9</v>
      </c>
      <c r="P106" s="68">
        <v>42.9</v>
      </c>
      <c r="Q106" s="68">
        <v>42.9</v>
      </c>
      <c r="R106" s="68">
        <v>58.8</v>
      </c>
      <c r="S106" s="68">
        <v>57.5</v>
      </c>
      <c r="T106" s="68">
        <v>44.7</v>
      </c>
      <c r="U106" s="68">
        <v>43.3</v>
      </c>
      <c r="V106" s="68">
        <v>27.4</v>
      </c>
      <c r="W106" s="68">
        <v>26.1</v>
      </c>
      <c r="X106" s="68">
        <v>44.3</v>
      </c>
      <c r="Y106" s="68">
        <v>67.599999999999994</v>
      </c>
      <c r="Z106" s="68">
        <v>69.400000000000006</v>
      </c>
      <c r="AA106" s="68">
        <v>58.5</v>
      </c>
      <c r="AB106" s="68">
        <v>61.9</v>
      </c>
      <c r="AC106" s="68">
        <v>62.6</v>
      </c>
      <c r="AD106" s="68">
        <v>24.1</v>
      </c>
      <c r="AE106" s="68">
        <v>35.1</v>
      </c>
      <c r="AF106" s="68">
        <v>19.399999999999999</v>
      </c>
      <c r="AG106" s="69"/>
      <c r="AH106" s="20">
        <f t="shared" si="24"/>
        <v>72</v>
      </c>
      <c r="AI106" s="65">
        <f t="shared" si="25"/>
        <v>0.3125</v>
      </c>
    </row>
    <row r="107" spans="1:37" x14ac:dyDescent="0.25">
      <c r="A107" s="40" t="s">
        <v>133</v>
      </c>
      <c r="B107" s="68">
        <v>61.5</v>
      </c>
      <c r="C107" s="68">
        <v>67</v>
      </c>
      <c r="D107" s="68">
        <v>70</v>
      </c>
      <c r="E107" s="68"/>
      <c r="F107" s="68">
        <v>54</v>
      </c>
      <c r="G107" s="68">
        <v>70</v>
      </c>
      <c r="H107" s="68">
        <v>64</v>
      </c>
      <c r="I107" s="68">
        <v>46</v>
      </c>
      <c r="J107" s="68">
        <v>46</v>
      </c>
      <c r="K107" s="68">
        <v>44</v>
      </c>
      <c r="L107" s="68">
        <v>44</v>
      </c>
      <c r="M107" s="68">
        <v>20.8</v>
      </c>
      <c r="N107" s="68">
        <v>20.8</v>
      </c>
      <c r="O107" s="68">
        <v>20.8</v>
      </c>
      <c r="P107" s="68">
        <v>44.3</v>
      </c>
      <c r="Q107" s="68">
        <v>44.3</v>
      </c>
      <c r="R107" s="68">
        <v>21.7</v>
      </c>
      <c r="S107" s="68">
        <v>26.8</v>
      </c>
      <c r="T107" s="68">
        <v>7.4</v>
      </c>
      <c r="U107" s="68">
        <v>1.9</v>
      </c>
      <c r="V107" s="68">
        <v>-15.4</v>
      </c>
      <c r="W107" s="68">
        <v>0</v>
      </c>
      <c r="X107" s="68">
        <v>-1.8</v>
      </c>
      <c r="Y107" s="68">
        <v>22.8</v>
      </c>
      <c r="Z107" s="68">
        <v>51.4</v>
      </c>
      <c r="AA107" s="68">
        <v>27.9</v>
      </c>
      <c r="AB107" s="68">
        <v>44.4</v>
      </c>
      <c r="AC107" s="68">
        <v>68.599999999999994</v>
      </c>
      <c r="AD107" s="68">
        <v>66.2</v>
      </c>
      <c r="AE107" s="68">
        <v>56</v>
      </c>
      <c r="AF107" s="68">
        <v>42.7</v>
      </c>
      <c r="AG107" s="48"/>
      <c r="AH107" s="20">
        <f t="shared" si="24"/>
        <v>70</v>
      </c>
      <c r="AI107" s="65">
        <f t="shared" si="25"/>
        <v>8.3333333333333301E-2</v>
      </c>
    </row>
    <row r="108" spans="1:37" x14ac:dyDescent="0.25">
      <c r="A108" s="67" t="s">
        <v>132</v>
      </c>
      <c r="B108" s="66">
        <v>99</v>
      </c>
      <c r="C108" s="66">
        <v>101</v>
      </c>
      <c r="D108" s="66">
        <v>103</v>
      </c>
      <c r="E108" s="66"/>
      <c r="F108" s="66">
        <v>113</v>
      </c>
      <c r="G108" s="66">
        <v>116</v>
      </c>
      <c r="H108" s="66">
        <v>114</v>
      </c>
      <c r="I108" s="66">
        <v>114</v>
      </c>
      <c r="J108" s="66">
        <v>114</v>
      </c>
      <c r="K108" s="66">
        <v>125</v>
      </c>
      <c r="L108" s="66">
        <v>118</v>
      </c>
      <c r="M108" s="66">
        <v>115.7</v>
      </c>
      <c r="N108" s="66">
        <v>115.7</v>
      </c>
      <c r="O108" s="66">
        <v>115.7</v>
      </c>
      <c r="P108" s="66">
        <v>86.9</v>
      </c>
      <c r="Q108" s="66">
        <v>108</v>
      </c>
      <c r="R108" s="66">
        <v>98</v>
      </c>
      <c r="S108" s="66">
        <v>104</v>
      </c>
      <c r="T108" s="66">
        <v>83</v>
      </c>
      <c r="U108" s="66">
        <v>115.6</v>
      </c>
      <c r="V108" s="66">
        <v>100.6</v>
      </c>
      <c r="W108" s="66">
        <v>105.5</v>
      </c>
      <c r="X108" s="66">
        <v>99.9</v>
      </c>
      <c r="Y108" s="68">
        <v>97.3</v>
      </c>
      <c r="Z108" s="66">
        <v>97.9</v>
      </c>
      <c r="AA108" s="66">
        <v>96.2</v>
      </c>
      <c r="AB108" s="66">
        <v>89.7</v>
      </c>
      <c r="AC108" s="66">
        <v>99</v>
      </c>
      <c r="AD108" s="66">
        <v>103.9</v>
      </c>
      <c r="AE108" s="66">
        <v>116</v>
      </c>
      <c r="AF108" s="66">
        <v>102.6</v>
      </c>
      <c r="AG108" s="48"/>
      <c r="AH108" s="20">
        <f t="shared" si="24"/>
        <v>125</v>
      </c>
      <c r="AI108" s="65">
        <f t="shared" si="25"/>
        <v>0.29166666666666669</v>
      </c>
    </row>
    <row r="109" spans="1:37" ht="15.75" thickBot="1" x14ac:dyDescent="0.3">
      <c r="A109" s="67" t="s">
        <v>131</v>
      </c>
      <c r="B109" s="66">
        <v>84</v>
      </c>
      <c r="C109" s="66">
        <v>90</v>
      </c>
      <c r="D109" s="66">
        <v>92</v>
      </c>
      <c r="E109" s="66"/>
      <c r="F109" s="66">
        <v>95</v>
      </c>
      <c r="G109" s="66">
        <v>82</v>
      </c>
      <c r="H109" s="66">
        <v>90</v>
      </c>
      <c r="I109" s="66">
        <v>76</v>
      </c>
      <c r="J109" s="66">
        <v>76</v>
      </c>
      <c r="K109" s="66">
        <v>50</v>
      </c>
      <c r="L109" s="66">
        <v>36</v>
      </c>
      <c r="M109" s="66">
        <v>50.1</v>
      </c>
      <c r="N109" s="66">
        <v>50.1</v>
      </c>
      <c r="O109" s="66">
        <v>54.5</v>
      </c>
      <c r="P109" s="66">
        <v>68</v>
      </c>
      <c r="Q109" s="66">
        <v>44.9</v>
      </c>
      <c r="R109" s="66">
        <v>56.8</v>
      </c>
      <c r="S109" s="66">
        <v>58.7</v>
      </c>
      <c r="T109" s="66">
        <v>65.7</v>
      </c>
      <c r="U109" s="66">
        <v>66.900000000000006</v>
      </c>
      <c r="V109" s="66">
        <v>71.5</v>
      </c>
      <c r="W109" s="66">
        <v>63.4</v>
      </c>
      <c r="X109" s="66">
        <v>58.5</v>
      </c>
      <c r="Y109" s="66">
        <v>50</v>
      </c>
      <c r="Z109" s="66">
        <v>44.9</v>
      </c>
      <c r="AA109" s="66">
        <v>48.3</v>
      </c>
      <c r="AB109" s="66">
        <v>49.7</v>
      </c>
      <c r="AC109" s="66">
        <v>52</v>
      </c>
      <c r="AD109" s="66">
        <v>84.8</v>
      </c>
      <c r="AE109" s="66">
        <v>85.1</v>
      </c>
      <c r="AF109" s="66">
        <v>85.9</v>
      </c>
      <c r="AG109" s="48"/>
      <c r="AH109" s="20">
        <f t="shared" si="24"/>
        <v>95</v>
      </c>
      <c r="AI109" s="65">
        <f t="shared" si="25"/>
        <v>0.16666666666666699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6">SUM(B111:B215)</f>
        <v>0</v>
      </c>
      <c r="C216" s="36">
        <f t="shared" si="26"/>
        <v>0</v>
      </c>
      <c r="D216" s="36">
        <f t="shared" si="26"/>
        <v>0</v>
      </c>
      <c r="E216" s="36">
        <f t="shared" si="26"/>
        <v>0</v>
      </c>
      <c r="F216" s="36">
        <f t="shared" si="26"/>
        <v>0</v>
      </c>
      <c r="G216" s="36">
        <f t="shared" si="26"/>
        <v>0</v>
      </c>
      <c r="H216" s="36">
        <f t="shared" si="26"/>
        <v>0</v>
      </c>
      <c r="I216" s="36">
        <f t="shared" si="26"/>
        <v>0</v>
      </c>
      <c r="J216" s="36">
        <f t="shared" si="26"/>
        <v>0</v>
      </c>
      <c r="K216" s="36">
        <f t="shared" si="26"/>
        <v>0</v>
      </c>
      <c r="L216" s="36">
        <f t="shared" si="26"/>
        <v>0</v>
      </c>
      <c r="M216" s="36">
        <f t="shared" si="26"/>
        <v>0</v>
      </c>
      <c r="N216" s="36">
        <f t="shared" si="26"/>
        <v>0</v>
      </c>
      <c r="O216" s="36">
        <f t="shared" si="26"/>
        <v>0</v>
      </c>
      <c r="P216" s="36">
        <f t="shared" si="26"/>
        <v>0</v>
      </c>
      <c r="Q216" s="36">
        <f t="shared" si="26"/>
        <v>0</v>
      </c>
      <c r="R216" s="36">
        <f t="shared" si="26"/>
        <v>0</v>
      </c>
      <c r="S216" s="36">
        <f t="shared" si="26"/>
        <v>0</v>
      </c>
      <c r="T216" s="36">
        <f t="shared" si="26"/>
        <v>0</v>
      </c>
      <c r="U216" s="36">
        <f t="shared" si="26"/>
        <v>0</v>
      </c>
      <c r="V216" s="36">
        <f t="shared" si="26"/>
        <v>0</v>
      </c>
      <c r="W216" s="36">
        <f t="shared" si="26"/>
        <v>0</v>
      </c>
      <c r="X216" s="36">
        <f t="shared" si="26"/>
        <v>0</v>
      </c>
      <c r="Y216" s="36">
        <f t="shared" si="26"/>
        <v>0</v>
      </c>
      <c r="Z216" s="36">
        <f t="shared" si="26"/>
        <v>0</v>
      </c>
      <c r="AA216" s="36">
        <f t="shared" si="26"/>
        <v>0</v>
      </c>
      <c r="AB216" s="36">
        <f t="shared" si="26"/>
        <v>0</v>
      </c>
      <c r="AC216" s="36">
        <f t="shared" si="26"/>
        <v>0</v>
      </c>
      <c r="AD216" s="36">
        <f t="shared" si="26"/>
        <v>0</v>
      </c>
      <c r="AE216" s="36">
        <f t="shared" si="26"/>
        <v>0</v>
      </c>
      <c r="AF216" s="51">
        <f t="shared" si="26"/>
        <v>0</v>
      </c>
      <c r="AG216" s="50">
        <f t="shared" si="26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7">AF218</f>
        <v>0</v>
      </c>
      <c r="C218" s="46">
        <v>0.3</v>
      </c>
      <c r="D218" s="46">
        <f t="shared" ref="D218:P223" si="28">C218</f>
        <v>0.3</v>
      </c>
      <c r="E218" s="46">
        <f t="shared" si="28"/>
        <v>0.3</v>
      </c>
      <c r="F218" s="46">
        <f t="shared" si="28"/>
        <v>0.3</v>
      </c>
      <c r="G218" s="46">
        <f t="shared" si="28"/>
        <v>0.3</v>
      </c>
      <c r="H218" s="46">
        <f t="shared" si="28"/>
        <v>0.3</v>
      </c>
      <c r="I218" s="46">
        <f t="shared" si="28"/>
        <v>0.3</v>
      </c>
      <c r="J218" s="46">
        <f t="shared" si="28"/>
        <v>0.3</v>
      </c>
      <c r="K218" s="46">
        <f t="shared" si="28"/>
        <v>0.3</v>
      </c>
      <c r="L218" s="46">
        <f t="shared" si="28"/>
        <v>0.3</v>
      </c>
      <c r="M218" s="46">
        <f t="shared" si="28"/>
        <v>0.3</v>
      </c>
      <c r="N218" s="46">
        <f t="shared" si="28"/>
        <v>0.3</v>
      </c>
      <c r="O218" s="46">
        <f t="shared" si="28"/>
        <v>0.3</v>
      </c>
      <c r="P218" s="46">
        <f t="shared" si="28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7"/>
        <v>0</v>
      </c>
      <c r="C219" s="43">
        <v>0.4</v>
      </c>
      <c r="D219" s="43">
        <f t="shared" si="28"/>
        <v>0.4</v>
      </c>
      <c r="E219" s="43">
        <f t="shared" si="28"/>
        <v>0.4</v>
      </c>
      <c r="F219" s="43">
        <f t="shared" si="28"/>
        <v>0.4</v>
      </c>
      <c r="G219" s="43">
        <f t="shared" si="28"/>
        <v>0.4</v>
      </c>
      <c r="H219" s="43">
        <f t="shared" si="28"/>
        <v>0.4</v>
      </c>
      <c r="I219" s="43">
        <f t="shared" si="28"/>
        <v>0.4</v>
      </c>
      <c r="J219" s="43">
        <f t="shared" si="28"/>
        <v>0.4</v>
      </c>
      <c r="K219" s="43">
        <f t="shared" si="28"/>
        <v>0.4</v>
      </c>
      <c r="L219" s="43">
        <f t="shared" si="28"/>
        <v>0.4</v>
      </c>
      <c r="M219" s="43">
        <f t="shared" si="28"/>
        <v>0.4</v>
      </c>
      <c r="N219" s="43">
        <f t="shared" si="28"/>
        <v>0.4</v>
      </c>
      <c r="O219" s="43">
        <f t="shared" si="28"/>
        <v>0.4</v>
      </c>
      <c r="P219" s="43">
        <f t="shared" si="28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7"/>
        <v>0</v>
      </c>
      <c r="C220" s="43">
        <v>1.5</v>
      </c>
      <c r="D220" s="43">
        <f t="shared" si="28"/>
        <v>1.5</v>
      </c>
      <c r="E220" s="43">
        <f t="shared" si="28"/>
        <v>1.5</v>
      </c>
      <c r="F220" s="43">
        <f t="shared" si="28"/>
        <v>1.5</v>
      </c>
      <c r="G220" s="43">
        <f t="shared" si="28"/>
        <v>1.5</v>
      </c>
      <c r="H220" s="43">
        <f t="shared" si="28"/>
        <v>1.5</v>
      </c>
      <c r="I220" s="43">
        <f t="shared" si="28"/>
        <v>1.5</v>
      </c>
      <c r="J220" s="43">
        <f t="shared" si="28"/>
        <v>1.5</v>
      </c>
      <c r="K220" s="43">
        <f t="shared" si="28"/>
        <v>1.5</v>
      </c>
      <c r="L220" s="43">
        <f t="shared" si="28"/>
        <v>1.5</v>
      </c>
      <c r="M220" s="43">
        <f t="shared" si="28"/>
        <v>1.5</v>
      </c>
      <c r="N220" s="43">
        <f t="shared" si="28"/>
        <v>1.5</v>
      </c>
      <c r="O220" s="43">
        <f t="shared" si="28"/>
        <v>1.5</v>
      </c>
      <c r="P220" s="43">
        <f t="shared" si="28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7"/>
        <v>0</v>
      </c>
      <c r="C221" s="43">
        <v>0.3</v>
      </c>
      <c r="D221" s="43">
        <f t="shared" si="28"/>
        <v>0.3</v>
      </c>
      <c r="E221" s="43">
        <f t="shared" si="28"/>
        <v>0.3</v>
      </c>
      <c r="F221" s="43">
        <f t="shared" si="28"/>
        <v>0.3</v>
      </c>
      <c r="G221" s="43">
        <f t="shared" si="28"/>
        <v>0.3</v>
      </c>
      <c r="H221" s="43">
        <f t="shared" si="28"/>
        <v>0.3</v>
      </c>
      <c r="I221" s="43">
        <f t="shared" si="28"/>
        <v>0.3</v>
      </c>
      <c r="J221" s="43">
        <f t="shared" si="28"/>
        <v>0.3</v>
      </c>
      <c r="K221" s="43">
        <f t="shared" si="28"/>
        <v>0.3</v>
      </c>
      <c r="L221" s="43">
        <f t="shared" si="28"/>
        <v>0.3</v>
      </c>
      <c r="M221" s="43">
        <f t="shared" si="28"/>
        <v>0.3</v>
      </c>
      <c r="N221" s="43">
        <f t="shared" si="28"/>
        <v>0.3</v>
      </c>
      <c r="O221" s="43">
        <f t="shared" si="28"/>
        <v>0.3</v>
      </c>
      <c r="P221" s="43">
        <f t="shared" si="28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7"/>
        <v>0</v>
      </c>
      <c r="C222" s="43">
        <v>0.4</v>
      </c>
      <c r="D222" s="43">
        <f t="shared" si="28"/>
        <v>0.4</v>
      </c>
      <c r="E222" s="43">
        <f t="shared" si="28"/>
        <v>0.4</v>
      </c>
      <c r="F222" s="43">
        <f t="shared" si="28"/>
        <v>0.4</v>
      </c>
      <c r="G222" s="43">
        <f t="shared" si="28"/>
        <v>0.4</v>
      </c>
      <c r="H222" s="43">
        <f t="shared" si="28"/>
        <v>0.4</v>
      </c>
      <c r="I222" s="43">
        <f t="shared" si="28"/>
        <v>0.4</v>
      </c>
      <c r="J222" s="43">
        <f t="shared" si="28"/>
        <v>0.4</v>
      </c>
      <c r="K222" s="43">
        <f t="shared" si="28"/>
        <v>0.4</v>
      </c>
      <c r="L222" s="43">
        <f t="shared" si="28"/>
        <v>0.4</v>
      </c>
      <c r="M222" s="43">
        <f t="shared" si="28"/>
        <v>0.4</v>
      </c>
      <c r="N222" s="43">
        <f t="shared" si="28"/>
        <v>0.4</v>
      </c>
      <c r="O222" s="43">
        <f t="shared" si="28"/>
        <v>0.4</v>
      </c>
      <c r="P222" s="43">
        <f t="shared" si="28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7"/>
        <v>0</v>
      </c>
      <c r="C223" s="39">
        <v>0.64</v>
      </c>
      <c r="D223" s="39">
        <f t="shared" si="28"/>
        <v>0.64</v>
      </c>
      <c r="E223" s="39">
        <f t="shared" si="28"/>
        <v>0.64</v>
      </c>
      <c r="F223" s="39">
        <f t="shared" si="28"/>
        <v>0.64</v>
      </c>
      <c r="G223" s="39">
        <f t="shared" si="28"/>
        <v>0.64</v>
      </c>
      <c r="H223" s="39">
        <f t="shared" si="28"/>
        <v>0.64</v>
      </c>
      <c r="I223" s="39">
        <f t="shared" si="28"/>
        <v>0.64</v>
      </c>
      <c r="J223" s="39">
        <f t="shared" si="28"/>
        <v>0.64</v>
      </c>
      <c r="K223" s="39">
        <f t="shared" si="28"/>
        <v>0.64</v>
      </c>
      <c r="L223" s="39">
        <f t="shared" si="28"/>
        <v>0.64</v>
      </c>
      <c r="M223" s="39">
        <f t="shared" si="28"/>
        <v>0.64</v>
      </c>
      <c r="N223" s="39">
        <f t="shared" si="28"/>
        <v>0.64</v>
      </c>
      <c r="O223" s="39">
        <f t="shared" si="28"/>
        <v>0.64</v>
      </c>
      <c r="P223" s="39">
        <f t="shared" si="28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9">SUM(B218:B223)</f>
        <v>0</v>
      </c>
      <c r="C224" s="36">
        <f t="shared" si="29"/>
        <v>3.54</v>
      </c>
      <c r="D224" s="36">
        <f t="shared" si="29"/>
        <v>3.54</v>
      </c>
      <c r="E224" s="36">
        <f t="shared" si="29"/>
        <v>3.54</v>
      </c>
      <c r="F224" s="36">
        <f t="shared" si="29"/>
        <v>3.54</v>
      </c>
      <c r="G224" s="36">
        <f t="shared" si="29"/>
        <v>3.54</v>
      </c>
      <c r="H224" s="36">
        <f t="shared" si="29"/>
        <v>3.54</v>
      </c>
      <c r="I224" s="36">
        <f t="shared" si="29"/>
        <v>3.54</v>
      </c>
      <c r="J224" s="36">
        <f t="shared" si="29"/>
        <v>3.54</v>
      </c>
      <c r="K224" s="36">
        <f t="shared" si="29"/>
        <v>3.54</v>
      </c>
      <c r="L224" s="36">
        <f t="shared" si="29"/>
        <v>3.54</v>
      </c>
      <c r="M224" s="36">
        <f t="shared" si="29"/>
        <v>3.54</v>
      </c>
      <c r="N224" s="36">
        <f t="shared" si="29"/>
        <v>3.54</v>
      </c>
      <c r="O224" s="36">
        <f t="shared" si="29"/>
        <v>3.54</v>
      </c>
      <c r="P224" s="36">
        <f t="shared" si="29"/>
        <v>3.54</v>
      </c>
      <c r="Q224" s="36">
        <f t="shared" si="29"/>
        <v>0</v>
      </c>
      <c r="R224" s="36">
        <f t="shared" si="29"/>
        <v>0</v>
      </c>
      <c r="S224" s="36">
        <f t="shared" si="29"/>
        <v>0</v>
      </c>
      <c r="T224" s="36">
        <f t="shared" si="29"/>
        <v>0</v>
      </c>
      <c r="U224" s="36">
        <f t="shared" si="29"/>
        <v>0</v>
      </c>
      <c r="V224" s="36">
        <f t="shared" si="29"/>
        <v>0</v>
      </c>
      <c r="W224" s="36">
        <f t="shared" si="29"/>
        <v>0</v>
      </c>
      <c r="X224" s="36">
        <f t="shared" si="29"/>
        <v>0</v>
      </c>
      <c r="Y224" s="36">
        <f t="shared" si="29"/>
        <v>0</v>
      </c>
      <c r="Z224" s="36">
        <f t="shared" si="29"/>
        <v>0</v>
      </c>
      <c r="AA224" s="36">
        <f t="shared" si="29"/>
        <v>0</v>
      </c>
      <c r="AB224" s="36">
        <f t="shared" si="29"/>
        <v>0</v>
      </c>
      <c r="AC224" s="36">
        <f t="shared" si="29"/>
        <v>0</v>
      </c>
      <c r="AD224" s="36">
        <f t="shared" si="29"/>
        <v>0</v>
      </c>
      <c r="AE224" s="36">
        <f t="shared" si="29"/>
        <v>0</v>
      </c>
      <c r="AF224" s="36">
        <f t="shared" si="29"/>
        <v>0</v>
      </c>
      <c r="AG224" s="35">
        <f t="shared" si="29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1771.74</v>
      </c>
      <c r="C233" s="16">
        <f>INDEX(G9:N9,1,MATCH(MAX(G81:N81),G81:N81,0))</f>
        <v>0.33333333333333331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6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2079/06/6)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2079/06/6)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30">B81</f>
        <v>1733.3400000000001</v>
      </c>
      <c r="U238" s="9">
        <f t="shared" si="30"/>
        <v>1744.3400000000001</v>
      </c>
      <c r="V238" s="9">
        <f t="shared" si="30"/>
        <v>1744.3400000000001</v>
      </c>
      <c r="W238" s="9">
        <f t="shared" si="30"/>
        <v>1741.14</v>
      </c>
      <c r="X238" s="9">
        <f t="shared" si="30"/>
        <v>1655.44</v>
      </c>
      <c r="Y238" s="9">
        <f t="shared" si="30"/>
        <v>1655.04</v>
      </c>
      <c r="Z238" s="9">
        <f t="shared" si="30"/>
        <v>1672.04</v>
      </c>
      <c r="AA238" s="9">
        <f t="shared" si="30"/>
        <v>1672.04</v>
      </c>
      <c r="AB238" s="9">
        <f t="shared" si="30"/>
        <v>1686.04</v>
      </c>
      <c r="AC238" s="9">
        <f t="shared" si="30"/>
        <v>1762.04</v>
      </c>
      <c r="AD238" s="9">
        <f t="shared" si="30"/>
        <v>1770.04</v>
      </c>
      <c r="AE238" s="9">
        <f t="shared" si="30"/>
        <v>1771.74</v>
      </c>
      <c r="AF238" s="9">
        <f t="shared" si="30"/>
        <v>1771.74</v>
      </c>
      <c r="AG238" s="9">
        <f t="shared" si="30"/>
        <v>1771.74</v>
      </c>
      <c r="AH238" s="9">
        <f t="shared" si="30"/>
        <v>1759.74</v>
      </c>
      <c r="AI238" s="9">
        <f t="shared" si="30"/>
        <v>1759.74</v>
      </c>
      <c r="AJ238" s="9">
        <f t="shared" si="30"/>
        <v>1759.74</v>
      </c>
      <c r="AK238" s="9">
        <f t="shared" si="30"/>
        <v>1811.74</v>
      </c>
      <c r="AL238" s="9">
        <f t="shared" si="30"/>
        <v>1851.3400000000001</v>
      </c>
      <c r="AM238" s="9">
        <f t="shared" si="30"/>
        <v>1832.54</v>
      </c>
      <c r="AN238" s="9">
        <f t="shared" si="30"/>
        <v>1822.24</v>
      </c>
      <c r="AO238" s="9">
        <f t="shared" si="30"/>
        <v>1809.9399999999998</v>
      </c>
      <c r="AP238" s="9">
        <f t="shared" si="30"/>
        <v>1796.9399999999998</v>
      </c>
      <c r="AQ238" s="9">
        <f t="shared" si="30"/>
        <v>1863.5399999999997</v>
      </c>
      <c r="AR238" s="9">
        <f t="shared" si="30"/>
        <v>1880.14</v>
      </c>
      <c r="AS238" s="9">
        <f t="shared" si="30"/>
        <v>1855.3400000000001</v>
      </c>
      <c r="AT238" s="9">
        <f t="shared" si="30"/>
        <v>1845.04</v>
      </c>
      <c r="AU238" s="9">
        <f t="shared" si="30"/>
        <v>1797.4399999999998</v>
      </c>
      <c r="AV238" s="9">
        <f t="shared" si="30"/>
        <v>1852.34</v>
      </c>
      <c r="AW238" s="9">
        <f t="shared" si="30"/>
        <v>1818.74</v>
      </c>
      <c r="AX238" s="9">
        <f t="shared" si="30"/>
        <v>1816.24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31">C223</f>
        <v>0.64</v>
      </c>
      <c r="C259" s="4">
        <f t="shared" si="31"/>
        <v>0.64</v>
      </c>
      <c r="D259" s="4">
        <f t="shared" si="31"/>
        <v>0.64</v>
      </c>
      <c r="E259" s="4">
        <f t="shared" si="31"/>
        <v>0.64</v>
      </c>
      <c r="F259" s="4">
        <f t="shared" si="31"/>
        <v>0.64</v>
      </c>
      <c r="G259" s="4">
        <f t="shared" si="31"/>
        <v>0.64</v>
      </c>
      <c r="H259" s="4">
        <f t="shared" si="31"/>
        <v>0.64</v>
      </c>
      <c r="I259" s="4">
        <f t="shared" si="31"/>
        <v>0.64</v>
      </c>
      <c r="J259" s="4">
        <f t="shared" si="31"/>
        <v>0.64</v>
      </c>
      <c r="K259" s="4">
        <f t="shared" si="31"/>
        <v>0.64</v>
      </c>
      <c r="L259" s="4">
        <f t="shared" si="31"/>
        <v>0.64</v>
      </c>
      <c r="M259" s="4">
        <f t="shared" si="31"/>
        <v>0.64</v>
      </c>
      <c r="N259" s="4">
        <f t="shared" si="31"/>
        <v>0.64</v>
      </c>
      <c r="O259" s="4">
        <f t="shared" si="31"/>
        <v>0.64</v>
      </c>
      <c r="P259" s="4">
        <f t="shared" si="31"/>
        <v>0</v>
      </c>
      <c r="Q259" s="4">
        <f t="shared" si="31"/>
        <v>0</v>
      </c>
      <c r="R259" s="4">
        <f t="shared" si="31"/>
        <v>0</v>
      </c>
      <c r="S259" s="4">
        <f t="shared" si="31"/>
        <v>0</v>
      </c>
      <c r="T259" s="4">
        <f t="shared" si="31"/>
        <v>0</v>
      </c>
      <c r="U259" s="4">
        <f t="shared" si="31"/>
        <v>0</v>
      </c>
      <c r="V259" s="4">
        <f t="shared" si="31"/>
        <v>0</v>
      </c>
      <c r="W259" s="4">
        <f t="shared" si="31"/>
        <v>0</v>
      </c>
      <c r="X259" s="4">
        <f t="shared" si="31"/>
        <v>0</v>
      </c>
      <c r="Y259" s="4">
        <f t="shared" si="31"/>
        <v>0</v>
      </c>
      <c r="Z259" s="4">
        <f t="shared" si="31"/>
        <v>0</v>
      </c>
      <c r="AA259" s="4">
        <f t="shared" si="31"/>
        <v>0</v>
      </c>
      <c r="AB259" s="4">
        <f t="shared" si="31"/>
        <v>0</v>
      </c>
      <c r="AC259" s="4">
        <f t="shared" si="31"/>
        <v>0</v>
      </c>
      <c r="AD259" s="4">
        <f t="shared" si="31"/>
        <v>0</v>
      </c>
      <c r="AE259" s="4">
        <f t="shared" si="31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32">IF(B227&lt;100,"",B227-520)</f>
        <v/>
      </c>
      <c r="C260" s="3" t="str">
        <f t="shared" si="32"/>
        <v/>
      </c>
      <c r="D260" s="3" t="str">
        <f t="shared" si="32"/>
        <v/>
      </c>
      <c r="E260" s="3" t="str">
        <f t="shared" si="32"/>
        <v/>
      </c>
      <c r="F260" s="3" t="str">
        <f t="shared" si="32"/>
        <v/>
      </c>
      <c r="G260" s="3" t="str">
        <f t="shared" si="32"/>
        <v/>
      </c>
      <c r="H260" s="3" t="str">
        <f t="shared" si="32"/>
        <v/>
      </c>
      <c r="I260" s="3" t="str">
        <f t="shared" si="32"/>
        <v/>
      </c>
      <c r="J260" s="3" t="str">
        <f t="shared" si="32"/>
        <v/>
      </c>
      <c r="K260" s="3" t="str">
        <f t="shared" si="32"/>
        <v/>
      </c>
      <c r="L260" s="3" t="str">
        <f t="shared" si="32"/>
        <v/>
      </c>
      <c r="M260" s="3" t="str">
        <f t="shared" si="32"/>
        <v/>
      </c>
      <c r="N260" s="3" t="str">
        <f t="shared" si="32"/>
        <v/>
      </c>
      <c r="O260" s="3" t="str">
        <f t="shared" si="32"/>
        <v/>
      </c>
      <c r="P260" s="3" t="str">
        <f t="shared" si="32"/>
        <v/>
      </c>
      <c r="Q260" s="3" t="str">
        <f t="shared" si="32"/>
        <v/>
      </c>
      <c r="R260" s="3" t="str">
        <f t="shared" si="32"/>
        <v/>
      </c>
      <c r="S260" s="3" t="str">
        <f t="shared" si="32"/>
        <v/>
      </c>
      <c r="T260" s="3" t="str">
        <f t="shared" si="32"/>
        <v/>
      </c>
      <c r="U260" s="3" t="str">
        <f t="shared" si="32"/>
        <v/>
      </c>
      <c r="V260" s="3" t="str">
        <f t="shared" si="32"/>
        <v/>
      </c>
      <c r="W260" s="3" t="str">
        <f t="shared" si="32"/>
        <v/>
      </c>
      <c r="X260" s="3" t="str">
        <f t="shared" si="32"/>
        <v/>
      </c>
      <c r="Y260" s="3" t="str">
        <f t="shared" si="32"/>
        <v/>
      </c>
      <c r="Z260" s="3" t="str">
        <f t="shared" si="32"/>
        <v/>
      </c>
      <c r="AA260" s="3" t="str">
        <f t="shared" si="32"/>
        <v/>
      </c>
      <c r="AB260" s="3" t="str">
        <f t="shared" si="32"/>
        <v/>
      </c>
      <c r="AC260" s="3" t="str">
        <f t="shared" si="32"/>
        <v/>
      </c>
      <c r="AD260" s="3" t="str">
        <f t="shared" si="32"/>
        <v/>
      </c>
      <c r="AE260" s="3" t="str">
        <f t="shared" si="32"/>
        <v/>
      </c>
      <c r="AF260" s="3" t="str">
        <f t="shared" si="32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33">IF(B228&lt;100,"",B228-620)</f>
        <v/>
      </c>
      <c r="C261" s="3" t="str">
        <f t="shared" si="33"/>
        <v/>
      </c>
      <c r="D261" s="3" t="str">
        <f t="shared" si="33"/>
        <v/>
      </c>
      <c r="E261" s="3" t="str">
        <f t="shared" si="33"/>
        <v/>
      </c>
      <c r="F261" s="3" t="str">
        <f t="shared" si="33"/>
        <v/>
      </c>
      <c r="G261" s="3" t="str">
        <f t="shared" si="33"/>
        <v/>
      </c>
      <c r="H261" s="3" t="str">
        <f t="shared" si="33"/>
        <v/>
      </c>
      <c r="I261" s="3" t="str">
        <f t="shared" si="33"/>
        <v/>
      </c>
      <c r="J261" s="3" t="str">
        <f t="shared" si="33"/>
        <v/>
      </c>
      <c r="K261" s="3" t="str">
        <f t="shared" si="33"/>
        <v/>
      </c>
      <c r="L261" s="3" t="str">
        <f t="shared" si="33"/>
        <v/>
      </c>
      <c r="M261" s="3" t="str">
        <f t="shared" si="33"/>
        <v/>
      </c>
      <c r="N261" s="3" t="str">
        <f t="shared" si="33"/>
        <v/>
      </c>
      <c r="O261" s="3" t="str">
        <f t="shared" si="33"/>
        <v/>
      </c>
      <c r="P261" s="3" t="str">
        <f t="shared" si="33"/>
        <v/>
      </c>
      <c r="Q261" s="3" t="str">
        <f t="shared" si="33"/>
        <v/>
      </c>
      <c r="R261" s="3" t="str">
        <f t="shared" si="33"/>
        <v/>
      </c>
      <c r="S261" s="3" t="str">
        <f t="shared" si="33"/>
        <v/>
      </c>
      <c r="T261" s="3" t="str">
        <f t="shared" si="33"/>
        <v/>
      </c>
      <c r="U261" s="3" t="str">
        <f t="shared" si="33"/>
        <v/>
      </c>
      <c r="V261" s="3" t="str">
        <f t="shared" si="33"/>
        <v/>
      </c>
      <c r="W261" s="3" t="str">
        <f t="shared" si="33"/>
        <v/>
      </c>
      <c r="X261" s="3" t="str">
        <f t="shared" si="33"/>
        <v/>
      </c>
      <c r="Y261" s="3" t="str">
        <f t="shared" si="33"/>
        <v/>
      </c>
      <c r="Z261" s="3" t="str">
        <f t="shared" si="33"/>
        <v/>
      </c>
      <c r="AA261" s="3" t="str">
        <f t="shared" si="33"/>
        <v/>
      </c>
      <c r="AB261" s="3" t="str">
        <f t="shared" si="33"/>
        <v/>
      </c>
      <c r="AC261" s="3" t="str">
        <f t="shared" si="33"/>
        <v/>
      </c>
      <c r="AD261" s="3" t="str">
        <f t="shared" si="33"/>
        <v/>
      </c>
      <c r="AE261" s="3" t="str">
        <f t="shared" si="33"/>
        <v/>
      </c>
      <c r="AF261" s="3" t="str">
        <f t="shared" si="33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4">IF(B229&lt;100,"",B229-330)</f>
        <v/>
      </c>
      <c r="C262" s="3" t="str">
        <f t="shared" si="34"/>
        <v/>
      </c>
      <c r="D262" s="3" t="str">
        <f t="shared" si="34"/>
        <v/>
      </c>
      <c r="E262" s="3" t="str">
        <f t="shared" si="34"/>
        <v/>
      </c>
      <c r="F262" s="3" t="str">
        <f t="shared" si="34"/>
        <v/>
      </c>
      <c r="G262" s="3" t="str">
        <f t="shared" si="34"/>
        <v/>
      </c>
      <c r="H262" s="3" t="str">
        <f t="shared" si="34"/>
        <v/>
      </c>
      <c r="I262" s="3" t="str">
        <f t="shared" si="34"/>
        <v/>
      </c>
      <c r="J262" s="3" t="str">
        <f t="shared" si="34"/>
        <v/>
      </c>
      <c r="K262" s="3" t="str">
        <f t="shared" si="34"/>
        <v/>
      </c>
      <c r="L262" s="3" t="str">
        <f t="shared" si="34"/>
        <v/>
      </c>
      <c r="M262" s="3" t="str">
        <f t="shared" si="34"/>
        <v/>
      </c>
      <c r="N262" s="3" t="str">
        <f t="shared" si="34"/>
        <v/>
      </c>
      <c r="O262" s="3" t="str">
        <f t="shared" si="34"/>
        <v/>
      </c>
      <c r="P262" s="3" t="str">
        <f t="shared" si="34"/>
        <v/>
      </c>
      <c r="Q262" s="3" t="str">
        <f t="shared" si="34"/>
        <v/>
      </c>
      <c r="R262" s="3" t="str">
        <f t="shared" si="34"/>
        <v/>
      </c>
      <c r="S262" s="3" t="str">
        <f t="shared" si="34"/>
        <v/>
      </c>
      <c r="T262" s="3" t="str">
        <f t="shared" si="34"/>
        <v/>
      </c>
      <c r="U262" s="3" t="str">
        <f t="shared" si="34"/>
        <v/>
      </c>
      <c r="V262" s="3" t="str">
        <f t="shared" si="34"/>
        <v/>
      </c>
      <c r="W262" s="3" t="str">
        <f t="shared" si="34"/>
        <v/>
      </c>
      <c r="X262" s="3" t="str">
        <f t="shared" si="34"/>
        <v/>
      </c>
      <c r="Y262" s="3" t="str">
        <f t="shared" si="34"/>
        <v/>
      </c>
      <c r="Z262" s="3" t="str">
        <f t="shared" si="34"/>
        <v/>
      </c>
      <c r="AA262" s="3" t="str">
        <f t="shared" si="34"/>
        <v/>
      </c>
      <c r="AB262" s="3" t="str">
        <f t="shared" si="34"/>
        <v/>
      </c>
      <c r="AC262" s="3" t="str">
        <f t="shared" si="34"/>
        <v/>
      </c>
      <c r="AD262" s="3" t="str">
        <f t="shared" si="34"/>
        <v/>
      </c>
      <c r="AE262" s="3" t="str">
        <f t="shared" si="34"/>
        <v/>
      </c>
      <c r="AF262" s="3" t="str">
        <f t="shared" si="34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5">IF(B230&lt;100,"",B230-1500)</f>
        <v/>
      </c>
      <c r="C263" s="3" t="str">
        <f t="shared" si="35"/>
        <v/>
      </c>
      <c r="D263" s="3" t="str">
        <f t="shared" si="35"/>
        <v/>
      </c>
      <c r="E263" s="3" t="str">
        <f t="shared" si="35"/>
        <v/>
      </c>
      <c r="F263" s="3" t="str">
        <f t="shared" si="35"/>
        <v/>
      </c>
      <c r="G263" s="3" t="str">
        <f t="shared" si="35"/>
        <v/>
      </c>
      <c r="H263" s="3" t="str">
        <f t="shared" si="35"/>
        <v/>
      </c>
      <c r="I263" s="3" t="str">
        <f t="shared" si="35"/>
        <v/>
      </c>
      <c r="J263" s="3" t="str">
        <f t="shared" si="35"/>
        <v/>
      </c>
      <c r="K263" s="3" t="str">
        <f t="shared" si="35"/>
        <v/>
      </c>
      <c r="L263" s="3" t="str">
        <f t="shared" si="35"/>
        <v/>
      </c>
      <c r="M263" s="3" t="str">
        <f t="shared" si="35"/>
        <v/>
      </c>
      <c r="N263" s="3" t="str">
        <f t="shared" si="35"/>
        <v/>
      </c>
      <c r="O263" s="3" t="str">
        <f t="shared" si="35"/>
        <v/>
      </c>
      <c r="P263" s="3" t="str">
        <f t="shared" si="35"/>
        <v/>
      </c>
      <c r="Q263" s="3" t="str">
        <f t="shared" si="35"/>
        <v/>
      </c>
      <c r="R263" s="3" t="str">
        <f t="shared" si="35"/>
        <v/>
      </c>
      <c r="S263" s="3" t="str">
        <f t="shared" si="35"/>
        <v/>
      </c>
      <c r="T263" s="3" t="str">
        <f t="shared" si="35"/>
        <v/>
      </c>
      <c r="U263" s="3" t="str">
        <f t="shared" si="35"/>
        <v/>
      </c>
      <c r="V263" s="3" t="str">
        <f t="shared" si="35"/>
        <v/>
      </c>
      <c r="W263" s="3" t="str">
        <f t="shared" si="35"/>
        <v/>
      </c>
      <c r="X263" s="3" t="str">
        <f t="shared" si="35"/>
        <v/>
      </c>
      <c r="Y263" s="3" t="str">
        <f t="shared" si="35"/>
        <v/>
      </c>
      <c r="Z263" s="3" t="str">
        <f t="shared" si="35"/>
        <v/>
      </c>
      <c r="AA263" s="3" t="str">
        <f t="shared" si="35"/>
        <v/>
      </c>
      <c r="AB263" s="3" t="str">
        <f t="shared" si="35"/>
        <v/>
      </c>
      <c r="AC263" s="3" t="str">
        <f t="shared" si="35"/>
        <v/>
      </c>
      <c r="AD263" s="3" t="str">
        <f t="shared" si="35"/>
        <v/>
      </c>
      <c r="AE263" s="3" t="str">
        <f t="shared" si="35"/>
        <v/>
      </c>
      <c r="AF263" s="3" t="str">
        <f t="shared" si="35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366" priority="14">
      <formula>$AH11=0</formula>
    </cfRule>
  </conditionalFormatting>
  <conditionalFormatting sqref="B8 M8 S8 AB8">
    <cfRule type="expression" dxfId="365" priority="223">
      <formula>AND(C$9&gt;=8/24,C$9&lt;14/24)</formula>
    </cfRule>
    <cfRule type="expression" dxfId="364" priority="224">
      <formula>C$9&lt;8/24</formula>
    </cfRule>
    <cfRule type="expression" dxfId="363" priority="222">
      <formula>AND(C$9&gt;=14/24,C$9&lt;20/24)</formula>
    </cfRule>
  </conditionalFormatting>
  <conditionalFormatting sqref="B48:R56 S51:S56 T54:AF56">
    <cfRule type="expression" dxfId="362" priority="72">
      <formula>B48&gt;$AG48</formula>
    </cfRule>
  </conditionalFormatting>
  <conditionalFormatting sqref="B50:R56 S51:S56 T54:AF56">
    <cfRule type="expression" dxfId="361" priority="76">
      <formula>B$9&lt;8/24</formula>
    </cfRule>
    <cfRule type="expression" dxfId="360" priority="75">
      <formula>AND(B$9&gt;=8/24,B$9&lt;14/24)</formula>
    </cfRule>
    <cfRule type="expression" dxfId="359" priority="74">
      <formula>AND(B$9&gt;=14/24,B$9&lt;20/24)</formula>
    </cfRule>
    <cfRule type="expression" dxfId="358" priority="73">
      <formula>B$9&gt;=20/24</formula>
    </cfRule>
  </conditionalFormatting>
  <conditionalFormatting sqref="B45:AD47">
    <cfRule type="expression" dxfId="357" priority="100">
      <formula>B$9&gt;=20/24</formula>
    </cfRule>
    <cfRule type="expression" dxfId="356" priority="101">
      <formula>AND(B$9&gt;=14/24,B$9&lt;20/24)</formula>
    </cfRule>
    <cfRule type="expression" dxfId="355" priority="102">
      <formula>AND(B$9&gt;=8/24,B$9&lt;14/24)</formula>
    </cfRule>
    <cfRule type="expression" dxfId="354" priority="103">
      <formula>B$9&lt;8/24</formula>
    </cfRule>
  </conditionalFormatting>
  <conditionalFormatting sqref="B9:AF11">
    <cfRule type="expression" dxfId="353" priority="119">
      <formula>AND(B$9&gt;=8/24,B$9&lt;14/24)</formula>
    </cfRule>
    <cfRule type="expression" dxfId="352" priority="118">
      <formula>AND(B$9&gt;=14/24,B$9&lt;20/24)</formula>
    </cfRule>
    <cfRule type="expression" dxfId="351" priority="117">
      <formula>B$9&gt;=20/24</formula>
    </cfRule>
    <cfRule type="expression" dxfId="350" priority="120">
      <formula>B$9&lt;8/24</formula>
    </cfRule>
  </conditionalFormatting>
  <conditionalFormatting sqref="B11:AF17">
    <cfRule type="expression" dxfId="349" priority="112">
      <formula>B11&gt;$AG11</formula>
    </cfRule>
  </conditionalFormatting>
  <conditionalFormatting sqref="B12:AF24">
    <cfRule type="expression" dxfId="348" priority="65">
      <formula>AND(B$9&gt;=14/24,B$9&lt;20/24)</formula>
    </cfRule>
    <cfRule type="expression" dxfId="347" priority="67">
      <formula>B$9&lt;8/24</formula>
    </cfRule>
    <cfRule type="expression" dxfId="346" priority="64">
      <formula>B$9&gt;=20/24</formula>
    </cfRule>
    <cfRule type="expression" dxfId="345" priority="66">
      <formula>AND(B$9&gt;=8/24,B$9&lt;14/24)</formula>
    </cfRule>
  </conditionalFormatting>
  <conditionalFormatting sqref="B18:AF24">
    <cfRule type="expression" dxfId="344" priority="63">
      <formula>B18&gt;$AG18</formula>
    </cfRule>
  </conditionalFormatting>
  <conditionalFormatting sqref="B25:AF27 C59:AF61 B59:B62 C62:AG62 B75:B79 C79:AG79 B80:AF81">
    <cfRule type="expression" dxfId="343" priority="97">
      <formula>AND(B$9&gt;=8/24,B$9&lt;14/24)</formula>
    </cfRule>
    <cfRule type="expression" dxfId="342" priority="96">
      <formula>AND(B$9&gt;=14/24,B$9&lt;20/24)</formula>
    </cfRule>
    <cfRule type="expression" dxfId="341" priority="98">
      <formula>B$9&lt;8/24</formula>
    </cfRule>
  </conditionalFormatting>
  <conditionalFormatting sqref="B25:AF36">
    <cfRule type="expression" dxfId="340" priority="77">
      <formula>B25&gt;$AG25</formula>
    </cfRule>
  </conditionalFormatting>
  <conditionalFormatting sqref="B28:AF28">
    <cfRule type="expression" dxfId="339" priority="68">
      <formula>B$9&gt;=20/24</formula>
    </cfRule>
    <cfRule type="expression" dxfId="338" priority="69">
      <formula>AND(B$9&gt;=14/24,B$9&lt;20/24)</formula>
    </cfRule>
    <cfRule type="expression" dxfId="337" priority="70">
      <formula>AND(B$9&gt;=8/24,B$9&lt;14/24)</formula>
    </cfRule>
    <cfRule type="expression" dxfId="336" priority="71">
      <formula>B$9&lt;8/24</formula>
    </cfRule>
  </conditionalFormatting>
  <conditionalFormatting sqref="B29:AF37">
    <cfRule type="expression" dxfId="335" priority="80">
      <formula>AND(B$9&gt;=8/24,B$9&lt;14/24)</formula>
    </cfRule>
    <cfRule type="expression" dxfId="334" priority="79">
      <formula>AND(B$9&gt;=14/24,B$9&lt;20/24)</formula>
    </cfRule>
    <cfRule type="expression" dxfId="333" priority="78">
      <formula>B$9&gt;=20/24</formula>
    </cfRule>
    <cfRule type="expression" dxfId="332" priority="81">
      <formula>B$9&lt;8/24</formula>
    </cfRule>
  </conditionalFormatting>
  <conditionalFormatting sqref="B37:AF39 B45:AD47">
    <cfRule type="expression" dxfId="331" priority="99">
      <formula>B37&gt;$AG37</formula>
    </cfRule>
  </conditionalFormatting>
  <conditionalFormatting sqref="B38:AF39">
    <cfRule type="expression" dxfId="330" priority="104">
      <formula>B$9&gt;=20/24</formula>
    </cfRule>
    <cfRule type="expression" dxfId="329" priority="106">
      <formula>AND(B$9&gt;=8/24,B$9&lt;14/24)</formula>
    </cfRule>
    <cfRule type="expression" dxfId="328" priority="105">
      <formula>AND(B$9&gt;=14/24,B$9&lt;20/24)</formula>
    </cfRule>
    <cfRule type="expression" dxfId="327" priority="107">
      <formula>B$9&lt;8/24</formula>
    </cfRule>
  </conditionalFormatting>
  <conditionalFormatting sqref="B63:AF74">
    <cfRule type="expression" dxfId="326" priority="59">
      <formula>AND(B$9&gt;=14/24,B$9&lt;20/24)</formula>
    </cfRule>
    <cfRule type="expression" dxfId="325" priority="61">
      <formula>B$9&lt;8/24</formula>
    </cfRule>
    <cfRule type="expression" dxfId="324" priority="60">
      <formula>AND(B$9&gt;=8/24,B$9&lt;14/24)</formula>
    </cfRule>
    <cfRule type="expression" dxfId="323" priority="58">
      <formula>B$9&gt;=20/24</formula>
    </cfRule>
  </conditionalFormatting>
  <conditionalFormatting sqref="B83:AF99">
    <cfRule type="expression" dxfId="318" priority="36">
      <formula>B$9&gt;=20/24</formula>
    </cfRule>
    <cfRule type="expression" dxfId="317" priority="37">
      <formula>AND(B$9&gt;=14/24,B$9&lt;20/24)</formula>
    </cfRule>
    <cfRule type="expression" dxfId="316" priority="38">
      <formula>AND(B$9&gt;=8/24,B$9&lt;14/24)</formula>
    </cfRule>
    <cfRule type="expression" dxfId="315" priority="39">
      <formula>B$9&lt;8/24</formula>
    </cfRule>
  </conditionalFormatting>
  <conditionalFormatting sqref="B101:AF108">
    <cfRule type="expression" dxfId="314" priority="10">
      <formula>B$9&gt;=20/24</formula>
    </cfRule>
    <cfRule type="expression" dxfId="313" priority="11">
      <formula>AND(B$9&gt;=14/24,B$9&lt;20/24)</formula>
    </cfRule>
    <cfRule type="expression" dxfId="312" priority="12">
      <formula>AND(B$9&gt;=8/24,B$9&lt;14/24)</formula>
    </cfRule>
    <cfRule type="expression" dxfId="311" priority="13">
      <formula>B$9&lt;8/24</formula>
    </cfRule>
  </conditionalFormatting>
  <conditionalFormatting sqref="B216:AF216 B218:B224 D218:AF224 U237:AF237">
    <cfRule type="expression" dxfId="306" priority="218">
      <formula>B$9&lt;8/24</formula>
    </cfRule>
    <cfRule type="expression" dxfId="305" priority="216">
      <formula>AND(B$9&gt;=14/24,B$9&lt;20/24)</formula>
    </cfRule>
    <cfRule type="expression" dxfId="304" priority="215">
      <formula>B$9&gt;=20/24</formula>
    </cfRule>
    <cfRule type="expression" dxfId="303" priority="217">
      <formula>AND(B$9&gt;=8/24,B$9&lt;14/24)</formula>
    </cfRule>
  </conditionalFormatting>
  <conditionalFormatting sqref="B40:AG40 C57:AG58 B57:B62 C59:AF61 C62:AG62">
    <cfRule type="expression" dxfId="302" priority="90">
      <formula>B40&gt;$AG40</formula>
    </cfRule>
  </conditionalFormatting>
  <conditionalFormatting sqref="C41:AF43 B41:B44 C44:AG44">
    <cfRule type="expression" dxfId="301" priority="48">
      <formula>B$9&lt;8/24</formula>
    </cfRule>
    <cfRule type="expression" dxfId="300" priority="47">
      <formula>AND(B$9&gt;=8/24,B$9&lt;14/24)</formula>
    </cfRule>
    <cfRule type="expression" dxfId="299" priority="46">
      <formula>AND(B$9&gt;=14/24,B$9&lt;20/24)</formula>
    </cfRule>
    <cfRule type="expression" dxfId="298" priority="45">
      <formula>B$9&gt;=20/24</formula>
    </cfRule>
    <cfRule type="expression" dxfId="297" priority="44">
      <formula>B41&gt;$AG41</formula>
    </cfRule>
  </conditionalFormatting>
  <conditionalFormatting sqref="C59:AF61 B59:B62 C62:AG62 B25:AF27 B75:B79 C79:AG79 B80:AF81">
    <cfRule type="expression" dxfId="296" priority="95">
      <formula>B$9&gt;=20/24</formula>
    </cfRule>
  </conditionalFormatting>
  <conditionalFormatting sqref="C75:AF78">
    <cfRule type="expression" dxfId="295" priority="172">
      <formula>C$9&gt;=20/24</formula>
    </cfRule>
    <cfRule type="expression" dxfId="294" priority="175">
      <formula>C$9&lt;8/24</formula>
    </cfRule>
    <cfRule type="expression" dxfId="293" priority="174">
      <formula>AND(C$9&gt;=8/24,C$9&lt;14/24)</formula>
    </cfRule>
    <cfRule type="expression" dxfId="292" priority="173">
      <formula>AND(C$9&gt;=14/24,C$9&lt;20/24)</formula>
    </cfRule>
  </conditionalFormatting>
  <conditionalFormatting sqref="O3:P3">
    <cfRule type="iconSet" priority="219">
      <iconSet iconSet="3TrafficLights2" reverse="1">
        <cfvo type="percent" val="0"/>
        <cfvo type="num" val="1"/>
        <cfvo type="num" val="1"/>
      </iconSet>
    </cfRule>
  </conditionalFormatting>
  <conditionalFormatting sqref="S8 AB8 B8 M8">
    <cfRule type="expression" dxfId="291" priority="221">
      <formula>C$9&gt;=20/24</formula>
    </cfRule>
  </conditionalFormatting>
  <conditionalFormatting sqref="S8">
    <cfRule type="expression" dxfId="290" priority="193">
      <formula>U$9&lt;8/24</formula>
    </cfRule>
    <cfRule type="expression" dxfId="289" priority="192">
      <formula>AND(U$9&gt;=8/24,U$9&lt;14/24)</formula>
    </cfRule>
    <cfRule type="expression" dxfId="288" priority="190">
      <formula>U$9&gt;=20/24</formula>
    </cfRule>
    <cfRule type="expression" dxfId="287" priority="191">
      <formula>AND(U$9&gt;=14/24,U$9&lt;20/24)</formula>
    </cfRule>
  </conditionalFormatting>
  <conditionalFormatting sqref="S48:X48 S49:T50 U49:V53 W50:AF53 T51:T53">
    <cfRule type="expression" dxfId="286" priority="148">
      <formula>S$9&lt;8/24</formula>
    </cfRule>
    <cfRule type="expression" dxfId="285" priority="147">
      <formula>AND(S$9&gt;=8/24,S$9&lt;14/24)</formula>
    </cfRule>
    <cfRule type="expression" dxfId="284" priority="146">
      <formula>AND(S$9&gt;=14/24,S$9&lt;20/24)</formula>
    </cfRule>
    <cfRule type="expression" dxfId="283" priority="145">
      <formula>S$9&gt;=20/24</formula>
    </cfRule>
    <cfRule type="expression" dxfId="282" priority="144">
      <formula>S48&gt;$AG48</formula>
    </cfRule>
  </conditionalFormatting>
  <conditionalFormatting sqref="T237">
    <cfRule type="expression" dxfId="281" priority="237">
      <formula>AX$9&lt;8/24</formula>
    </cfRule>
    <cfRule type="expression" dxfId="280" priority="234">
      <formula>AX$9&gt;=20/24</formula>
    </cfRule>
    <cfRule type="expression" dxfId="279" priority="235">
      <formula>AND(AX$9&gt;=14/24,AX$9&lt;20/24)</formula>
    </cfRule>
    <cfRule type="expression" dxfId="278" priority="236">
      <formula>AND(AX$9&gt;=8/24,AX$9&lt;14/24)</formula>
    </cfRule>
  </conditionalFormatting>
  <conditionalFormatting sqref="V3 AB3">
    <cfRule type="iconSet" priority="220">
      <iconSet iconSet="3TrafficLights2" reverse="1">
        <cfvo type="percent" val="0"/>
        <cfvo type="num" val="1"/>
        <cfvo type="num" val="1"/>
      </iconSet>
    </cfRule>
  </conditionalFormatting>
  <conditionalFormatting sqref="Y103">
    <cfRule type="expression" dxfId="277" priority="1">
      <formula>Y$9&gt;=20/24</formula>
    </cfRule>
    <cfRule type="expression" dxfId="276" priority="4">
      <formula>Y$9&lt;8/24</formula>
    </cfRule>
    <cfRule type="expression" dxfId="275" priority="3">
      <formula>AND(Y$9&gt;=8/24,Y$9&lt;14/24)</formula>
    </cfRule>
    <cfRule type="expression" dxfId="274" priority="2">
      <formula>AND(Y$9&gt;=14/24,Y$9&lt;20/24)</formula>
    </cfRule>
  </conditionalFormatting>
  <conditionalFormatting sqref="Y48:AD49 W49:X49 AE49:AF49">
    <cfRule type="expression" dxfId="273" priority="150">
      <formula>W$9&gt;=20/24</formula>
    </cfRule>
    <cfRule type="expression" dxfId="272" priority="151">
      <formula>AND(W$9&gt;=14/24,W$9&lt;20/24)</formula>
    </cfRule>
    <cfRule type="expression" dxfId="271" priority="153">
      <formula>W$9&lt;8/24</formula>
    </cfRule>
    <cfRule type="expression" dxfId="270" priority="152">
      <formula>AND(W$9&gt;=8/24,W$9&lt;14/24)</formula>
    </cfRule>
  </conditionalFormatting>
  <conditionalFormatting sqref="AB8">
    <cfRule type="expression" dxfId="269" priority="187">
      <formula>AND(AD$9&gt;=14/24,AD$9&lt;20/24)</formula>
    </cfRule>
    <cfRule type="expression" dxfId="268" priority="188">
      <formula>AND(AD$9&gt;=8/24,AD$9&lt;14/24)</formula>
    </cfRule>
    <cfRule type="expression" dxfId="267" priority="189">
      <formula>AD$9&lt;8/24</formula>
    </cfRule>
    <cfRule type="expression" dxfId="266" priority="186">
      <formula>AD$9&gt;=20/24</formula>
    </cfRule>
  </conditionalFormatting>
  <conditionalFormatting sqref="AE45:AF47">
    <cfRule type="expression" dxfId="265" priority="178">
      <formula>AND(AE$9&gt;=14/24,AE$9&lt;20/24)</formula>
    </cfRule>
    <cfRule type="expression" dxfId="264" priority="180">
      <formula>AE$9&lt;8/24</formula>
    </cfRule>
    <cfRule type="expression" dxfId="263" priority="179">
      <formula>AND(AE$9&gt;=8/24,AE$9&lt;14/24)</formula>
    </cfRule>
    <cfRule type="expression" dxfId="262" priority="177">
      <formula>AE$9&gt;=20/24</formula>
    </cfRule>
  </conditionalFormatting>
  <conditionalFormatting sqref="AE45:AF49 Y48:AD49 W49:X49">
    <cfRule type="expression" dxfId="261" priority="149">
      <formula>W45&gt;$AG45</formula>
    </cfRule>
  </conditionalFormatting>
  <conditionalFormatting sqref="AG237">
    <cfRule type="expression" dxfId="260" priority="226">
      <formula>B$9&gt;=20/24</formula>
    </cfRule>
    <cfRule type="expression" dxfId="259" priority="227">
      <formula>AND(B$9&gt;=14/24,B$9&lt;20/24)</formula>
    </cfRule>
    <cfRule type="expression" dxfId="258" priority="228">
      <formula>AND(B$9&gt;=8/24,B$9&lt;14/24)</formula>
    </cfRule>
    <cfRule type="expression" dxfId="257" priority="229">
      <formula>B$9&lt;8/24</formula>
    </cfRule>
  </conditionalFormatting>
  <conditionalFormatting sqref="AH237:AX237">
    <cfRule type="expression" dxfId="256" priority="230">
      <formula>AG$9&gt;=20/24</formula>
    </cfRule>
    <cfRule type="expression" dxfId="255" priority="231">
      <formula>AND(AG$9&gt;=14/24,AG$9&lt;20/24)</formula>
    </cfRule>
    <cfRule type="expression" dxfId="254" priority="232">
      <formula>AND(AG$9&gt;=8/24,AG$9&lt;14/24)</formula>
    </cfRule>
    <cfRule type="expression" dxfId="253" priority="233">
      <formula>AG$9&lt;8/24</formula>
    </cfRule>
  </conditionalFormatting>
  <conditionalFormatting sqref="AL4:AL6">
    <cfRule type="iconSet" priority="214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35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206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194">
      <iconSet iconSet="3TrafficLights2" reverse="1">
        <cfvo type="percent" val="0"/>
        <cfvo type="num" val="1"/>
        <cfvo type="num" val="1"/>
      </iconSet>
    </cfRule>
  </conditionalFormatting>
  <conditionalFormatting sqref="AL37 AL7:AL32 AL34">
    <cfRule type="iconSet" priority="238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2" id="{EA23CAE3-ECE0-4D9F-97F6-A2FEEF995F4D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3" id="{778C18B8-DA3F-4A13-8B58-015503774AE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4" id="{ED7D0D1E-6A95-4F22-9A1E-79B645DDBE4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31" id="{6322FC9A-BD06-4725-A5EF-FB137C91FBB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21" id="{8CFA057F-2F67-4C93-BC2B-3A44FAAB56E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" id="{DC391C16-D96F-4B2D-A0AD-B0EEBAD8392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2" id="{97FF4AEC-23E6-41C6-94DD-3CAA3953B78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3" id="{38DDD999-34E5-4B59-BD9D-4689DDE51837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B109:AF109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J270"/>
  <sheetViews>
    <sheetView zoomScaleNormal="100" workbookViewId="0">
      <pane xSplit="1" ySplit="10" topLeftCell="D11" activePane="bottomRight" state="frozen"/>
      <selection activeCell="AF88" sqref="AF88"/>
      <selection pane="topRight" activeCell="AF88" sqref="AF88"/>
      <selection pane="bottomLeft" activeCell="AF88" sqref="AF88"/>
      <selection pane="bottomRight" activeCell="S40" sqref="S4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5" width="6" style="1" bestFit="1" customWidth="1"/>
    <col min="6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2079/06/7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4</v>
      </c>
      <c r="C5" s="148">
        <f t="shared" si="0"/>
        <v>4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4.3</v>
      </c>
      <c r="U5" s="148">
        <f t="shared" si="0"/>
        <v>4.3</v>
      </c>
      <c r="V5" s="148">
        <f t="shared" si="0"/>
        <v>4.3</v>
      </c>
      <c r="W5" s="148">
        <f t="shared" si="0"/>
        <v>4.3</v>
      </c>
      <c r="X5" s="148">
        <f t="shared" si="0"/>
        <v>4.3</v>
      </c>
      <c r="Y5" s="148">
        <f t="shared" si="0"/>
        <v>4.3</v>
      </c>
      <c r="Z5" s="148">
        <f t="shared" si="0"/>
        <v>4.3</v>
      </c>
      <c r="AA5" s="148">
        <f t="shared" si="0"/>
        <v>45.5</v>
      </c>
      <c r="AB5" s="148">
        <f t="shared" si="0"/>
        <v>45.5</v>
      </c>
      <c r="AC5" s="148">
        <f t="shared" si="0"/>
        <v>45.5</v>
      </c>
      <c r="AD5" s="148">
        <f t="shared" si="0"/>
        <v>0</v>
      </c>
      <c r="AE5" s="148">
        <f t="shared" si="0"/>
        <v>60.5</v>
      </c>
      <c r="AF5" s="148">
        <f>B74</f>
        <v>4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1801MW at 9:00hr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Load=4</v>
      </c>
      <c r="B7" s="137">
        <f t="shared" ref="B7:AF7" si="1">B81</f>
        <v>1784.1399999999999</v>
      </c>
      <c r="C7" s="137">
        <f t="shared" si="1"/>
        <v>1777.54</v>
      </c>
      <c r="D7" s="137">
        <f t="shared" si="1"/>
        <v>1749.24</v>
      </c>
      <c r="E7" s="137">
        <f t="shared" si="1"/>
        <v>1731.84</v>
      </c>
      <c r="F7" s="137">
        <f t="shared" si="1"/>
        <v>1719.94</v>
      </c>
      <c r="G7" s="137">
        <f t="shared" si="1"/>
        <v>1705.44</v>
      </c>
      <c r="H7" s="137">
        <f t="shared" si="1"/>
        <v>1705.44</v>
      </c>
      <c r="I7" s="137">
        <f t="shared" si="1"/>
        <v>1703.44</v>
      </c>
      <c r="J7" s="137">
        <f t="shared" si="1"/>
        <v>1751.24</v>
      </c>
      <c r="K7" s="137">
        <f t="shared" si="1"/>
        <v>1751.24</v>
      </c>
      <c r="L7" s="137">
        <f t="shared" si="1"/>
        <v>1784.44</v>
      </c>
      <c r="M7" s="137">
        <f t="shared" si="1"/>
        <v>1789.6399999999999</v>
      </c>
      <c r="N7" s="137">
        <f t="shared" si="1"/>
        <v>1800.6399999999999</v>
      </c>
      <c r="O7" s="137">
        <f t="shared" si="1"/>
        <v>1819.24</v>
      </c>
      <c r="P7" s="137">
        <f t="shared" si="1"/>
        <v>1824.94</v>
      </c>
      <c r="Q7" s="137">
        <f t="shared" si="1"/>
        <v>1815.04</v>
      </c>
      <c r="R7" s="137">
        <f t="shared" si="1"/>
        <v>303.54000000000002</v>
      </c>
      <c r="S7" s="137">
        <f t="shared" si="1"/>
        <v>1813.8400000000001</v>
      </c>
      <c r="T7" s="137">
        <f t="shared" si="1"/>
        <v>1815.44</v>
      </c>
      <c r="U7" s="137">
        <f t="shared" si="1"/>
        <v>1819.74</v>
      </c>
      <c r="V7" s="137">
        <f t="shared" si="1"/>
        <v>1797.24</v>
      </c>
      <c r="W7" s="137">
        <f t="shared" si="1"/>
        <v>1759.14</v>
      </c>
      <c r="X7" s="137">
        <f t="shared" si="1"/>
        <v>1757.94</v>
      </c>
      <c r="Y7" s="137">
        <f t="shared" si="1"/>
        <v>1758.04</v>
      </c>
      <c r="Z7" s="137">
        <f t="shared" si="1"/>
        <v>1808.04</v>
      </c>
      <c r="AA7" s="137">
        <f t="shared" si="1"/>
        <v>1791.44</v>
      </c>
      <c r="AB7" s="137">
        <f t="shared" si="1"/>
        <v>1894.14</v>
      </c>
      <c r="AC7" s="137">
        <f t="shared" si="1"/>
        <v>1883.14</v>
      </c>
      <c r="AD7" s="137">
        <f t="shared" si="1"/>
        <v>1883.94</v>
      </c>
      <c r="AE7" s="137">
        <f t="shared" si="1"/>
        <v>3.54</v>
      </c>
      <c r="AF7" s="137">
        <f t="shared" si="1"/>
        <v>1873.04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28">
        <v>54</v>
      </c>
      <c r="C11" s="128">
        <v>54</v>
      </c>
      <c r="D11" s="128">
        <v>53.9</v>
      </c>
      <c r="E11" s="128">
        <v>53.9</v>
      </c>
      <c r="F11" s="128">
        <v>53.9</v>
      </c>
      <c r="G11" s="128">
        <v>53.9</v>
      </c>
      <c r="H11" s="128">
        <v>53.9</v>
      </c>
      <c r="I11" s="128">
        <v>53.9</v>
      </c>
      <c r="J11" s="128">
        <v>53.9</v>
      </c>
      <c r="K11" s="128">
        <v>53.9</v>
      </c>
      <c r="L11" s="128">
        <v>53.9</v>
      </c>
      <c r="M11" s="105">
        <v>53.9</v>
      </c>
      <c r="N11" s="105">
        <v>53.9</v>
      </c>
      <c r="O11" s="105">
        <v>53.9</v>
      </c>
      <c r="P11" s="105">
        <v>53.8</v>
      </c>
      <c r="Q11" s="105">
        <v>53.9</v>
      </c>
      <c r="R11" s="105" t="s">
        <v>271</v>
      </c>
      <c r="S11" s="105">
        <v>53.9</v>
      </c>
      <c r="T11" s="105">
        <v>53.9</v>
      </c>
      <c r="U11" s="105">
        <v>53.9</v>
      </c>
      <c r="V11" s="105">
        <v>53.9</v>
      </c>
      <c r="W11" s="105">
        <v>53.9</v>
      </c>
      <c r="X11" s="105">
        <v>53.9</v>
      </c>
      <c r="Y11" s="105">
        <v>53.9</v>
      </c>
      <c r="Z11" s="105">
        <v>53.9</v>
      </c>
      <c r="AA11" s="105">
        <v>53.9</v>
      </c>
      <c r="AB11" s="105">
        <v>53.9</v>
      </c>
      <c r="AC11" s="105">
        <v>53.9</v>
      </c>
      <c r="AD11" s="105">
        <v>53.9</v>
      </c>
      <c r="AE11" s="105" t="s">
        <v>271</v>
      </c>
      <c r="AF11" s="128">
        <v>53.9</v>
      </c>
      <c r="AG11" s="127">
        <v>52.4</v>
      </c>
      <c r="AH11" s="20">
        <f t="shared" ref="AH11:AH76" si="2">MAX(B11:AF11)</f>
        <v>54</v>
      </c>
      <c r="AI11" s="19">
        <f t="shared" ref="AI11:AI76" si="3">MIN(B11:AF11)</f>
        <v>53.8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50.4</v>
      </c>
      <c r="C12" s="105">
        <v>50.5</v>
      </c>
      <c r="D12" s="105">
        <v>50.5</v>
      </c>
      <c r="E12" s="105">
        <v>50.5</v>
      </c>
      <c r="F12" s="105">
        <v>50.5</v>
      </c>
      <c r="G12" s="105">
        <v>50.5</v>
      </c>
      <c r="H12" s="105">
        <v>50.5</v>
      </c>
      <c r="I12" s="105">
        <v>50.5</v>
      </c>
      <c r="J12" s="105">
        <v>50.5</v>
      </c>
      <c r="K12" s="105">
        <v>50.5</v>
      </c>
      <c r="L12" s="105">
        <v>50.5</v>
      </c>
      <c r="M12" s="105">
        <v>50.5</v>
      </c>
      <c r="N12" s="105">
        <v>50.5</v>
      </c>
      <c r="O12" s="105">
        <v>50.3</v>
      </c>
      <c r="P12" s="105">
        <v>50.3</v>
      </c>
      <c r="Q12" s="105">
        <v>50.3</v>
      </c>
      <c r="R12" s="105" t="s">
        <v>265</v>
      </c>
      <c r="S12" s="105">
        <v>50.3</v>
      </c>
      <c r="T12" s="105">
        <v>50.3</v>
      </c>
      <c r="U12" s="105">
        <v>50.3</v>
      </c>
      <c r="V12" s="105">
        <v>50.3</v>
      </c>
      <c r="W12" s="105">
        <v>50.3</v>
      </c>
      <c r="X12" s="105">
        <v>50.3</v>
      </c>
      <c r="Y12" s="105">
        <v>50.3</v>
      </c>
      <c r="Z12" s="105">
        <v>50.3</v>
      </c>
      <c r="AA12" s="105">
        <v>50.3</v>
      </c>
      <c r="AB12" s="105">
        <v>50.3</v>
      </c>
      <c r="AC12" s="105">
        <v>50.3</v>
      </c>
      <c r="AD12" s="105">
        <v>50.3</v>
      </c>
      <c r="AE12" s="105" t="s">
        <v>265</v>
      </c>
      <c r="AF12" s="105">
        <v>50.3</v>
      </c>
      <c r="AG12" s="126">
        <v>50</v>
      </c>
      <c r="AH12" s="20">
        <f t="shared" si="2"/>
        <v>50.5</v>
      </c>
      <c r="AI12" s="19">
        <f t="shared" si="3"/>
        <v>50.3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46</v>
      </c>
      <c r="C13" s="105">
        <v>45.9</v>
      </c>
      <c r="D13" s="105">
        <v>37.4</v>
      </c>
      <c r="E13" s="105">
        <v>37.4</v>
      </c>
      <c r="F13" s="105">
        <v>37.4</v>
      </c>
      <c r="G13" s="105">
        <v>37.4</v>
      </c>
      <c r="H13" s="105">
        <v>37.4</v>
      </c>
      <c r="I13" s="105">
        <v>37.4</v>
      </c>
      <c r="J13" s="105">
        <v>46.1</v>
      </c>
      <c r="K13" s="105">
        <v>46.1</v>
      </c>
      <c r="L13" s="105">
        <v>46.1</v>
      </c>
      <c r="M13" s="105">
        <v>46.1</v>
      </c>
      <c r="N13" s="105">
        <v>46.1</v>
      </c>
      <c r="O13" s="105">
        <v>45.9</v>
      </c>
      <c r="P13" s="105">
        <v>46</v>
      </c>
      <c r="Q13" s="105">
        <v>46</v>
      </c>
      <c r="R13" s="105" t="s">
        <v>263</v>
      </c>
      <c r="S13" s="105">
        <v>46</v>
      </c>
      <c r="T13" s="105">
        <v>46</v>
      </c>
      <c r="U13" s="105">
        <v>46</v>
      </c>
      <c r="V13" s="105">
        <v>46</v>
      </c>
      <c r="W13" s="105">
        <v>46</v>
      </c>
      <c r="X13" s="105">
        <v>46</v>
      </c>
      <c r="Y13" s="105">
        <v>46</v>
      </c>
      <c r="Z13" s="105">
        <v>46</v>
      </c>
      <c r="AA13" s="105">
        <v>46</v>
      </c>
      <c r="AB13" s="105">
        <v>46</v>
      </c>
      <c r="AC13" s="105">
        <v>46</v>
      </c>
      <c r="AD13" s="105">
        <v>46</v>
      </c>
      <c r="AE13" s="105" t="s">
        <v>263</v>
      </c>
      <c r="AF13" s="105">
        <v>46</v>
      </c>
      <c r="AG13" s="126">
        <v>45</v>
      </c>
      <c r="AH13" s="20">
        <f t="shared" si="2"/>
        <v>46.1</v>
      </c>
      <c r="AI13" s="19">
        <f t="shared" si="3"/>
        <v>37.4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26</v>
      </c>
      <c r="C14" s="105">
        <v>28</v>
      </c>
      <c r="D14" s="105">
        <v>28</v>
      </c>
      <c r="E14" s="105">
        <v>28</v>
      </c>
      <c r="F14" s="105">
        <v>28</v>
      </c>
      <c r="G14" s="105">
        <v>28</v>
      </c>
      <c r="H14" s="105">
        <v>28</v>
      </c>
      <c r="I14" s="105">
        <v>28</v>
      </c>
      <c r="J14" s="105">
        <v>28</v>
      </c>
      <c r="K14" s="105">
        <v>28</v>
      </c>
      <c r="L14" s="105">
        <v>28</v>
      </c>
      <c r="M14" s="105">
        <v>28</v>
      </c>
      <c r="N14" s="105">
        <v>28</v>
      </c>
      <c r="O14" s="105">
        <v>35</v>
      </c>
      <c r="P14" s="105">
        <v>35</v>
      </c>
      <c r="Q14" s="105">
        <v>35</v>
      </c>
      <c r="R14" s="105" t="s">
        <v>257</v>
      </c>
      <c r="S14" s="105">
        <v>35</v>
      </c>
      <c r="T14" s="105">
        <v>41</v>
      </c>
      <c r="U14" s="105">
        <v>41</v>
      </c>
      <c r="V14" s="105">
        <v>41</v>
      </c>
      <c r="W14" s="105">
        <v>41</v>
      </c>
      <c r="X14" s="105">
        <v>41</v>
      </c>
      <c r="Y14" s="105">
        <v>41</v>
      </c>
      <c r="Z14" s="105">
        <v>41</v>
      </c>
      <c r="AA14" s="105">
        <v>41</v>
      </c>
      <c r="AB14" s="105">
        <v>41</v>
      </c>
      <c r="AC14" s="105">
        <v>37</v>
      </c>
      <c r="AD14" s="105">
        <v>37</v>
      </c>
      <c r="AE14" s="105" t="s">
        <v>257</v>
      </c>
      <c r="AF14" s="105">
        <v>28</v>
      </c>
      <c r="AG14" s="126">
        <v>42</v>
      </c>
      <c r="AH14" s="20">
        <f t="shared" si="2"/>
        <v>41</v>
      </c>
      <c r="AI14" s="19">
        <f t="shared" si="3"/>
        <v>26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10</v>
      </c>
      <c r="M15" s="105">
        <v>10</v>
      </c>
      <c r="N15" s="105">
        <v>10</v>
      </c>
      <c r="O15" s="105">
        <v>15</v>
      </c>
      <c r="P15" s="105">
        <v>30</v>
      </c>
      <c r="Q15" s="105">
        <v>30</v>
      </c>
      <c r="R15" s="105" t="s">
        <v>261</v>
      </c>
      <c r="S15" s="105">
        <v>30</v>
      </c>
      <c r="T15" s="105">
        <v>30</v>
      </c>
      <c r="U15" s="105">
        <v>30</v>
      </c>
      <c r="V15" s="105">
        <v>30</v>
      </c>
      <c r="W15" s="105">
        <v>30</v>
      </c>
      <c r="X15" s="105">
        <v>30</v>
      </c>
      <c r="Y15" s="105">
        <v>30</v>
      </c>
      <c r="Z15" s="105">
        <v>30</v>
      </c>
      <c r="AA15" s="105">
        <v>30</v>
      </c>
      <c r="AB15" s="105">
        <v>30</v>
      </c>
      <c r="AC15" s="105">
        <v>25</v>
      </c>
      <c r="AD15" s="105">
        <v>25</v>
      </c>
      <c r="AE15" s="105" t="s">
        <v>261</v>
      </c>
      <c r="AF15" s="105">
        <v>25</v>
      </c>
      <c r="AG15" s="96">
        <v>30</v>
      </c>
      <c r="AH15" s="20">
        <f t="shared" si="2"/>
        <v>30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268</v>
      </c>
      <c r="B16" s="105">
        <v>27</v>
      </c>
      <c r="C16" s="105">
        <v>27</v>
      </c>
      <c r="D16" s="105">
        <v>27</v>
      </c>
      <c r="E16" s="105">
        <v>20</v>
      </c>
      <c r="F16" s="105">
        <v>20</v>
      </c>
      <c r="G16" s="105">
        <v>20</v>
      </c>
      <c r="H16" s="105">
        <v>20</v>
      </c>
      <c r="I16" s="105">
        <v>20</v>
      </c>
      <c r="J16" s="105">
        <v>20</v>
      </c>
      <c r="K16" s="105">
        <v>20</v>
      </c>
      <c r="L16" s="105">
        <v>27</v>
      </c>
      <c r="M16" s="105">
        <v>27</v>
      </c>
      <c r="N16" s="105">
        <v>27</v>
      </c>
      <c r="O16" s="105">
        <v>27</v>
      </c>
      <c r="P16" s="105">
        <v>27</v>
      </c>
      <c r="Q16" s="105">
        <v>27</v>
      </c>
      <c r="R16" s="105" t="s">
        <v>265</v>
      </c>
      <c r="S16" s="105">
        <v>27</v>
      </c>
      <c r="T16" s="105">
        <v>27</v>
      </c>
      <c r="U16" s="105">
        <v>27</v>
      </c>
      <c r="V16" s="105">
        <v>27</v>
      </c>
      <c r="W16" s="105">
        <v>27</v>
      </c>
      <c r="X16" s="105">
        <v>27</v>
      </c>
      <c r="Y16" s="105">
        <v>27</v>
      </c>
      <c r="Z16" s="105">
        <v>27</v>
      </c>
      <c r="AA16" s="105">
        <v>27</v>
      </c>
      <c r="AB16" s="105">
        <v>27</v>
      </c>
      <c r="AC16" s="105">
        <v>27</v>
      </c>
      <c r="AD16" s="105">
        <v>27</v>
      </c>
      <c r="AE16" s="105" t="s">
        <v>265</v>
      </c>
      <c r="AF16" s="105">
        <v>27</v>
      </c>
      <c r="AG16" s="96">
        <v>30</v>
      </c>
      <c r="AH16" s="20">
        <f t="shared" si="2"/>
        <v>27</v>
      </c>
      <c r="AI16" s="19">
        <f t="shared" si="3"/>
        <v>20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217</v>
      </c>
      <c r="B17" s="105">
        <v>25.2</v>
      </c>
      <c r="C17" s="105">
        <v>25.2</v>
      </c>
      <c r="D17" s="105">
        <v>25.2</v>
      </c>
      <c r="E17" s="105">
        <v>25.2</v>
      </c>
      <c r="F17" s="105">
        <v>25.2</v>
      </c>
      <c r="G17" s="105">
        <v>25.2</v>
      </c>
      <c r="H17" s="105">
        <v>25.2</v>
      </c>
      <c r="I17" s="105">
        <v>25.2</v>
      </c>
      <c r="J17" s="105">
        <v>25.2</v>
      </c>
      <c r="K17" s="105">
        <v>25.2</v>
      </c>
      <c r="L17" s="105">
        <v>25.2</v>
      </c>
      <c r="M17" s="105">
        <v>25.2</v>
      </c>
      <c r="N17" s="105">
        <v>25.2</v>
      </c>
      <c r="O17" s="105">
        <v>25.2</v>
      </c>
      <c r="P17" s="105">
        <v>25.2</v>
      </c>
      <c r="Q17" s="105">
        <v>25.2</v>
      </c>
      <c r="R17" s="105" t="s">
        <v>272</v>
      </c>
      <c r="S17" s="105">
        <v>25.2</v>
      </c>
      <c r="T17" s="105">
        <v>25.2</v>
      </c>
      <c r="U17" s="105">
        <v>25.2</v>
      </c>
      <c r="V17" s="105">
        <v>25.2</v>
      </c>
      <c r="W17" s="105">
        <v>25.2</v>
      </c>
      <c r="X17" s="105">
        <v>25.2</v>
      </c>
      <c r="Y17" s="105">
        <v>25.2</v>
      </c>
      <c r="Z17" s="105">
        <v>25.2</v>
      </c>
      <c r="AA17" s="105">
        <v>25.2</v>
      </c>
      <c r="AB17" s="105">
        <v>25.2</v>
      </c>
      <c r="AC17" s="105">
        <v>25.2</v>
      </c>
      <c r="AD17" s="105">
        <v>25.2</v>
      </c>
      <c r="AE17" s="105" t="s">
        <v>272</v>
      </c>
      <c r="AF17" s="105">
        <v>25.2</v>
      </c>
      <c r="AG17" s="126">
        <v>25</v>
      </c>
      <c r="AH17" s="20">
        <f t="shared" si="2"/>
        <v>25.2</v>
      </c>
      <c r="AI17" s="19">
        <f t="shared" si="3"/>
        <v>25.2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216</v>
      </c>
      <c r="B18" s="105">
        <v>25</v>
      </c>
      <c r="C18" s="105">
        <v>25</v>
      </c>
      <c r="D18" s="105">
        <v>25</v>
      </c>
      <c r="E18" s="105">
        <v>25</v>
      </c>
      <c r="F18" s="105">
        <v>23</v>
      </c>
      <c r="G18" s="105">
        <v>23</v>
      </c>
      <c r="H18" s="105">
        <v>23</v>
      </c>
      <c r="I18" s="105">
        <v>23</v>
      </c>
      <c r="J18" s="105">
        <v>23</v>
      </c>
      <c r="K18" s="105">
        <v>23</v>
      </c>
      <c r="L18" s="105">
        <v>25</v>
      </c>
      <c r="M18" s="105">
        <v>25</v>
      </c>
      <c r="N18" s="105">
        <v>25</v>
      </c>
      <c r="O18" s="105">
        <v>25</v>
      </c>
      <c r="P18" s="105">
        <v>25</v>
      </c>
      <c r="Q18" s="105">
        <v>25</v>
      </c>
      <c r="R18" s="105"/>
      <c r="S18" s="105">
        <v>25</v>
      </c>
      <c r="T18" s="105">
        <v>25</v>
      </c>
      <c r="U18" s="105">
        <v>25</v>
      </c>
      <c r="V18" s="105">
        <v>25</v>
      </c>
      <c r="W18" s="105">
        <v>25</v>
      </c>
      <c r="X18" s="105">
        <v>25</v>
      </c>
      <c r="Y18" s="105">
        <v>25</v>
      </c>
      <c r="Z18" s="105">
        <v>25</v>
      </c>
      <c r="AA18" s="105">
        <v>25</v>
      </c>
      <c r="AB18" s="105">
        <v>25</v>
      </c>
      <c r="AC18" s="105">
        <v>25</v>
      </c>
      <c r="AD18" s="105">
        <v>25</v>
      </c>
      <c r="AE18" s="105"/>
      <c r="AF18" s="105">
        <v>25</v>
      </c>
      <c r="AG18" s="126">
        <v>25</v>
      </c>
      <c r="AH18" s="20">
        <f t="shared" si="2"/>
        <v>25</v>
      </c>
      <c r="AI18" s="19">
        <f t="shared" si="3"/>
        <v>23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215</v>
      </c>
      <c r="B19" s="105">
        <v>25</v>
      </c>
      <c r="C19" s="105">
        <v>25</v>
      </c>
      <c r="D19" s="105">
        <v>25</v>
      </c>
      <c r="E19" s="105">
        <v>25</v>
      </c>
      <c r="F19" s="105">
        <v>25</v>
      </c>
      <c r="G19" s="105">
        <v>25</v>
      </c>
      <c r="H19" s="105">
        <v>25</v>
      </c>
      <c r="I19" s="105">
        <v>25</v>
      </c>
      <c r="J19" s="105">
        <v>25</v>
      </c>
      <c r="K19" s="105">
        <v>25</v>
      </c>
      <c r="L19" s="105">
        <v>25</v>
      </c>
      <c r="M19" s="105">
        <v>25</v>
      </c>
      <c r="N19" s="105">
        <v>25</v>
      </c>
      <c r="O19" s="105">
        <v>25</v>
      </c>
      <c r="P19" s="105">
        <v>25</v>
      </c>
      <c r="Q19" s="105">
        <v>25</v>
      </c>
      <c r="R19" s="105" t="s">
        <v>255</v>
      </c>
      <c r="S19" s="105">
        <v>25</v>
      </c>
      <c r="T19" s="105">
        <v>25</v>
      </c>
      <c r="U19" s="105">
        <v>25</v>
      </c>
      <c r="V19" s="105">
        <v>25</v>
      </c>
      <c r="W19" s="105">
        <v>25</v>
      </c>
      <c r="X19" s="105">
        <v>25</v>
      </c>
      <c r="Y19" s="105">
        <v>25</v>
      </c>
      <c r="Z19" s="105">
        <v>25</v>
      </c>
      <c r="AA19" s="105">
        <v>25</v>
      </c>
      <c r="AB19" s="105">
        <v>25</v>
      </c>
      <c r="AC19" s="105">
        <v>25</v>
      </c>
      <c r="AD19" s="105">
        <v>25</v>
      </c>
      <c r="AE19" s="105" t="s">
        <v>255</v>
      </c>
      <c r="AF19" s="105">
        <v>25</v>
      </c>
      <c r="AG19" s="126">
        <v>25</v>
      </c>
      <c r="AH19" s="20">
        <f t="shared" si="2"/>
        <v>25</v>
      </c>
      <c r="AI19" s="19">
        <f t="shared" si="3"/>
        <v>25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214</v>
      </c>
      <c r="B20" s="105">
        <v>33.200000000000003</v>
      </c>
      <c r="C20" s="105">
        <v>25.2</v>
      </c>
      <c r="D20" s="105">
        <v>26</v>
      </c>
      <c r="E20" s="105">
        <v>26</v>
      </c>
      <c r="F20" s="105">
        <v>26</v>
      </c>
      <c r="G20" s="105">
        <v>26</v>
      </c>
      <c r="H20" s="105">
        <v>26</v>
      </c>
      <c r="I20" s="105">
        <v>26</v>
      </c>
      <c r="J20" s="105">
        <v>26</v>
      </c>
      <c r="K20" s="105">
        <v>26</v>
      </c>
      <c r="L20" s="105">
        <v>26</v>
      </c>
      <c r="M20" s="105">
        <v>26</v>
      </c>
      <c r="N20" s="105">
        <v>26</v>
      </c>
      <c r="O20" s="105">
        <v>33.200000000000003</v>
      </c>
      <c r="P20" s="105">
        <v>33.200000000000003</v>
      </c>
      <c r="Q20" s="105">
        <v>33.200000000000003</v>
      </c>
      <c r="R20" s="105" t="s">
        <v>256</v>
      </c>
      <c r="S20" s="105">
        <v>33.200000000000003</v>
      </c>
      <c r="T20" s="105">
        <v>33.200000000000003</v>
      </c>
      <c r="U20" s="105">
        <v>33.200000000000003</v>
      </c>
      <c r="V20" s="105">
        <v>33.200000000000003</v>
      </c>
      <c r="W20" s="105">
        <v>33.200000000000003</v>
      </c>
      <c r="X20" s="105">
        <v>33.200000000000003</v>
      </c>
      <c r="Y20" s="105">
        <v>33.200000000000003</v>
      </c>
      <c r="Z20" s="105">
        <v>33.200000000000003</v>
      </c>
      <c r="AA20" s="105">
        <v>33.200000000000003</v>
      </c>
      <c r="AB20" s="105">
        <v>33.200000000000003</v>
      </c>
      <c r="AC20" s="105">
        <v>33.200000000000003</v>
      </c>
      <c r="AD20" s="105">
        <v>33.200000000000003</v>
      </c>
      <c r="AE20" s="105" t="s">
        <v>256</v>
      </c>
      <c r="AF20" s="105">
        <v>33.200000000000003</v>
      </c>
      <c r="AG20" s="126">
        <v>24.2</v>
      </c>
      <c r="AH20" s="20">
        <f t="shared" si="2"/>
        <v>33.200000000000003</v>
      </c>
      <c r="AI20" s="19">
        <f t="shared" si="3"/>
        <v>25.2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23.5</v>
      </c>
      <c r="C21" s="105">
        <v>23.5</v>
      </c>
      <c r="D21" s="105">
        <v>23.5</v>
      </c>
      <c r="E21" s="105">
        <v>23.5</v>
      </c>
      <c r="F21" s="105">
        <v>23.5</v>
      </c>
      <c r="G21" s="105">
        <v>23.5</v>
      </c>
      <c r="H21" s="105">
        <v>23.5</v>
      </c>
      <c r="I21" s="105">
        <v>23.5</v>
      </c>
      <c r="J21" s="105">
        <v>23.5</v>
      </c>
      <c r="K21" s="105">
        <v>23.5</v>
      </c>
      <c r="L21" s="105">
        <v>23.5</v>
      </c>
      <c r="M21" s="105">
        <v>23.5</v>
      </c>
      <c r="N21" s="105">
        <v>23.5</v>
      </c>
      <c r="O21" s="105">
        <v>23.5</v>
      </c>
      <c r="P21" s="105">
        <v>23.5</v>
      </c>
      <c r="Q21" s="105">
        <v>23.5</v>
      </c>
      <c r="R21" s="105" t="s">
        <v>255</v>
      </c>
      <c r="S21" s="105">
        <v>23.5</v>
      </c>
      <c r="T21" s="105">
        <v>23.5</v>
      </c>
      <c r="U21" s="105">
        <v>23.5</v>
      </c>
      <c r="V21" s="105">
        <v>23.5</v>
      </c>
      <c r="W21" s="105">
        <v>23.5</v>
      </c>
      <c r="X21" s="105">
        <v>23.5</v>
      </c>
      <c r="Y21" s="105">
        <v>23.5</v>
      </c>
      <c r="Z21" s="105">
        <v>23.5</v>
      </c>
      <c r="AA21" s="105">
        <v>23.5</v>
      </c>
      <c r="AB21" s="105">
        <v>23.5</v>
      </c>
      <c r="AC21" s="105">
        <v>23.5</v>
      </c>
      <c r="AD21" s="105">
        <v>23.5</v>
      </c>
      <c r="AE21" s="105" t="s">
        <v>255</v>
      </c>
      <c r="AF21" s="105">
        <v>23.5</v>
      </c>
      <c r="AG21" s="126">
        <v>23.5</v>
      </c>
      <c r="AH21" s="20">
        <f t="shared" si="2"/>
        <v>23.5</v>
      </c>
      <c r="AI21" s="19">
        <f t="shared" si="3"/>
        <v>23.5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9</v>
      </c>
      <c r="C22" s="105">
        <v>9</v>
      </c>
      <c r="D22" s="105">
        <v>9</v>
      </c>
      <c r="E22" s="105">
        <v>9</v>
      </c>
      <c r="F22" s="105">
        <v>9</v>
      </c>
      <c r="G22" s="105">
        <v>9</v>
      </c>
      <c r="H22" s="105">
        <v>9</v>
      </c>
      <c r="I22" s="105">
        <v>9</v>
      </c>
      <c r="J22" s="105">
        <v>9</v>
      </c>
      <c r="K22" s="105">
        <v>9</v>
      </c>
      <c r="L22" s="105">
        <v>9</v>
      </c>
      <c r="M22" s="105">
        <v>9</v>
      </c>
      <c r="N22" s="105">
        <v>9</v>
      </c>
      <c r="O22" s="105">
        <v>9</v>
      </c>
      <c r="P22" s="105">
        <v>9</v>
      </c>
      <c r="Q22" s="105">
        <v>9</v>
      </c>
      <c r="R22" s="105" t="s">
        <v>257</v>
      </c>
      <c r="S22" s="105">
        <v>9</v>
      </c>
      <c r="T22" s="105">
        <v>9</v>
      </c>
      <c r="U22" s="105">
        <v>9</v>
      </c>
      <c r="V22" s="105">
        <v>9</v>
      </c>
      <c r="W22" s="105">
        <v>9</v>
      </c>
      <c r="X22" s="105">
        <v>9</v>
      </c>
      <c r="Y22" s="105">
        <v>9</v>
      </c>
      <c r="Z22" s="105">
        <v>9</v>
      </c>
      <c r="AA22" s="105">
        <v>9</v>
      </c>
      <c r="AB22" s="105">
        <v>9</v>
      </c>
      <c r="AC22" s="105">
        <v>9</v>
      </c>
      <c r="AD22" s="105">
        <v>9</v>
      </c>
      <c r="AE22" s="105" t="s">
        <v>257</v>
      </c>
      <c r="AF22" s="105">
        <v>9</v>
      </c>
      <c r="AG22" s="126">
        <v>22.2</v>
      </c>
      <c r="AH22" s="20">
        <f t="shared" si="2"/>
        <v>9</v>
      </c>
      <c r="AI22" s="19">
        <f t="shared" si="3"/>
        <v>9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22</v>
      </c>
      <c r="C23" s="105">
        <v>22</v>
      </c>
      <c r="D23" s="105">
        <v>22</v>
      </c>
      <c r="E23" s="105">
        <v>22</v>
      </c>
      <c r="F23" s="105">
        <v>22</v>
      </c>
      <c r="G23" s="105">
        <v>22</v>
      </c>
      <c r="H23" s="105">
        <v>22</v>
      </c>
      <c r="I23" s="105">
        <v>22</v>
      </c>
      <c r="J23" s="105">
        <v>22</v>
      </c>
      <c r="K23" s="105">
        <v>22</v>
      </c>
      <c r="L23" s="105">
        <v>22</v>
      </c>
      <c r="M23" s="105">
        <v>22</v>
      </c>
      <c r="N23" s="105">
        <v>22</v>
      </c>
      <c r="O23" s="105">
        <v>22</v>
      </c>
      <c r="P23" s="105">
        <v>22</v>
      </c>
      <c r="Q23" s="105">
        <v>22</v>
      </c>
      <c r="R23" s="105" t="s">
        <v>258</v>
      </c>
      <c r="S23" s="105">
        <v>22</v>
      </c>
      <c r="T23" s="105">
        <v>22</v>
      </c>
      <c r="U23" s="105">
        <v>22</v>
      </c>
      <c r="V23" s="105">
        <v>22</v>
      </c>
      <c r="W23" s="105">
        <v>22</v>
      </c>
      <c r="X23" s="105">
        <v>22</v>
      </c>
      <c r="Y23" s="105">
        <v>22</v>
      </c>
      <c r="Z23" s="105">
        <v>22</v>
      </c>
      <c r="AA23" s="105">
        <v>22</v>
      </c>
      <c r="AB23" s="105">
        <v>22</v>
      </c>
      <c r="AC23" s="105">
        <v>22</v>
      </c>
      <c r="AD23" s="105">
        <v>22</v>
      </c>
      <c r="AE23" s="105" t="s">
        <v>258</v>
      </c>
      <c r="AF23" s="105">
        <v>22</v>
      </c>
      <c r="AG23" s="126">
        <v>22.1</v>
      </c>
      <c r="AH23" s="20">
        <f t="shared" si="2"/>
        <v>22</v>
      </c>
      <c r="AI23" s="19">
        <f t="shared" si="3"/>
        <v>22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22</v>
      </c>
      <c r="C24" s="105">
        <v>22</v>
      </c>
      <c r="D24" s="105">
        <v>22</v>
      </c>
      <c r="E24" s="105">
        <v>22</v>
      </c>
      <c r="F24" s="105">
        <v>20</v>
      </c>
      <c r="G24" s="105">
        <v>20</v>
      </c>
      <c r="H24" s="105">
        <v>20</v>
      </c>
      <c r="I24" s="105">
        <v>18</v>
      </c>
      <c r="J24" s="105">
        <v>18</v>
      </c>
      <c r="K24" s="105">
        <v>18</v>
      </c>
      <c r="L24" s="105">
        <v>18</v>
      </c>
      <c r="M24" s="105">
        <v>18</v>
      </c>
      <c r="N24" s="105">
        <v>18</v>
      </c>
      <c r="O24" s="105">
        <v>18</v>
      </c>
      <c r="P24" s="105">
        <v>18</v>
      </c>
      <c r="Q24" s="105">
        <v>18</v>
      </c>
      <c r="R24" s="105" t="s">
        <v>259</v>
      </c>
      <c r="S24" s="105">
        <v>18</v>
      </c>
      <c r="T24" s="105">
        <v>18</v>
      </c>
      <c r="U24" s="105">
        <v>18</v>
      </c>
      <c r="V24" s="105">
        <v>18</v>
      </c>
      <c r="W24" s="105">
        <v>18</v>
      </c>
      <c r="X24" s="105">
        <v>18</v>
      </c>
      <c r="Y24" s="105">
        <v>18</v>
      </c>
      <c r="Z24" s="105">
        <v>18</v>
      </c>
      <c r="AA24" s="105">
        <v>18</v>
      </c>
      <c r="AB24" s="105">
        <v>18</v>
      </c>
      <c r="AC24" s="105">
        <v>18</v>
      </c>
      <c r="AD24" s="105">
        <v>18</v>
      </c>
      <c r="AE24" s="105" t="s">
        <v>259</v>
      </c>
      <c r="AF24" s="105">
        <v>18</v>
      </c>
      <c r="AG24" s="126">
        <v>22</v>
      </c>
      <c r="AH24" s="20">
        <f t="shared" si="2"/>
        <v>22</v>
      </c>
      <c r="AI24" s="19">
        <f t="shared" si="3"/>
        <v>18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22</v>
      </c>
      <c r="C25" s="105">
        <v>22</v>
      </c>
      <c r="D25" s="105">
        <v>22</v>
      </c>
      <c r="E25" s="105">
        <v>22</v>
      </c>
      <c r="F25" s="105">
        <v>22</v>
      </c>
      <c r="G25" s="105">
        <v>22</v>
      </c>
      <c r="H25" s="105">
        <v>22</v>
      </c>
      <c r="I25" s="105">
        <v>22</v>
      </c>
      <c r="J25" s="105">
        <v>22</v>
      </c>
      <c r="K25" s="105">
        <v>22</v>
      </c>
      <c r="L25" s="105">
        <v>22</v>
      </c>
      <c r="M25" s="105">
        <v>22</v>
      </c>
      <c r="N25" s="105">
        <v>22</v>
      </c>
      <c r="O25" s="105">
        <v>22</v>
      </c>
      <c r="P25" s="105">
        <v>22</v>
      </c>
      <c r="Q25" s="105">
        <v>22</v>
      </c>
      <c r="R25" s="105"/>
      <c r="S25" s="105">
        <v>22</v>
      </c>
      <c r="T25" s="105">
        <v>22</v>
      </c>
      <c r="U25" s="105">
        <v>22</v>
      </c>
      <c r="V25" s="105">
        <v>22</v>
      </c>
      <c r="W25" s="105">
        <v>22</v>
      </c>
      <c r="X25" s="105">
        <v>22</v>
      </c>
      <c r="Y25" s="105">
        <v>22</v>
      </c>
      <c r="Z25" s="105">
        <v>22</v>
      </c>
      <c r="AA25" s="105">
        <v>22</v>
      </c>
      <c r="AB25" s="105">
        <v>22</v>
      </c>
      <c r="AC25" s="105">
        <v>22</v>
      </c>
      <c r="AD25" s="105">
        <v>22</v>
      </c>
      <c r="AE25" s="105"/>
      <c r="AF25" s="105">
        <v>22</v>
      </c>
      <c r="AG25" s="126">
        <v>22</v>
      </c>
      <c r="AH25" s="20">
        <f t="shared" si="2"/>
        <v>22</v>
      </c>
      <c r="AI25" s="19">
        <f t="shared" si="3"/>
        <v>22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5">
        <v>10</v>
      </c>
      <c r="M26" s="105">
        <v>10</v>
      </c>
      <c r="N26" s="105">
        <v>10</v>
      </c>
      <c r="O26" s="105">
        <v>10</v>
      </c>
      <c r="P26" s="105">
        <v>10</v>
      </c>
      <c r="Q26" s="105">
        <v>10</v>
      </c>
      <c r="R26" s="105" t="s">
        <v>260</v>
      </c>
      <c r="S26" s="105">
        <v>10</v>
      </c>
      <c r="T26" s="105">
        <v>10</v>
      </c>
      <c r="U26" s="105">
        <v>10</v>
      </c>
      <c r="V26" s="105">
        <v>10</v>
      </c>
      <c r="W26" s="105">
        <v>10</v>
      </c>
      <c r="X26" s="105">
        <v>10</v>
      </c>
      <c r="Y26" s="105">
        <v>10</v>
      </c>
      <c r="Z26" s="105">
        <v>10</v>
      </c>
      <c r="AA26" s="105">
        <v>10</v>
      </c>
      <c r="AB26" s="105">
        <v>10</v>
      </c>
      <c r="AC26" s="105">
        <v>10</v>
      </c>
      <c r="AD26" s="105">
        <v>10</v>
      </c>
      <c r="AE26" s="105" t="s">
        <v>260</v>
      </c>
      <c r="AF26" s="105">
        <v>10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</v>
      </c>
      <c r="C27" s="105">
        <v>14</v>
      </c>
      <c r="D27" s="105">
        <v>14</v>
      </c>
      <c r="E27" s="105">
        <v>14</v>
      </c>
      <c r="F27" s="105">
        <v>14</v>
      </c>
      <c r="G27" s="105">
        <v>14</v>
      </c>
      <c r="H27" s="105">
        <v>14</v>
      </c>
      <c r="I27" s="105">
        <v>14</v>
      </c>
      <c r="J27" s="105">
        <v>14</v>
      </c>
      <c r="K27" s="105">
        <v>14</v>
      </c>
      <c r="L27" s="105">
        <v>14</v>
      </c>
      <c r="M27" s="105">
        <v>14</v>
      </c>
      <c r="N27" s="105">
        <v>14</v>
      </c>
      <c r="O27" s="105">
        <v>14</v>
      </c>
      <c r="P27" s="105">
        <v>14</v>
      </c>
      <c r="Q27" s="105">
        <v>14</v>
      </c>
      <c r="R27" s="105" t="s">
        <v>261</v>
      </c>
      <c r="S27" s="105">
        <v>14</v>
      </c>
      <c r="T27" s="105">
        <v>14</v>
      </c>
      <c r="U27" s="105">
        <v>14</v>
      </c>
      <c r="V27" s="105">
        <v>14</v>
      </c>
      <c r="W27" s="105">
        <v>14</v>
      </c>
      <c r="X27" s="105">
        <v>14</v>
      </c>
      <c r="Y27" s="105">
        <v>14</v>
      </c>
      <c r="Z27" s="105">
        <v>14</v>
      </c>
      <c r="AA27" s="105">
        <v>14</v>
      </c>
      <c r="AB27" s="105">
        <v>14</v>
      </c>
      <c r="AC27" s="105">
        <v>14</v>
      </c>
      <c r="AD27" s="105">
        <v>14</v>
      </c>
      <c r="AE27" s="105" t="s">
        <v>261</v>
      </c>
      <c r="AF27" s="105">
        <v>14</v>
      </c>
      <c r="AG27" s="126">
        <v>14.9</v>
      </c>
      <c r="AH27" s="20">
        <f t="shared" si="2"/>
        <v>14</v>
      </c>
      <c r="AI27" s="19">
        <f t="shared" si="3"/>
        <v>14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 t="s">
        <v>255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>
        <v>6.8</v>
      </c>
      <c r="AE28" s="105" t="s">
        <v>255</v>
      </c>
      <c r="AF28" s="105">
        <v>6.8</v>
      </c>
      <c r="AG28" s="126">
        <v>13.6</v>
      </c>
      <c r="AH28" s="20">
        <f t="shared" si="2"/>
        <v>6.8</v>
      </c>
      <c r="AI28" s="19">
        <f t="shared" si="3"/>
        <v>6.8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11</v>
      </c>
      <c r="C29" s="105">
        <v>11</v>
      </c>
      <c r="D29" s="105">
        <v>11</v>
      </c>
      <c r="E29" s="105">
        <v>11</v>
      </c>
      <c r="F29" s="105">
        <v>11</v>
      </c>
      <c r="G29" s="105">
        <v>11</v>
      </c>
      <c r="H29" s="105">
        <v>11</v>
      </c>
      <c r="I29" s="105">
        <v>11</v>
      </c>
      <c r="J29" s="105">
        <v>11</v>
      </c>
      <c r="K29" s="105">
        <v>11</v>
      </c>
      <c r="L29" s="105">
        <v>11</v>
      </c>
      <c r="M29" s="105">
        <v>11</v>
      </c>
      <c r="N29" s="105">
        <v>11</v>
      </c>
      <c r="O29" s="105">
        <v>11</v>
      </c>
      <c r="P29" s="105">
        <v>11</v>
      </c>
      <c r="Q29" s="105">
        <v>11</v>
      </c>
      <c r="R29" s="105" t="s">
        <v>257</v>
      </c>
      <c r="S29" s="105">
        <v>11</v>
      </c>
      <c r="T29" s="105">
        <v>11</v>
      </c>
      <c r="U29" s="105">
        <v>11</v>
      </c>
      <c r="V29" s="105">
        <v>11</v>
      </c>
      <c r="W29" s="105">
        <v>11</v>
      </c>
      <c r="X29" s="105">
        <v>11</v>
      </c>
      <c r="Y29" s="105">
        <v>11</v>
      </c>
      <c r="Z29" s="105">
        <v>11</v>
      </c>
      <c r="AA29" s="105">
        <v>11</v>
      </c>
      <c r="AB29" s="105">
        <v>11</v>
      </c>
      <c r="AC29" s="105">
        <v>11</v>
      </c>
      <c r="AD29" s="105">
        <v>11</v>
      </c>
      <c r="AE29" s="105" t="s">
        <v>257</v>
      </c>
      <c r="AF29" s="105">
        <v>11</v>
      </c>
      <c r="AG29" s="126">
        <v>13</v>
      </c>
      <c r="AH29" s="20">
        <f t="shared" si="2"/>
        <v>11</v>
      </c>
      <c r="AI29" s="19">
        <f t="shared" si="3"/>
        <v>11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12</v>
      </c>
      <c r="C30" s="105">
        <v>12</v>
      </c>
      <c r="D30" s="105">
        <v>12</v>
      </c>
      <c r="E30" s="105">
        <v>12</v>
      </c>
      <c r="F30" s="105">
        <v>12</v>
      </c>
      <c r="G30" s="105">
        <v>12</v>
      </c>
      <c r="H30" s="105">
        <v>12</v>
      </c>
      <c r="I30" s="105">
        <v>12</v>
      </c>
      <c r="J30" s="105">
        <v>12</v>
      </c>
      <c r="K30" s="105">
        <v>12</v>
      </c>
      <c r="L30" s="105">
        <v>12</v>
      </c>
      <c r="M30" s="105">
        <v>12</v>
      </c>
      <c r="N30" s="105">
        <v>12</v>
      </c>
      <c r="O30" s="105">
        <v>12</v>
      </c>
      <c r="P30" s="105">
        <v>12</v>
      </c>
      <c r="Q30" s="105">
        <v>12</v>
      </c>
      <c r="R30" s="105" t="s">
        <v>262</v>
      </c>
      <c r="S30" s="105">
        <v>12</v>
      </c>
      <c r="T30" s="105">
        <v>12</v>
      </c>
      <c r="U30" s="105">
        <v>12</v>
      </c>
      <c r="V30" s="105">
        <v>12</v>
      </c>
      <c r="W30" s="105">
        <v>12</v>
      </c>
      <c r="X30" s="105">
        <v>12</v>
      </c>
      <c r="Y30" s="105">
        <v>12</v>
      </c>
      <c r="Z30" s="105">
        <v>12</v>
      </c>
      <c r="AA30" s="105">
        <v>12</v>
      </c>
      <c r="AB30" s="105">
        <v>12</v>
      </c>
      <c r="AC30" s="105">
        <v>12</v>
      </c>
      <c r="AD30" s="105">
        <v>12</v>
      </c>
      <c r="AE30" s="105" t="s">
        <v>262</v>
      </c>
      <c r="AF30" s="105">
        <v>12</v>
      </c>
      <c r="AG30" s="126">
        <v>12</v>
      </c>
      <c r="AH30" s="20">
        <f t="shared" si="2"/>
        <v>12</v>
      </c>
      <c r="AI30" s="19">
        <f t="shared" si="3"/>
        <v>12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12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 t="s">
        <v>263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>
        <v>12</v>
      </c>
      <c r="AE31" s="105" t="s">
        <v>263</v>
      </c>
      <c r="AF31" s="105">
        <v>12</v>
      </c>
      <c r="AG31" s="126">
        <v>12</v>
      </c>
      <c r="AH31" s="20">
        <f t="shared" si="2"/>
        <v>12</v>
      </c>
      <c r="AI31" s="19">
        <f t="shared" si="3"/>
        <v>12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2</v>
      </c>
      <c r="C32" s="105">
        <v>2</v>
      </c>
      <c r="D32" s="105">
        <v>2</v>
      </c>
      <c r="E32" s="105">
        <v>2</v>
      </c>
      <c r="F32" s="105">
        <v>2</v>
      </c>
      <c r="G32" s="105">
        <v>2</v>
      </c>
      <c r="H32" s="105">
        <v>2</v>
      </c>
      <c r="I32" s="105">
        <v>2</v>
      </c>
      <c r="J32" s="105">
        <v>2</v>
      </c>
      <c r="K32" s="105">
        <v>2</v>
      </c>
      <c r="L32" s="105">
        <v>2</v>
      </c>
      <c r="M32" s="105">
        <v>2</v>
      </c>
      <c r="N32" s="105">
        <v>2</v>
      </c>
      <c r="O32" s="105">
        <v>2</v>
      </c>
      <c r="P32" s="105">
        <v>2</v>
      </c>
      <c r="Q32" s="105">
        <v>2</v>
      </c>
      <c r="R32" s="105" t="s">
        <v>264</v>
      </c>
      <c r="S32" s="105">
        <v>2</v>
      </c>
      <c r="T32" s="105">
        <v>2</v>
      </c>
      <c r="U32" s="105">
        <v>2</v>
      </c>
      <c r="V32" s="105">
        <v>2</v>
      </c>
      <c r="W32" s="105">
        <v>2</v>
      </c>
      <c r="X32" s="105">
        <v>2</v>
      </c>
      <c r="Y32" s="105">
        <v>2</v>
      </c>
      <c r="Z32" s="105">
        <v>2</v>
      </c>
      <c r="AA32" s="105">
        <v>2</v>
      </c>
      <c r="AB32" s="105">
        <v>2</v>
      </c>
      <c r="AC32" s="105">
        <v>2</v>
      </c>
      <c r="AD32" s="105">
        <v>2</v>
      </c>
      <c r="AE32" s="105" t="s">
        <v>264</v>
      </c>
      <c r="AF32" s="105">
        <v>2</v>
      </c>
      <c r="AG32" s="126">
        <v>12</v>
      </c>
      <c r="AH32" s="20">
        <f t="shared" si="2"/>
        <v>2</v>
      </c>
      <c r="AI32" s="19">
        <f t="shared" si="3"/>
        <v>2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12</v>
      </c>
      <c r="C33" s="105">
        <v>12</v>
      </c>
      <c r="D33" s="105">
        <v>12</v>
      </c>
      <c r="E33" s="105">
        <v>12</v>
      </c>
      <c r="F33" s="105">
        <v>10</v>
      </c>
      <c r="G33" s="105">
        <v>10</v>
      </c>
      <c r="H33" s="105">
        <v>10</v>
      </c>
      <c r="I33" s="105">
        <v>10</v>
      </c>
      <c r="J33" s="105">
        <v>10</v>
      </c>
      <c r="K33" s="105">
        <v>10</v>
      </c>
      <c r="L33" s="105">
        <v>10</v>
      </c>
      <c r="M33" s="105">
        <v>10</v>
      </c>
      <c r="N33" s="105">
        <v>10</v>
      </c>
      <c r="O33" s="105">
        <v>10</v>
      </c>
      <c r="P33" s="105">
        <v>10</v>
      </c>
      <c r="Q33" s="105">
        <v>10</v>
      </c>
      <c r="R33" s="105"/>
      <c r="S33" s="105">
        <v>10</v>
      </c>
      <c r="T33" s="105">
        <v>10</v>
      </c>
      <c r="U33" s="105">
        <v>10</v>
      </c>
      <c r="V33" s="105">
        <v>10</v>
      </c>
      <c r="W33" s="105">
        <v>10</v>
      </c>
      <c r="X33" s="105">
        <v>10</v>
      </c>
      <c r="Y33" s="105">
        <v>10</v>
      </c>
      <c r="Z33" s="105">
        <v>10</v>
      </c>
      <c r="AA33" s="105">
        <v>10</v>
      </c>
      <c r="AB33" s="105">
        <v>10</v>
      </c>
      <c r="AC33" s="105">
        <v>10</v>
      </c>
      <c r="AD33" s="105">
        <v>10</v>
      </c>
      <c r="AE33" s="105"/>
      <c r="AF33" s="105">
        <v>10</v>
      </c>
      <c r="AG33" s="125">
        <v>22</v>
      </c>
      <c r="AH33" s="20">
        <f t="shared" si="2"/>
        <v>12</v>
      </c>
      <c r="AI33" s="19">
        <f t="shared" si="3"/>
        <v>10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11</v>
      </c>
      <c r="C34" s="105">
        <v>11</v>
      </c>
      <c r="D34" s="105">
        <v>11</v>
      </c>
      <c r="E34" s="105">
        <v>11</v>
      </c>
      <c r="F34" s="105">
        <v>11</v>
      </c>
      <c r="G34" s="105">
        <v>11</v>
      </c>
      <c r="H34" s="105">
        <v>11</v>
      </c>
      <c r="I34" s="105">
        <v>11</v>
      </c>
      <c r="J34" s="105">
        <v>11</v>
      </c>
      <c r="K34" s="105">
        <v>11</v>
      </c>
      <c r="L34" s="105">
        <v>11</v>
      </c>
      <c r="M34" s="105">
        <v>11</v>
      </c>
      <c r="N34" s="105">
        <v>11</v>
      </c>
      <c r="O34" s="105">
        <v>11</v>
      </c>
      <c r="P34" s="105">
        <v>11</v>
      </c>
      <c r="Q34" s="105">
        <v>11</v>
      </c>
      <c r="R34" s="105"/>
      <c r="S34" s="105">
        <v>11</v>
      </c>
      <c r="T34" s="105">
        <v>11</v>
      </c>
      <c r="U34" s="105">
        <v>11</v>
      </c>
      <c r="V34" s="105">
        <v>11</v>
      </c>
      <c r="W34" s="105">
        <v>11</v>
      </c>
      <c r="X34" s="105">
        <v>11</v>
      </c>
      <c r="Y34" s="105">
        <v>11</v>
      </c>
      <c r="Z34" s="105">
        <v>11</v>
      </c>
      <c r="AA34" s="105">
        <v>11</v>
      </c>
      <c r="AB34" s="105">
        <v>11</v>
      </c>
      <c r="AC34" s="105">
        <v>11</v>
      </c>
      <c r="AD34" s="105">
        <v>11</v>
      </c>
      <c r="AE34" s="105"/>
      <c r="AF34" s="105">
        <v>11</v>
      </c>
      <c r="AG34" s="96">
        <v>11.88</v>
      </c>
      <c r="AH34" s="20">
        <f t="shared" si="2"/>
        <v>11</v>
      </c>
      <c r="AI34" s="19">
        <f t="shared" si="3"/>
        <v>11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/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/>
      <c r="AF35" s="105">
        <v>11</v>
      </c>
      <c r="AG35" s="94">
        <v>11</v>
      </c>
      <c r="AH35" s="20">
        <f t="shared" si="2"/>
        <v>11</v>
      </c>
      <c r="AI35" s="19">
        <f t="shared" si="3"/>
        <v>11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>
        <v>9</v>
      </c>
      <c r="E36" s="105">
        <v>9</v>
      </c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>
        <v>9</v>
      </c>
      <c r="N36" s="105">
        <v>9</v>
      </c>
      <c r="O36" s="105">
        <v>9</v>
      </c>
      <c r="P36" s="105">
        <v>9</v>
      </c>
      <c r="Q36" s="105">
        <v>9</v>
      </c>
      <c r="R36" s="105"/>
      <c r="S36" s="105">
        <v>9</v>
      </c>
      <c r="T36" s="105">
        <v>9</v>
      </c>
      <c r="U36" s="105">
        <v>9</v>
      </c>
      <c r="V36" s="105">
        <v>9</v>
      </c>
      <c r="W36" s="105">
        <v>9</v>
      </c>
      <c r="X36" s="105">
        <v>9</v>
      </c>
      <c r="Y36" s="105">
        <v>9</v>
      </c>
      <c r="Z36" s="105">
        <v>9</v>
      </c>
      <c r="AA36" s="105">
        <v>9</v>
      </c>
      <c r="AB36" s="105">
        <v>9</v>
      </c>
      <c r="AC36" s="105">
        <v>9</v>
      </c>
      <c r="AD36" s="105">
        <v>9</v>
      </c>
      <c r="AE36" s="105"/>
      <c r="AF36" s="105">
        <v>9</v>
      </c>
      <c r="AG36" s="94">
        <v>10</v>
      </c>
      <c r="AH36" s="20">
        <f t="shared" si="2"/>
        <v>9</v>
      </c>
      <c r="AI36" s="19">
        <f t="shared" si="3"/>
        <v>9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5">
        <v>4</v>
      </c>
      <c r="O37" s="105">
        <v>4</v>
      </c>
      <c r="P37" s="105">
        <v>4</v>
      </c>
      <c r="Q37" s="105">
        <v>4</v>
      </c>
      <c r="R37" s="105"/>
      <c r="S37" s="105">
        <v>4</v>
      </c>
      <c r="T37" s="105">
        <v>4</v>
      </c>
      <c r="U37" s="105">
        <v>4</v>
      </c>
      <c r="V37" s="105">
        <v>4</v>
      </c>
      <c r="W37" s="105">
        <v>4</v>
      </c>
      <c r="X37" s="105">
        <v>4</v>
      </c>
      <c r="Y37" s="105">
        <v>4</v>
      </c>
      <c r="Z37" s="105">
        <v>4</v>
      </c>
      <c r="AA37" s="105">
        <v>4</v>
      </c>
      <c r="AB37" s="105">
        <v>4</v>
      </c>
      <c r="AC37" s="105">
        <v>4</v>
      </c>
      <c r="AD37" s="105">
        <v>4</v>
      </c>
      <c r="AE37" s="105"/>
      <c r="AF37" s="105">
        <v>4</v>
      </c>
      <c r="AG37" s="94">
        <v>10</v>
      </c>
      <c r="AH37" s="20">
        <f t="shared" si="2"/>
        <v>4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/>
      <c r="AF38" s="113">
        <v>300</v>
      </c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f>74.1+100.8</f>
        <v>174.89999999999998</v>
      </c>
      <c r="C39" s="119">
        <f>78.2+99</f>
        <v>177.2</v>
      </c>
      <c r="D39" s="119">
        <f>33.9+64.7</f>
        <v>98.6</v>
      </c>
      <c r="E39" s="119">
        <f>79.4+84.7</f>
        <v>164.10000000000002</v>
      </c>
      <c r="F39" s="119">
        <f>80.1+91.5</f>
        <v>171.6</v>
      </c>
      <c r="G39" s="119">
        <f>79.1+91.2</f>
        <v>170.3</v>
      </c>
      <c r="H39" s="119">
        <v>171</v>
      </c>
      <c r="I39" s="119">
        <f>77.8+90.3</f>
        <v>168.1</v>
      </c>
      <c r="J39" s="119">
        <f>82.1+69.1</f>
        <v>151.19999999999999</v>
      </c>
      <c r="K39" s="119">
        <f>83.7+81</f>
        <v>164.7</v>
      </c>
      <c r="L39" s="113">
        <f>82.9+97.4</f>
        <v>180.3</v>
      </c>
      <c r="M39" s="113">
        <f>98.4+79.6</f>
        <v>178</v>
      </c>
      <c r="N39" s="113">
        <f>180.9</f>
        <v>180.9</v>
      </c>
      <c r="O39" s="113">
        <f>88.5+83.3</f>
        <v>171.8</v>
      </c>
      <c r="P39" s="113">
        <f>184.3</f>
        <v>184.3</v>
      </c>
      <c r="Q39" s="113"/>
      <c r="R39" s="113"/>
      <c r="S39" s="113">
        <f>78+91.1</f>
        <v>169.1</v>
      </c>
      <c r="T39" s="113">
        <f>78+91.1</f>
        <v>169.1</v>
      </c>
      <c r="U39" s="119">
        <f>84.1+95.8</f>
        <v>179.89999999999998</v>
      </c>
      <c r="V39" s="119">
        <v>180</v>
      </c>
      <c r="W39" s="119">
        <v>173.5</v>
      </c>
      <c r="X39" s="119">
        <f>82.4+93.9</f>
        <v>176.3</v>
      </c>
      <c r="Y39" s="119">
        <f>82+93.3</f>
        <v>175.3</v>
      </c>
      <c r="Z39" s="119">
        <v>176</v>
      </c>
      <c r="AA39" s="119">
        <v>177</v>
      </c>
      <c r="AB39" s="119">
        <v>176.3</v>
      </c>
      <c r="AC39" s="119">
        <v>176.3</v>
      </c>
      <c r="AD39" s="119">
        <f>83.2+90.2</f>
        <v>173.4</v>
      </c>
      <c r="AE39" s="119"/>
      <c r="AF39" s="119">
        <v>173.4</v>
      </c>
      <c r="AG39" s="94">
        <v>240</v>
      </c>
      <c r="AH39" s="20">
        <f t="shared" si="2"/>
        <v>184.3</v>
      </c>
      <c r="AI39" s="19">
        <f t="shared" si="3"/>
        <v>98.6</v>
      </c>
      <c r="AK39" s="41"/>
    </row>
    <row r="40" spans="1:88" ht="15.75" thickBot="1" x14ac:dyDescent="0.3">
      <c r="A40" s="118" t="s">
        <v>195</v>
      </c>
      <c r="B40" s="86">
        <f>SUM(B11:B38)</f>
        <v>811.1</v>
      </c>
      <c r="C40" s="86">
        <f t="shared" ref="C40:AG40" si="4">SUM(C11:C38)</f>
        <v>805.1</v>
      </c>
      <c r="D40" s="86">
        <f t="shared" si="4"/>
        <v>797.3</v>
      </c>
      <c r="E40" s="86">
        <f t="shared" si="4"/>
        <v>790.3</v>
      </c>
      <c r="F40" s="86">
        <f t="shared" si="4"/>
        <v>784.3</v>
      </c>
      <c r="G40" s="86">
        <f t="shared" si="4"/>
        <v>784.3</v>
      </c>
      <c r="H40" s="86">
        <f t="shared" si="4"/>
        <v>784.3</v>
      </c>
      <c r="I40" s="86">
        <f t="shared" si="4"/>
        <v>782.3</v>
      </c>
      <c r="J40" s="86">
        <f t="shared" si="4"/>
        <v>791</v>
      </c>
      <c r="K40" s="86">
        <f t="shared" si="4"/>
        <v>791</v>
      </c>
      <c r="L40" s="86">
        <f t="shared" si="4"/>
        <v>820</v>
      </c>
      <c r="M40" s="86">
        <f t="shared" si="4"/>
        <v>820</v>
      </c>
      <c r="N40" s="86">
        <f t="shared" si="4"/>
        <v>824</v>
      </c>
      <c r="O40" s="86">
        <f t="shared" si="4"/>
        <v>842.8</v>
      </c>
      <c r="P40" s="86">
        <f t="shared" si="4"/>
        <v>857.8</v>
      </c>
      <c r="Q40" s="86">
        <f t="shared" si="4"/>
        <v>857.9</v>
      </c>
      <c r="R40" s="86">
        <f t="shared" si="4"/>
        <v>300</v>
      </c>
      <c r="S40" s="86">
        <f t="shared" si="4"/>
        <v>857.9</v>
      </c>
      <c r="T40" s="86">
        <f t="shared" si="4"/>
        <v>863.9</v>
      </c>
      <c r="U40" s="86">
        <f t="shared" si="4"/>
        <v>863.9</v>
      </c>
      <c r="V40" s="86">
        <f t="shared" si="4"/>
        <v>863.9</v>
      </c>
      <c r="W40" s="86">
        <f t="shared" si="4"/>
        <v>863.9</v>
      </c>
      <c r="X40" s="86">
        <f t="shared" si="4"/>
        <v>863.9</v>
      </c>
      <c r="Y40" s="86">
        <f t="shared" si="4"/>
        <v>863.9</v>
      </c>
      <c r="Z40" s="86">
        <f t="shared" si="4"/>
        <v>863.9</v>
      </c>
      <c r="AA40" s="86">
        <f t="shared" si="4"/>
        <v>863.9</v>
      </c>
      <c r="AB40" s="86">
        <f>SUM(AB11:AB38)</f>
        <v>863.9</v>
      </c>
      <c r="AC40" s="86">
        <f t="shared" si="4"/>
        <v>854.9</v>
      </c>
      <c r="AD40" s="86">
        <f t="shared" si="4"/>
        <v>854.9</v>
      </c>
      <c r="AE40" s="86">
        <f t="shared" si="4"/>
        <v>0</v>
      </c>
      <c r="AF40" s="86">
        <f t="shared" si="4"/>
        <v>845.9</v>
      </c>
      <c r="AG40" s="101">
        <f t="shared" si="4"/>
        <v>707.78</v>
      </c>
      <c r="AH40" s="20">
        <f t="shared" si="2"/>
        <v>863.9</v>
      </c>
      <c r="AI40" s="19">
        <f t="shared" si="3"/>
        <v>0</v>
      </c>
      <c r="AK40" s="41"/>
    </row>
    <row r="41" spans="1:88" x14ac:dyDescent="0.25">
      <c r="A41" s="117" t="s">
        <v>194</v>
      </c>
      <c r="B41" s="105">
        <v>456</v>
      </c>
      <c r="C41" s="105">
        <v>456</v>
      </c>
      <c r="D41" s="105">
        <v>456</v>
      </c>
      <c r="E41" s="105">
        <v>456</v>
      </c>
      <c r="F41" s="105">
        <v>456</v>
      </c>
      <c r="G41" s="105">
        <v>456</v>
      </c>
      <c r="H41" s="105">
        <v>456</v>
      </c>
      <c r="I41" s="105">
        <v>456</v>
      </c>
      <c r="J41" s="105">
        <v>456</v>
      </c>
      <c r="K41" s="105">
        <v>456</v>
      </c>
      <c r="L41" s="105">
        <v>456</v>
      </c>
      <c r="M41" s="105">
        <v>456</v>
      </c>
      <c r="N41" s="105">
        <v>456</v>
      </c>
      <c r="O41" s="105">
        <v>456</v>
      </c>
      <c r="P41" s="105">
        <v>446</v>
      </c>
      <c r="Q41" s="105">
        <v>436</v>
      </c>
      <c r="R41" s="105"/>
      <c r="S41" s="105">
        <v>436</v>
      </c>
      <c r="T41" s="105">
        <v>436</v>
      </c>
      <c r="U41" s="105">
        <v>436</v>
      </c>
      <c r="V41" s="105">
        <v>420</v>
      </c>
      <c r="W41" s="105">
        <v>380</v>
      </c>
      <c r="X41" s="105">
        <v>380</v>
      </c>
      <c r="Y41" s="105">
        <f>380</f>
        <v>380</v>
      </c>
      <c r="Z41" s="105">
        <f>380</f>
        <v>380</v>
      </c>
      <c r="AA41" s="105">
        <v>380</v>
      </c>
      <c r="AB41" s="105">
        <v>456</v>
      </c>
      <c r="AC41" s="105">
        <v>456</v>
      </c>
      <c r="AD41" s="105">
        <v>456</v>
      </c>
      <c r="AE41" s="105"/>
      <c r="AF41" s="105">
        <v>456</v>
      </c>
      <c r="AG41" s="96">
        <v>456</v>
      </c>
      <c r="AH41" s="20">
        <f t="shared" si="2"/>
        <v>456</v>
      </c>
      <c r="AI41" s="19">
        <f t="shared" si="3"/>
        <v>380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/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/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/>
      <c r="S43" s="107">
        <v>22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/>
      <c r="AF43" s="107">
        <v>22</v>
      </c>
      <c r="AG43" s="106">
        <v>22.1</v>
      </c>
      <c r="AH43" s="20">
        <f t="shared" si="2"/>
        <v>22</v>
      </c>
      <c r="AI43" s="19">
        <f t="shared" si="3"/>
        <v>22</v>
      </c>
      <c r="AK43" s="41"/>
    </row>
    <row r="44" spans="1:88" ht="15.75" thickBot="1" x14ac:dyDescent="0.3">
      <c r="A44" s="114" t="s">
        <v>191</v>
      </c>
      <c r="B44" s="86">
        <f>SUM(B41:B43)</f>
        <v>538</v>
      </c>
      <c r="C44" s="86">
        <f t="shared" ref="C44:AG44" si="5">SUM(C41:C43)</f>
        <v>538</v>
      </c>
      <c r="D44" s="86">
        <f t="shared" si="5"/>
        <v>538</v>
      </c>
      <c r="E44" s="86">
        <f t="shared" si="5"/>
        <v>538</v>
      </c>
      <c r="F44" s="86">
        <f t="shared" si="5"/>
        <v>538</v>
      </c>
      <c r="G44" s="86">
        <f t="shared" si="5"/>
        <v>538</v>
      </c>
      <c r="H44" s="86">
        <f t="shared" si="5"/>
        <v>538</v>
      </c>
      <c r="I44" s="86">
        <f t="shared" si="5"/>
        <v>538</v>
      </c>
      <c r="J44" s="86">
        <f t="shared" si="5"/>
        <v>538</v>
      </c>
      <c r="K44" s="86">
        <f t="shared" si="5"/>
        <v>538</v>
      </c>
      <c r="L44" s="86">
        <f t="shared" si="5"/>
        <v>538</v>
      </c>
      <c r="M44" s="86">
        <f t="shared" si="5"/>
        <v>538</v>
      </c>
      <c r="N44" s="86">
        <f t="shared" si="5"/>
        <v>538</v>
      </c>
      <c r="O44" s="86">
        <f t="shared" si="5"/>
        <v>538</v>
      </c>
      <c r="P44" s="86">
        <f t="shared" si="5"/>
        <v>528</v>
      </c>
      <c r="Q44" s="86">
        <f t="shared" si="5"/>
        <v>518</v>
      </c>
      <c r="R44" s="86">
        <f t="shared" si="5"/>
        <v>0</v>
      </c>
      <c r="S44" s="86">
        <f t="shared" si="5"/>
        <v>518</v>
      </c>
      <c r="T44" s="86">
        <f t="shared" si="5"/>
        <v>518</v>
      </c>
      <c r="U44" s="86">
        <f t="shared" si="5"/>
        <v>518</v>
      </c>
      <c r="V44" s="86">
        <f t="shared" si="5"/>
        <v>502</v>
      </c>
      <c r="W44" s="86">
        <f t="shared" si="5"/>
        <v>462</v>
      </c>
      <c r="X44" s="86">
        <f t="shared" si="5"/>
        <v>462</v>
      </c>
      <c r="Y44" s="86">
        <f t="shared" si="5"/>
        <v>462</v>
      </c>
      <c r="Z44" s="86">
        <f t="shared" si="5"/>
        <v>462</v>
      </c>
      <c r="AA44" s="86">
        <f t="shared" si="5"/>
        <v>462</v>
      </c>
      <c r="AB44" s="86">
        <f t="shared" si="5"/>
        <v>538</v>
      </c>
      <c r="AC44" s="86">
        <f t="shared" si="5"/>
        <v>538</v>
      </c>
      <c r="AD44" s="86">
        <f t="shared" si="5"/>
        <v>538</v>
      </c>
      <c r="AE44" s="86">
        <f t="shared" si="5"/>
        <v>0</v>
      </c>
      <c r="AF44" s="86">
        <f t="shared" si="5"/>
        <v>538</v>
      </c>
      <c r="AG44" s="101">
        <f t="shared" si="5"/>
        <v>538.1</v>
      </c>
      <c r="AH44" s="20">
        <f t="shared" si="2"/>
        <v>538</v>
      </c>
      <c r="AI44" s="19">
        <f t="shared" si="3"/>
        <v>0</v>
      </c>
      <c r="AK44" s="41"/>
    </row>
    <row r="45" spans="1:88" x14ac:dyDescent="0.25">
      <c r="A45" s="97" t="s">
        <v>190</v>
      </c>
      <c r="B45" s="105">
        <v>142.80000000000001</v>
      </c>
      <c r="C45" s="105">
        <v>143</v>
      </c>
      <c r="D45" s="105">
        <v>142.80000000000001</v>
      </c>
      <c r="E45" s="105">
        <v>142.80000000000001</v>
      </c>
      <c r="F45" s="105">
        <v>135.69999999999999</v>
      </c>
      <c r="G45" s="105">
        <v>136.19999999999999</v>
      </c>
      <c r="H45" s="105">
        <v>136.19999999999999</v>
      </c>
      <c r="I45" s="105">
        <v>136.19999999999999</v>
      </c>
      <c r="J45" s="105">
        <v>142.6</v>
      </c>
      <c r="K45" s="105">
        <v>142.6</v>
      </c>
      <c r="L45" s="105">
        <v>142.6</v>
      </c>
      <c r="M45" s="105">
        <v>143.6</v>
      </c>
      <c r="N45" s="105">
        <v>143.4</v>
      </c>
      <c r="O45" s="105">
        <v>143.69999999999999</v>
      </c>
      <c r="P45" s="105">
        <v>143.69999999999999</v>
      </c>
      <c r="Q45" s="105">
        <v>143.69999999999999</v>
      </c>
      <c r="R45" s="105"/>
      <c r="S45" s="105">
        <v>143.30000000000001</v>
      </c>
      <c r="T45" s="105">
        <v>143.30000000000001</v>
      </c>
      <c r="U45" s="105">
        <v>143.30000000000001</v>
      </c>
      <c r="V45" s="105">
        <v>143</v>
      </c>
      <c r="W45" s="105">
        <v>142.9</v>
      </c>
      <c r="X45" s="105">
        <v>143</v>
      </c>
      <c r="Y45" s="105">
        <v>143</v>
      </c>
      <c r="Z45" s="105">
        <v>143</v>
      </c>
      <c r="AA45" s="105">
        <v>143</v>
      </c>
      <c r="AB45" s="105">
        <v>143</v>
      </c>
      <c r="AC45" s="105">
        <v>143</v>
      </c>
      <c r="AD45" s="105">
        <v>145</v>
      </c>
      <c r="AE45" s="105"/>
      <c r="AF45" s="105">
        <v>145</v>
      </c>
      <c r="AG45" s="96">
        <v>144</v>
      </c>
      <c r="AH45" s="20">
        <f t="shared" si="2"/>
        <v>145</v>
      </c>
      <c r="AI45" s="19">
        <f t="shared" si="3"/>
        <v>135.69999999999999</v>
      </c>
      <c r="AK45" s="41"/>
    </row>
    <row r="46" spans="1:88" x14ac:dyDescent="0.25">
      <c r="A46" s="95" t="s">
        <v>189</v>
      </c>
      <c r="B46" s="80">
        <v>71.5</v>
      </c>
      <c r="C46" s="80">
        <v>71.5</v>
      </c>
      <c r="D46" s="80">
        <v>71.2</v>
      </c>
      <c r="E46" s="80">
        <v>60</v>
      </c>
      <c r="F46" s="80">
        <v>61.1</v>
      </c>
      <c r="G46" s="80">
        <v>61.1</v>
      </c>
      <c r="H46" s="80">
        <v>61.1</v>
      </c>
      <c r="I46" s="80">
        <v>61.1</v>
      </c>
      <c r="J46" s="80">
        <v>72.400000000000006</v>
      </c>
      <c r="K46" s="80">
        <v>72.400000000000006</v>
      </c>
      <c r="L46" s="80">
        <v>72.400000000000006</v>
      </c>
      <c r="M46" s="80">
        <v>71.900000000000006</v>
      </c>
      <c r="N46" s="105">
        <v>72.3</v>
      </c>
      <c r="O46" s="105">
        <v>71.7</v>
      </c>
      <c r="P46" s="105">
        <v>72.2</v>
      </c>
      <c r="Q46" s="105">
        <v>72.2</v>
      </c>
      <c r="R46" s="105"/>
      <c r="S46" s="105">
        <v>71.400000000000006</v>
      </c>
      <c r="T46" s="105">
        <v>71.400000000000006</v>
      </c>
      <c r="U46" s="105">
        <v>71.400000000000006</v>
      </c>
      <c r="V46" s="80">
        <v>71.400000000000006</v>
      </c>
      <c r="W46" s="80">
        <v>73</v>
      </c>
      <c r="X46" s="80">
        <v>71.7</v>
      </c>
      <c r="Y46" s="80">
        <v>72.2</v>
      </c>
      <c r="Z46" s="80">
        <v>72.2</v>
      </c>
      <c r="AA46" s="80">
        <v>72.2</v>
      </c>
      <c r="AB46" s="80">
        <v>72.2</v>
      </c>
      <c r="AC46" s="80">
        <v>72.2</v>
      </c>
      <c r="AD46" s="80">
        <v>71</v>
      </c>
      <c r="AE46" s="80"/>
      <c r="AF46" s="80">
        <v>71</v>
      </c>
      <c r="AG46" s="94">
        <v>70</v>
      </c>
      <c r="AH46" s="20">
        <f t="shared" si="2"/>
        <v>73</v>
      </c>
      <c r="AI46" s="19">
        <f t="shared" si="3"/>
        <v>60</v>
      </c>
      <c r="AK46" s="41"/>
    </row>
    <row r="47" spans="1:88" x14ac:dyDescent="0.25">
      <c r="A47" s="95" t="s">
        <v>188</v>
      </c>
      <c r="B47" s="80">
        <v>65</v>
      </c>
      <c r="C47" s="80">
        <v>64.2</v>
      </c>
      <c r="D47" s="80">
        <v>53.7</v>
      </c>
      <c r="E47" s="80">
        <v>64.7</v>
      </c>
      <c r="F47" s="80">
        <v>64.8</v>
      </c>
      <c r="G47" s="80">
        <v>64.8</v>
      </c>
      <c r="H47" s="80">
        <v>64.8</v>
      </c>
      <c r="I47" s="80">
        <v>64.8</v>
      </c>
      <c r="J47" s="80">
        <v>65.099999999999994</v>
      </c>
      <c r="K47" s="80">
        <v>65.099999999999994</v>
      </c>
      <c r="L47" s="80">
        <v>65.099999999999994</v>
      </c>
      <c r="M47" s="80">
        <v>64.7</v>
      </c>
      <c r="N47" s="105">
        <v>64.5</v>
      </c>
      <c r="O47" s="105">
        <v>64.599999999999994</v>
      </c>
      <c r="P47" s="105">
        <v>64.7</v>
      </c>
      <c r="Q47" s="105">
        <v>64.7</v>
      </c>
      <c r="R47" s="105"/>
      <c r="S47" s="105">
        <v>64.7</v>
      </c>
      <c r="T47" s="105">
        <v>64.7</v>
      </c>
      <c r="U47" s="105">
        <v>64.7</v>
      </c>
      <c r="V47" s="80">
        <v>65.2</v>
      </c>
      <c r="W47" s="80">
        <v>65.3</v>
      </c>
      <c r="X47" s="80">
        <v>65.3</v>
      </c>
      <c r="Y47" s="80">
        <v>64.7</v>
      </c>
      <c r="Z47" s="80">
        <v>64.7</v>
      </c>
      <c r="AA47" s="80">
        <v>64.7</v>
      </c>
      <c r="AB47" s="80">
        <v>64.7</v>
      </c>
      <c r="AC47" s="80">
        <v>64.7</v>
      </c>
      <c r="AD47" s="80">
        <v>64.7</v>
      </c>
      <c r="AE47" s="80"/>
      <c r="AF47" s="80">
        <v>64.7</v>
      </c>
      <c r="AG47" s="94">
        <v>69</v>
      </c>
      <c r="AH47" s="20">
        <f t="shared" si="2"/>
        <v>65.3</v>
      </c>
      <c r="AI47" s="19">
        <f t="shared" si="3"/>
        <v>53.7</v>
      </c>
      <c r="AK47" s="41"/>
    </row>
    <row r="48" spans="1:88" x14ac:dyDescent="0.25">
      <c r="A48" s="95" t="s">
        <v>187</v>
      </c>
      <c r="B48" s="113">
        <v>60.9</v>
      </c>
      <c r="C48" s="113">
        <v>60.9</v>
      </c>
      <c r="D48" s="113">
        <v>51.4</v>
      </c>
      <c r="E48" s="113">
        <v>51.4</v>
      </c>
      <c r="F48" s="113">
        <v>51.4</v>
      </c>
      <c r="G48" s="113">
        <v>40.6</v>
      </c>
      <c r="H48" s="113">
        <v>40.6</v>
      </c>
      <c r="I48" s="113">
        <v>40.6</v>
      </c>
      <c r="J48" s="113">
        <v>61.7</v>
      </c>
      <c r="K48" s="113">
        <v>61.7</v>
      </c>
      <c r="L48" s="113">
        <v>61.7</v>
      </c>
      <c r="M48" s="113">
        <v>60.7</v>
      </c>
      <c r="N48" s="105">
        <v>60.7</v>
      </c>
      <c r="O48" s="105">
        <v>60.7</v>
      </c>
      <c r="P48" s="105">
        <v>60.7</v>
      </c>
      <c r="Q48" s="105">
        <v>60.7</v>
      </c>
      <c r="R48" s="105"/>
      <c r="S48" s="105">
        <v>60.7</v>
      </c>
      <c r="T48" s="105">
        <v>60.7</v>
      </c>
      <c r="U48" s="105">
        <v>60.7</v>
      </c>
      <c r="V48" s="80">
        <v>60.7</v>
      </c>
      <c r="W48" s="80">
        <v>60.9</v>
      </c>
      <c r="X48" s="80">
        <v>60.9</v>
      </c>
      <c r="Y48" s="80">
        <v>61.4</v>
      </c>
      <c r="Z48" s="80">
        <v>61.4</v>
      </c>
      <c r="AA48" s="80">
        <v>61.4</v>
      </c>
      <c r="AB48" s="80">
        <v>61.4</v>
      </c>
      <c r="AC48" s="80">
        <v>61.4</v>
      </c>
      <c r="AD48" s="80">
        <v>61.4</v>
      </c>
      <c r="AE48" s="113"/>
      <c r="AF48" s="80">
        <v>61.4</v>
      </c>
      <c r="AG48" s="94">
        <v>60</v>
      </c>
      <c r="AH48" s="20">
        <f t="shared" si="2"/>
        <v>61.7</v>
      </c>
      <c r="AI48" s="19">
        <f t="shared" si="3"/>
        <v>40.6</v>
      </c>
      <c r="AK48" s="41"/>
    </row>
    <row r="49" spans="1:41" x14ac:dyDescent="0.25">
      <c r="A49" s="95" t="s">
        <v>186</v>
      </c>
      <c r="B49" s="80">
        <v>29</v>
      </c>
      <c r="C49" s="80">
        <v>29</v>
      </c>
      <c r="D49" s="80">
        <v>29</v>
      </c>
      <c r="E49" s="80">
        <v>29</v>
      </c>
      <c r="F49" s="80">
        <v>29</v>
      </c>
      <c r="G49" s="80">
        <v>29</v>
      </c>
      <c r="H49" s="80">
        <v>29</v>
      </c>
      <c r="I49" s="80">
        <v>29</v>
      </c>
      <c r="J49" s="80">
        <v>29</v>
      </c>
      <c r="K49" s="80">
        <v>29</v>
      </c>
      <c r="L49" s="80">
        <v>29</v>
      </c>
      <c r="M49" s="113">
        <v>28.9</v>
      </c>
      <c r="N49" s="113">
        <v>28.9</v>
      </c>
      <c r="O49" s="113">
        <v>28.9</v>
      </c>
      <c r="P49" s="113">
        <v>29</v>
      </c>
      <c r="Q49" s="113">
        <v>29</v>
      </c>
      <c r="R49" s="105"/>
      <c r="S49" s="113">
        <v>29</v>
      </c>
      <c r="T49" s="113">
        <v>29</v>
      </c>
      <c r="U49" s="113">
        <v>29</v>
      </c>
      <c r="V49" s="80">
        <v>29</v>
      </c>
      <c r="W49" s="80">
        <v>29</v>
      </c>
      <c r="X49" s="80">
        <v>29</v>
      </c>
      <c r="Y49" s="80">
        <v>28.7</v>
      </c>
      <c r="Z49" s="80">
        <v>28.7</v>
      </c>
      <c r="AA49" s="80">
        <v>28.7</v>
      </c>
      <c r="AB49" s="80">
        <v>28.7</v>
      </c>
      <c r="AC49" s="80">
        <v>28.7</v>
      </c>
      <c r="AD49" s="80">
        <v>28.7</v>
      </c>
      <c r="AE49" s="113"/>
      <c r="AF49" s="80">
        <v>28.7</v>
      </c>
      <c r="AG49" s="94">
        <v>30</v>
      </c>
      <c r="AH49" s="20">
        <f t="shared" si="2"/>
        <v>29</v>
      </c>
      <c r="AI49" s="19">
        <f t="shared" si="3"/>
        <v>28.7</v>
      </c>
      <c r="AK49" s="41"/>
    </row>
    <row r="50" spans="1:41" x14ac:dyDescent="0.25">
      <c r="A50" s="95" t="s">
        <v>185</v>
      </c>
      <c r="B50" s="105">
        <v>0</v>
      </c>
      <c r="C50" s="105">
        <v>0</v>
      </c>
      <c r="D50" s="105">
        <v>0</v>
      </c>
      <c r="E50" s="105">
        <v>0</v>
      </c>
      <c r="F50" s="105">
        <v>0</v>
      </c>
      <c r="G50" s="105">
        <v>0</v>
      </c>
      <c r="H50" s="105">
        <v>0</v>
      </c>
      <c r="I50" s="105">
        <v>0</v>
      </c>
      <c r="J50" s="105">
        <v>0</v>
      </c>
      <c r="K50" s="105">
        <v>0</v>
      </c>
      <c r="L50" s="105">
        <v>0</v>
      </c>
      <c r="M50" s="105">
        <v>0</v>
      </c>
      <c r="N50" s="105">
        <v>7</v>
      </c>
      <c r="O50" s="105">
        <v>7</v>
      </c>
      <c r="P50" s="105">
        <v>7</v>
      </c>
      <c r="Q50" s="105">
        <v>7</v>
      </c>
      <c r="R50" s="105"/>
      <c r="S50" s="105">
        <v>7</v>
      </c>
      <c r="T50" s="105">
        <v>7</v>
      </c>
      <c r="U50" s="105">
        <v>7</v>
      </c>
      <c r="V50" s="105">
        <v>0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80"/>
      <c r="AF50" s="105">
        <v>0</v>
      </c>
      <c r="AG50" s="94">
        <v>25</v>
      </c>
      <c r="AH50" s="20">
        <f t="shared" si="2"/>
        <v>7</v>
      </c>
      <c r="AI50" s="19">
        <f t="shared" si="3"/>
        <v>0</v>
      </c>
      <c r="AK50" s="41"/>
    </row>
    <row r="51" spans="1:41" x14ac:dyDescent="0.25">
      <c r="A51" s="95" t="s">
        <v>184</v>
      </c>
      <c r="B51" s="105">
        <v>16.5</v>
      </c>
      <c r="C51" s="105">
        <v>16.5</v>
      </c>
      <c r="D51" s="105">
        <v>16.5</v>
      </c>
      <c r="E51" s="105">
        <v>16.5</v>
      </c>
      <c r="F51" s="105">
        <v>16.5</v>
      </c>
      <c r="G51" s="105">
        <v>16.5</v>
      </c>
      <c r="H51" s="105">
        <v>16.5</v>
      </c>
      <c r="I51" s="105">
        <v>16.5</v>
      </c>
      <c r="J51" s="105">
        <v>16.5</v>
      </c>
      <c r="K51" s="105">
        <v>16.5</v>
      </c>
      <c r="L51" s="105">
        <v>16.5</v>
      </c>
      <c r="M51" s="105">
        <v>16.5</v>
      </c>
      <c r="N51" s="105">
        <v>16.5</v>
      </c>
      <c r="O51" s="105">
        <v>16.5</v>
      </c>
      <c r="P51" s="105">
        <v>16.5</v>
      </c>
      <c r="Q51" s="105">
        <v>16.5</v>
      </c>
      <c r="R51" s="105"/>
      <c r="S51" s="105">
        <v>16.5</v>
      </c>
      <c r="T51" s="105">
        <v>16.5</v>
      </c>
      <c r="U51" s="105">
        <v>16.5</v>
      </c>
      <c r="V51" s="105">
        <v>16.5</v>
      </c>
      <c r="W51" s="105">
        <v>16.600000000000001</v>
      </c>
      <c r="X51" s="105">
        <v>16.600000000000001</v>
      </c>
      <c r="Y51" s="105">
        <v>16.600000000000001</v>
      </c>
      <c r="Z51" s="105">
        <v>16.600000000000001</v>
      </c>
      <c r="AA51" s="105">
        <v>16.600000000000001</v>
      </c>
      <c r="AB51" s="105">
        <v>16.600000000000001</v>
      </c>
      <c r="AC51" s="105">
        <v>16.600000000000001</v>
      </c>
      <c r="AD51" s="105">
        <v>16.600000000000001</v>
      </c>
      <c r="AE51" s="80"/>
      <c r="AF51" s="105">
        <v>16.600000000000001</v>
      </c>
      <c r="AG51" s="94">
        <v>24</v>
      </c>
      <c r="AH51" s="20">
        <f t="shared" si="2"/>
        <v>16.600000000000001</v>
      </c>
      <c r="AI51" s="19">
        <f t="shared" si="3"/>
        <v>16.5</v>
      </c>
      <c r="AK51" s="41"/>
    </row>
    <row r="52" spans="1:41" x14ac:dyDescent="0.25">
      <c r="A52" s="95" t="s">
        <v>183</v>
      </c>
      <c r="B52" s="105">
        <v>3</v>
      </c>
      <c r="C52" s="105">
        <v>3</v>
      </c>
      <c r="D52" s="105">
        <v>3</v>
      </c>
      <c r="E52" s="105">
        <v>3</v>
      </c>
      <c r="F52" s="105">
        <v>3</v>
      </c>
      <c r="G52" s="105">
        <v>3</v>
      </c>
      <c r="H52" s="105">
        <v>3</v>
      </c>
      <c r="I52" s="105">
        <v>3</v>
      </c>
      <c r="J52" s="105">
        <v>3</v>
      </c>
      <c r="K52" s="105">
        <v>3</v>
      </c>
      <c r="L52" s="105">
        <v>3</v>
      </c>
      <c r="M52" s="105">
        <v>3</v>
      </c>
      <c r="N52" s="105">
        <v>3</v>
      </c>
      <c r="O52" s="105">
        <v>3</v>
      </c>
      <c r="P52" s="105">
        <v>3</v>
      </c>
      <c r="Q52" s="105">
        <v>3</v>
      </c>
      <c r="R52" s="80"/>
      <c r="S52" s="105">
        <v>3</v>
      </c>
      <c r="T52" s="105">
        <v>3</v>
      </c>
      <c r="U52" s="105">
        <v>3</v>
      </c>
      <c r="V52" s="80">
        <v>3</v>
      </c>
      <c r="W52" s="80">
        <v>3</v>
      </c>
      <c r="X52" s="80">
        <v>3</v>
      </c>
      <c r="Y52" s="80">
        <v>3</v>
      </c>
      <c r="Z52" s="80">
        <v>3</v>
      </c>
      <c r="AA52" s="80">
        <v>3</v>
      </c>
      <c r="AB52" s="80">
        <v>3</v>
      </c>
      <c r="AC52" s="80">
        <v>3</v>
      </c>
      <c r="AD52" s="80">
        <v>3</v>
      </c>
      <c r="AE52" s="80"/>
      <c r="AF52" s="80">
        <v>3</v>
      </c>
      <c r="AG52" s="94">
        <v>15</v>
      </c>
      <c r="AH52" s="20">
        <f t="shared" si="2"/>
        <v>3</v>
      </c>
      <c r="AI52" s="19">
        <f t="shared" si="3"/>
        <v>3</v>
      </c>
      <c r="AK52" s="41"/>
      <c r="AL52" s="112"/>
      <c r="AO52" s="112"/>
    </row>
    <row r="53" spans="1:41" s="112" customFormat="1" x14ac:dyDescent="0.25">
      <c r="A53" s="95" t="s">
        <v>182</v>
      </c>
      <c r="B53" s="105">
        <v>9.3000000000000007</v>
      </c>
      <c r="C53" s="105">
        <v>9.3000000000000007</v>
      </c>
      <c r="D53" s="105">
        <v>9.3000000000000007</v>
      </c>
      <c r="E53" s="105">
        <v>9.3000000000000007</v>
      </c>
      <c r="F53" s="105">
        <v>9.3000000000000007</v>
      </c>
      <c r="G53" s="105">
        <v>9.3000000000000007</v>
      </c>
      <c r="H53" s="105">
        <v>9.3000000000000007</v>
      </c>
      <c r="I53" s="105">
        <v>9.3000000000000007</v>
      </c>
      <c r="J53" s="105">
        <v>9.3000000000000007</v>
      </c>
      <c r="K53" s="105">
        <v>9.3000000000000007</v>
      </c>
      <c r="L53" s="105">
        <v>9.3000000000000007</v>
      </c>
      <c r="M53" s="105">
        <v>9.3000000000000007</v>
      </c>
      <c r="N53" s="105">
        <v>9.3000000000000007</v>
      </c>
      <c r="O53" s="105">
        <v>9.3000000000000007</v>
      </c>
      <c r="P53" s="105">
        <v>9.3000000000000007</v>
      </c>
      <c r="Q53" s="105">
        <v>9.3000000000000007</v>
      </c>
      <c r="R53" s="80"/>
      <c r="S53" s="105">
        <v>9.3000000000000007</v>
      </c>
      <c r="T53" s="105">
        <v>4.9000000000000004</v>
      </c>
      <c r="U53" s="105">
        <v>4.9000000000000004</v>
      </c>
      <c r="V53" s="105">
        <v>4.9000000000000004</v>
      </c>
      <c r="W53" s="105">
        <v>4.9000000000000004</v>
      </c>
      <c r="X53" s="105">
        <v>4.9000000000000004</v>
      </c>
      <c r="Y53" s="105">
        <v>4.9000000000000004</v>
      </c>
      <c r="Z53" s="105">
        <v>4.9000000000000004</v>
      </c>
      <c r="AA53" s="105">
        <v>4.9000000000000004</v>
      </c>
      <c r="AB53" s="105">
        <v>4.9000000000000004</v>
      </c>
      <c r="AC53" s="105">
        <v>4.9000000000000004</v>
      </c>
      <c r="AD53" s="105">
        <v>4.9000000000000004</v>
      </c>
      <c r="AE53" s="80"/>
      <c r="AF53" s="105">
        <v>4.9000000000000004</v>
      </c>
      <c r="AG53" s="94">
        <v>14.1</v>
      </c>
      <c r="AH53" s="20">
        <f t="shared" si="2"/>
        <v>9.3000000000000007</v>
      </c>
      <c r="AI53" s="19">
        <f t="shared" si="3"/>
        <v>4.9000000000000004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14.3</v>
      </c>
      <c r="C54" s="80">
        <v>14.3</v>
      </c>
      <c r="D54" s="80">
        <v>14.3</v>
      </c>
      <c r="E54" s="80">
        <v>14.3</v>
      </c>
      <c r="F54" s="80">
        <v>14.3</v>
      </c>
      <c r="G54" s="80">
        <v>10.1</v>
      </c>
      <c r="H54" s="80">
        <v>10.1</v>
      </c>
      <c r="I54" s="80">
        <v>10.1</v>
      </c>
      <c r="J54" s="80">
        <v>10.1</v>
      </c>
      <c r="K54" s="80">
        <v>10.1</v>
      </c>
      <c r="L54" s="80">
        <v>14.3</v>
      </c>
      <c r="M54" s="80">
        <v>14.3</v>
      </c>
      <c r="N54" s="80">
        <v>14.3</v>
      </c>
      <c r="O54" s="80">
        <v>14.3</v>
      </c>
      <c r="P54" s="80">
        <v>14.3</v>
      </c>
      <c r="Q54" s="80">
        <v>14.3</v>
      </c>
      <c r="R54" s="80"/>
      <c r="S54" s="80">
        <v>14.3</v>
      </c>
      <c r="T54" s="80">
        <v>14.3</v>
      </c>
      <c r="U54" s="80">
        <v>14.3</v>
      </c>
      <c r="V54" s="80">
        <v>14.6</v>
      </c>
      <c r="W54" s="80">
        <v>14.6</v>
      </c>
      <c r="X54" s="80">
        <v>14.6</v>
      </c>
      <c r="Y54" s="80">
        <v>14.6</v>
      </c>
      <c r="Z54" s="80">
        <v>14.6</v>
      </c>
      <c r="AA54" s="80">
        <v>14.6</v>
      </c>
      <c r="AB54" s="80">
        <v>14.6</v>
      </c>
      <c r="AC54" s="80">
        <v>14.6</v>
      </c>
      <c r="AD54" s="80">
        <v>14.6</v>
      </c>
      <c r="AE54" s="80"/>
      <c r="AF54" s="80">
        <v>14.6</v>
      </c>
      <c r="AG54" s="94">
        <v>14</v>
      </c>
      <c r="AH54" s="20">
        <f t="shared" si="2"/>
        <v>14.6</v>
      </c>
      <c r="AI54" s="19">
        <f t="shared" si="3"/>
        <v>10.1</v>
      </c>
      <c r="AK54" s="41"/>
    </row>
    <row r="55" spans="1:41" x14ac:dyDescent="0.25">
      <c r="A55" s="95" t="s">
        <v>180</v>
      </c>
      <c r="B55" s="80">
        <v>9</v>
      </c>
      <c r="C55" s="80">
        <v>9</v>
      </c>
      <c r="D55" s="80">
        <v>9</v>
      </c>
      <c r="E55" s="80">
        <v>9</v>
      </c>
      <c r="F55" s="80">
        <v>9</v>
      </c>
      <c r="G55" s="80">
        <v>9</v>
      </c>
      <c r="H55" s="80">
        <v>9</v>
      </c>
      <c r="I55" s="80">
        <v>9</v>
      </c>
      <c r="J55" s="80">
        <v>9</v>
      </c>
      <c r="K55" s="80">
        <v>9</v>
      </c>
      <c r="L55" s="80">
        <v>9</v>
      </c>
      <c r="M55" s="80">
        <v>9</v>
      </c>
      <c r="N55" s="80">
        <v>9</v>
      </c>
      <c r="O55" s="80">
        <v>9</v>
      </c>
      <c r="P55" s="80">
        <v>9</v>
      </c>
      <c r="Q55" s="80">
        <v>9</v>
      </c>
      <c r="R55" s="80"/>
      <c r="S55" s="80">
        <v>9</v>
      </c>
      <c r="T55" s="80">
        <v>9</v>
      </c>
      <c r="U55" s="80">
        <v>9</v>
      </c>
      <c r="V55" s="80">
        <v>9</v>
      </c>
      <c r="W55" s="80">
        <v>9</v>
      </c>
      <c r="X55" s="80">
        <v>9</v>
      </c>
      <c r="Y55" s="80">
        <v>9</v>
      </c>
      <c r="Z55" s="80">
        <v>9</v>
      </c>
      <c r="AA55" s="80">
        <v>9</v>
      </c>
      <c r="AB55" s="80">
        <v>9</v>
      </c>
      <c r="AC55" s="80">
        <v>9</v>
      </c>
      <c r="AD55" s="80">
        <v>9</v>
      </c>
      <c r="AE55" s="80"/>
      <c r="AF55" s="80">
        <v>9</v>
      </c>
      <c r="AG55" s="94">
        <v>10.050000000000001</v>
      </c>
      <c r="AH55" s="20">
        <f t="shared" si="2"/>
        <v>9</v>
      </c>
      <c r="AI55" s="19">
        <f t="shared" si="3"/>
        <v>9</v>
      </c>
      <c r="AK55" s="41"/>
    </row>
    <row r="56" spans="1:41" x14ac:dyDescent="0.25">
      <c r="A56" s="95" t="s">
        <v>179</v>
      </c>
      <c r="B56" s="80">
        <v>6.2</v>
      </c>
      <c r="C56" s="80">
        <v>6.2</v>
      </c>
      <c r="D56" s="80">
        <v>6.2</v>
      </c>
      <c r="E56" s="80">
        <v>0</v>
      </c>
      <c r="F56" s="80">
        <v>0</v>
      </c>
      <c r="G56" s="80">
        <v>0</v>
      </c>
      <c r="H56" s="80">
        <v>0</v>
      </c>
      <c r="I56" s="80">
        <v>0</v>
      </c>
      <c r="J56" s="80">
        <v>0</v>
      </c>
      <c r="K56" s="80">
        <v>0</v>
      </c>
      <c r="L56" s="80">
        <v>0</v>
      </c>
      <c r="M56" s="80">
        <v>6.2</v>
      </c>
      <c r="N56" s="80">
        <v>6.2</v>
      </c>
      <c r="O56" s="80">
        <v>6.2</v>
      </c>
      <c r="P56" s="80">
        <v>6.2</v>
      </c>
      <c r="Q56" s="80">
        <v>6.2</v>
      </c>
      <c r="R56" s="80"/>
      <c r="S56" s="80">
        <v>6.2</v>
      </c>
      <c r="T56" s="80">
        <v>6.2</v>
      </c>
      <c r="U56" s="80">
        <v>6.2</v>
      </c>
      <c r="V56" s="80">
        <v>6.2</v>
      </c>
      <c r="W56" s="80">
        <v>6.2</v>
      </c>
      <c r="X56" s="80">
        <v>6.2</v>
      </c>
      <c r="Y56" s="80">
        <v>6.2</v>
      </c>
      <c r="Z56" s="80">
        <v>6.2</v>
      </c>
      <c r="AA56" s="80">
        <v>6.2</v>
      </c>
      <c r="AB56" s="80">
        <v>6.2</v>
      </c>
      <c r="AC56" s="80">
        <v>6.2</v>
      </c>
      <c r="AD56" s="80">
        <v>6.2</v>
      </c>
      <c r="AE56" s="80"/>
      <c r="AF56" s="80">
        <v>6.2</v>
      </c>
      <c r="AG56" s="94">
        <v>6.2</v>
      </c>
      <c r="AH56" s="20">
        <f t="shared" si="2"/>
        <v>6.2</v>
      </c>
      <c r="AI56" s="19">
        <f t="shared" si="3"/>
        <v>0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>SUM(B45:B57)</f>
        <v>431.04</v>
      </c>
      <c r="C58" s="86">
        <f t="shared" ref="C58:AG58" si="6">SUM(C45:C57)</f>
        <v>430.44</v>
      </c>
      <c r="D58" s="86">
        <f t="shared" si="6"/>
        <v>409.94</v>
      </c>
      <c r="E58" s="86">
        <f t="shared" si="6"/>
        <v>403.54</v>
      </c>
      <c r="F58" s="86">
        <f t="shared" si="6"/>
        <v>397.64</v>
      </c>
      <c r="G58" s="86">
        <f t="shared" si="6"/>
        <v>383.14000000000004</v>
      </c>
      <c r="H58" s="86">
        <f t="shared" si="6"/>
        <v>383.14000000000004</v>
      </c>
      <c r="I58" s="86">
        <f t="shared" si="6"/>
        <v>383.14000000000004</v>
      </c>
      <c r="J58" s="86">
        <f t="shared" si="6"/>
        <v>422.24000000000007</v>
      </c>
      <c r="K58" s="86">
        <f t="shared" si="6"/>
        <v>422.24000000000007</v>
      </c>
      <c r="L58" s="86">
        <f t="shared" si="6"/>
        <v>426.44000000000005</v>
      </c>
      <c r="M58" s="86">
        <f t="shared" si="6"/>
        <v>431.64</v>
      </c>
      <c r="N58" s="86">
        <f t="shared" si="6"/>
        <v>438.64</v>
      </c>
      <c r="O58" s="86">
        <f t="shared" si="6"/>
        <v>438.44</v>
      </c>
      <c r="P58" s="86">
        <f t="shared" si="6"/>
        <v>439.14</v>
      </c>
      <c r="Q58" s="86">
        <f t="shared" si="6"/>
        <v>439.14</v>
      </c>
      <c r="R58" s="86">
        <f t="shared" si="6"/>
        <v>3.54</v>
      </c>
      <c r="S58" s="86">
        <f t="shared" si="6"/>
        <v>437.94000000000005</v>
      </c>
      <c r="T58" s="86">
        <f t="shared" si="6"/>
        <v>433.54</v>
      </c>
      <c r="U58" s="86">
        <f t="shared" si="6"/>
        <v>433.54</v>
      </c>
      <c r="V58" s="86">
        <f t="shared" si="6"/>
        <v>427.04</v>
      </c>
      <c r="W58" s="86">
        <f t="shared" si="6"/>
        <v>428.94</v>
      </c>
      <c r="X58" s="86">
        <f t="shared" si="6"/>
        <v>427.74</v>
      </c>
      <c r="Y58" s="86">
        <f t="shared" si="6"/>
        <v>427.84</v>
      </c>
      <c r="Z58" s="86">
        <f t="shared" si="6"/>
        <v>427.84</v>
      </c>
      <c r="AA58" s="86">
        <f t="shared" si="6"/>
        <v>427.84</v>
      </c>
      <c r="AB58" s="86">
        <f t="shared" si="6"/>
        <v>427.84</v>
      </c>
      <c r="AC58" s="86">
        <f t="shared" si="6"/>
        <v>427.84</v>
      </c>
      <c r="AD58" s="86">
        <f t="shared" si="6"/>
        <v>428.64</v>
      </c>
      <c r="AE58" s="86">
        <f t="shared" si="6"/>
        <v>3.54</v>
      </c>
      <c r="AF58" s="86">
        <f t="shared" si="6"/>
        <v>428.64</v>
      </c>
      <c r="AG58" s="101">
        <f t="shared" si="6"/>
        <v>489.91</v>
      </c>
      <c r="AH58" s="20">
        <f t="shared" si="2"/>
        <v>439.14</v>
      </c>
      <c r="AI58" s="19">
        <f t="shared" si="3"/>
        <v>3.54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/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>
        <v>0</v>
      </c>
      <c r="Z59" s="105">
        <v>30</v>
      </c>
      <c r="AA59" s="105">
        <v>20</v>
      </c>
      <c r="AB59" s="105">
        <v>10</v>
      </c>
      <c r="AC59" s="105">
        <v>10</v>
      </c>
      <c r="AD59" s="105">
        <v>10</v>
      </c>
      <c r="AE59" s="105"/>
      <c r="AF59" s="105">
        <v>0</v>
      </c>
      <c r="AG59" s="96">
        <v>60</v>
      </c>
      <c r="AH59" s="20">
        <f t="shared" si="2"/>
        <v>30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/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16</v>
      </c>
      <c r="AA60" s="80">
        <v>9.8000000000000007</v>
      </c>
      <c r="AB60" s="80">
        <v>5.9</v>
      </c>
      <c r="AC60" s="80">
        <v>4.9000000000000004</v>
      </c>
      <c r="AD60" s="80">
        <v>4.9000000000000004</v>
      </c>
      <c r="AE60" s="80"/>
      <c r="AF60" s="80">
        <v>0</v>
      </c>
      <c r="AG60" s="94">
        <v>32</v>
      </c>
      <c r="AH60" s="20">
        <f t="shared" si="2"/>
        <v>16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/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07">
        <v>0</v>
      </c>
      <c r="Y61" s="107">
        <v>0</v>
      </c>
      <c r="Z61" s="107">
        <v>4</v>
      </c>
      <c r="AA61" s="107">
        <v>3.6</v>
      </c>
      <c r="AB61" s="107">
        <v>3</v>
      </c>
      <c r="AC61" s="107">
        <v>2</v>
      </c>
      <c r="AD61" s="107">
        <v>2</v>
      </c>
      <c r="AE61" s="107"/>
      <c r="AF61" s="107">
        <v>0</v>
      </c>
      <c r="AG61" s="106">
        <v>14</v>
      </c>
      <c r="AH61" s="20">
        <f t="shared" si="2"/>
        <v>4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>SUM(B59:B61)</f>
        <v>0</v>
      </c>
      <c r="C62" s="86">
        <f t="shared" ref="C62:AG62" si="7">SUM(C59:C61)</f>
        <v>0</v>
      </c>
      <c r="D62" s="86">
        <f t="shared" si="7"/>
        <v>0</v>
      </c>
      <c r="E62" s="86">
        <f t="shared" si="7"/>
        <v>0</v>
      </c>
      <c r="F62" s="86">
        <f t="shared" si="7"/>
        <v>0</v>
      </c>
      <c r="G62" s="86">
        <f t="shared" si="7"/>
        <v>0</v>
      </c>
      <c r="H62" s="86">
        <f t="shared" si="7"/>
        <v>0</v>
      </c>
      <c r="I62" s="86">
        <f t="shared" si="7"/>
        <v>0</v>
      </c>
      <c r="J62" s="86">
        <f t="shared" si="7"/>
        <v>0</v>
      </c>
      <c r="K62" s="86">
        <f t="shared" si="7"/>
        <v>0</v>
      </c>
      <c r="L62" s="86">
        <f t="shared" si="7"/>
        <v>0</v>
      </c>
      <c r="M62" s="86">
        <f t="shared" si="7"/>
        <v>0</v>
      </c>
      <c r="N62" s="86">
        <f t="shared" si="7"/>
        <v>0</v>
      </c>
      <c r="O62" s="86">
        <f t="shared" si="7"/>
        <v>0</v>
      </c>
      <c r="P62" s="86">
        <f t="shared" si="7"/>
        <v>0</v>
      </c>
      <c r="Q62" s="86">
        <f t="shared" si="7"/>
        <v>0</v>
      </c>
      <c r="R62" s="86">
        <f t="shared" si="7"/>
        <v>0</v>
      </c>
      <c r="S62" s="86">
        <f t="shared" si="7"/>
        <v>0</v>
      </c>
      <c r="T62" s="86">
        <f t="shared" si="7"/>
        <v>0</v>
      </c>
      <c r="U62" s="86">
        <f t="shared" si="7"/>
        <v>0</v>
      </c>
      <c r="V62" s="86">
        <f t="shared" si="7"/>
        <v>0</v>
      </c>
      <c r="W62" s="86">
        <f t="shared" si="7"/>
        <v>0</v>
      </c>
      <c r="X62" s="86">
        <f t="shared" si="7"/>
        <v>0</v>
      </c>
      <c r="Y62" s="86">
        <f t="shared" si="7"/>
        <v>0</v>
      </c>
      <c r="Z62" s="86">
        <f t="shared" si="7"/>
        <v>50</v>
      </c>
      <c r="AA62" s="86">
        <f t="shared" si="7"/>
        <v>33.4</v>
      </c>
      <c r="AB62" s="86">
        <f t="shared" si="7"/>
        <v>18.899999999999999</v>
      </c>
      <c r="AC62" s="86">
        <f t="shared" si="7"/>
        <v>16.899999999999999</v>
      </c>
      <c r="AD62" s="86">
        <f t="shared" si="7"/>
        <v>16.899999999999999</v>
      </c>
      <c r="AE62" s="86">
        <f t="shared" si="7"/>
        <v>0</v>
      </c>
      <c r="AF62" s="86">
        <f t="shared" si="7"/>
        <v>0</v>
      </c>
      <c r="AG62" s="101">
        <f t="shared" si="7"/>
        <v>106</v>
      </c>
      <c r="AH62" s="20">
        <f t="shared" si="2"/>
        <v>50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/>
      <c r="S63" s="105">
        <v>0</v>
      </c>
      <c r="T63" s="105">
        <v>0</v>
      </c>
      <c r="U63" s="105">
        <v>0</v>
      </c>
      <c r="V63" s="105">
        <v>0</v>
      </c>
      <c r="W63" s="105">
        <v>0</v>
      </c>
      <c r="X63" s="105">
        <v>0</v>
      </c>
      <c r="Y63" s="105">
        <v>0</v>
      </c>
      <c r="Z63" s="105">
        <v>0</v>
      </c>
      <c r="AA63" s="105">
        <v>0</v>
      </c>
      <c r="AB63" s="105">
        <v>41</v>
      </c>
      <c r="AC63" s="105">
        <v>41</v>
      </c>
      <c r="AD63" s="105">
        <v>41</v>
      </c>
      <c r="AE63" s="105"/>
      <c r="AF63" s="105">
        <v>56</v>
      </c>
      <c r="AG63" s="96"/>
      <c r="AH63" s="20">
        <f t="shared" si="2"/>
        <v>56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/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/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-394</v>
      </c>
      <c r="C65" s="80">
        <v>-402.1</v>
      </c>
      <c r="D65" s="80">
        <v>-365</v>
      </c>
      <c r="E65" s="80">
        <v>-429</v>
      </c>
      <c r="F65" s="80">
        <v>-433.7</v>
      </c>
      <c r="G65" s="80">
        <v>-417</v>
      </c>
      <c r="H65" s="80">
        <v>-415</v>
      </c>
      <c r="I65" s="80">
        <v>-438</v>
      </c>
      <c r="J65" s="80">
        <v>-426.7</v>
      </c>
      <c r="K65" s="80">
        <v>-389</v>
      </c>
      <c r="L65" s="80">
        <v>-403.5</v>
      </c>
      <c r="M65" s="80">
        <v>-379.3</v>
      </c>
      <c r="N65" s="80">
        <v>-414</v>
      </c>
      <c r="O65" s="80">
        <v>-321</v>
      </c>
      <c r="P65" s="80">
        <v>-371.9</v>
      </c>
      <c r="Q65" s="80">
        <v>-332.8</v>
      </c>
      <c r="R65" s="80"/>
      <c r="S65" s="80">
        <v>-332.8</v>
      </c>
      <c r="T65" s="80">
        <v>-323</v>
      </c>
      <c r="U65" s="80">
        <v>-318</v>
      </c>
      <c r="V65" s="80">
        <v>-350</v>
      </c>
      <c r="W65" s="80">
        <v>-300</v>
      </c>
      <c r="X65" s="80">
        <v>-260</v>
      </c>
      <c r="Y65" s="80">
        <v>-117</v>
      </c>
      <c r="Z65" s="80">
        <v>-117</v>
      </c>
      <c r="AA65" s="80">
        <v>-201</v>
      </c>
      <c r="AB65" s="80">
        <v>-287</v>
      </c>
      <c r="AC65" s="80">
        <v>-297</v>
      </c>
      <c r="AD65" s="80">
        <v>-296</v>
      </c>
      <c r="AE65" s="80"/>
      <c r="AF65" s="80">
        <v>-377</v>
      </c>
      <c r="AG65" s="102"/>
      <c r="AH65" s="20">
        <f t="shared" si="2"/>
        <v>-117</v>
      </c>
      <c r="AI65" s="19">
        <f t="shared" si="3"/>
        <v>-438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/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/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/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/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4</v>
      </c>
      <c r="C68" s="103">
        <v>4</v>
      </c>
      <c r="D68" s="103">
        <v>4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/>
      <c r="S68" s="103">
        <v>0</v>
      </c>
      <c r="T68" s="103">
        <v>0</v>
      </c>
      <c r="U68" s="103">
        <v>4.3</v>
      </c>
      <c r="V68" s="103">
        <v>4.3</v>
      </c>
      <c r="W68" s="103">
        <v>4.3</v>
      </c>
      <c r="X68" s="103">
        <v>4.3</v>
      </c>
      <c r="Y68" s="103">
        <v>4.3</v>
      </c>
      <c r="Z68" s="103">
        <v>4.3</v>
      </c>
      <c r="AA68" s="103">
        <v>4.3</v>
      </c>
      <c r="AB68" s="103">
        <v>4.5</v>
      </c>
      <c r="AC68" s="103">
        <v>4.5</v>
      </c>
      <c r="AD68" s="103">
        <v>4.5</v>
      </c>
      <c r="AE68" s="103"/>
      <c r="AF68" s="103">
        <v>4.5</v>
      </c>
      <c r="AG68" s="102"/>
      <c r="AH68" s="20">
        <f t="shared" si="2"/>
        <v>4.5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/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/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/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/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/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/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/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/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/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/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>SUMIF(B63:B73,"&gt;0")</f>
        <v>4</v>
      </c>
      <c r="C74" s="86">
        <f t="shared" ref="C74:AF74" si="8">SUMIF(C63:C73,"&gt;0")</f>
        <v>4</v>
      </c>
      <c r="D74" s="86">
        <f t="shared" si="8"/>
        <v>4</v>
      </c>
      <c r="E74" s="86">
        <f t="shared" si="8"/>
        <v>0</v>
      </c>
      <c r="F74" s="86">
        <f t="shared" si="8"/>
        <v>0</v>
      </c>
      <c r="G74" s="86">
        <f t="shared" si="8"/>
        <v>0</v>
      </c>
      <c r="H74" s="86">
        <f t="shared" si="8"/>
        <v>0</v>
      </c>
      <c r="I74" s="86">
        <f t="shared" si="8"/>
        <v>0</v>
      </c>
      <c r="J74" s="86">
        <f t="shared" si="8"/>
        <v>0</v>
      </c>
      <c r="K74" s="86">
        <f t="shared" si="8"/>
        <v>0</v>
      </c>
      <c r="L74" s="86">
        <f t="shared" si="8"/>
        <v>0</v>
      </c>
      <c r="M74" s="86">
        <f t="shared" si="8"/>
        <v>0</v>
      </c>
      <c r="N74" s="86">
        <f t="shared" si="8"/>
        <v>0</v>
      </c>
      <c r="O74" s="86">
        <f t="shared" si="8"/>
        <v>0</v>
      </c>
      <c r="P74" s="86">
        <f t="shared" si="8"/>
        <v>0</v>
      </c>
      <c r="Q74" s="86">
        <f t="shared" si="8"/>
        <v>0</v>
      </c>
      <c r="R74" s="86">
        <f t="shared" si="8"/>
        <v>0</v>
      </c>
      <c r="S74" s="86">
        <f t="shared" si="8"/>
        <v>0</v>
      </c>
      <c r="T74" s="86">
        <f t="shared" si="8"/>
        <v>0</v>
      </c>
      <c r="U74" s="86">
        <f t="shared" si="8"/>
        <v>4.3</v>
      </c>
      <c r="V74" s="86">
        <f t="shared" si="8"/>
        <v>4.3</v>
      </c>
      <c r="W74" s="86">
        <f t="shared" si="8"/>
        <v>4.3</v>
      </c>
      <c r="X74" s="86">
        <f t="shared" si="8"/>
        <v>4.3</v>
      </c>
      <c r="Y74" s="86">
        <f t="shared" si="8"/>
        <v>4.3</v>
      </c>
      <c r="Z74" s="86">
        <f t="shared" si="8"/>
        <v>4.3</v>
      </c>
      <c r="AA74" s="86">
        <f t="shared" si="8"/>
        <v>4.3</v>
      </c>
      <c r="AB74" s="86">
        <f t="shared" si="8"/>
        <v>45.5</v>
      </c>
      <c r="AC74" s="86">
        <f t="shared" si="8"/>
        <v>45.5</v>
      </c>
      <c r="AD74" s="86">
        <f t="shared" si="8"/>
        <v>45.5</v>
      </c>
      <c r="AE74" s="86">
        <f t="shared" si="8"/>
        <v>0</v>
      </c>
      <c r="AF74" s="86">
        <f t="shared" si="8"/>
        <v>60.5</v>
      </c>
      <c r="AG74" s="85">
        <f>SUM(AG63:AG73)</f>
        <v>0</v>
      </c>
      <c r="AH74" s="20">
        <f t="shared" si="2"/>
        <v>60.5</v>
      </c>
      <c r="AI74" s="19">
        <f t="shared" si="3"/>
        <v>0</v>
      </c>
      <c r="AK74" s="41"/>
    </row>
    <row r="75" spans="1:37" x14ac:dyDescent="0.25">
      <c r="A75" s="97" t="s">
        <v>164</v>
      </c>
      <c r="B75" s="93">
        <v>0</v>
      </c>
      <c r="C75" s="93">
        <v>0</v>
      </c>
      <c r="D75" s="93">
        <v>0</v>
      </c>
      <c r="E75" s="93">
        <v>0</v>
      </c>
      <c r="F75" s="93">
        <v>0</v>
      </c>
      <c r="G75" s="93">
        <v>0</v>
      </c>
      <c r="H75" s="93">
        <v>0</v>
      </c>
      <c r="I75" s="93">
        <v>0</v>
      </c>
      <c r="J75" s="93">
        <v>0</v>
      </c>
      <c r="K75" s="93">
        <v>0</v>
      </c>
      <c r="L75" s="93">
        <v>0</v>
      </c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/>
      <c r="S75" s="93">
        <v>0</v>
      </c>
      <c r="T75" s="93">
        <v>0</v>
      </c>
      <c r="U75" s="93">
        <v>0</v>
      </c>
      <c r="V75" s="93">
        <v>0</v>
      </c>
      <c r="W75" s="93">
        <v>0</v>
      </c>
      <c r="X75" s="93">
        <v>0</v>
      </c>
      <c r="Y75" s="93">
        <v>0</v>
      </c>
      <c r="Z75" s="93">
        <v>0</v>
      </c>
      <c r="AA75" s="93">
        <v>0</v>
      </c>
      <c r="AB75" s="93">
        <v>0</v>
      </c>
      <c r="AC75" s="93">
        <v>0</v>
      </c>
      <c r="AD75" s="93">
        <v>0</v>
      </c>
      <c r="AE75" s="93"/>
      <c r="AF75" s="93">
        <v>0</v>
      </c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>
        <v>0</v>
      </c>
      <c r="C76" s="103">
        <v>0</v>
      </c>
      <c r="D76" s="103">
        <v>0</v>
      </c>
      <c r="E76" s="103">
        <v>0</v>
      </c>
      <c r="F76" s="103">
        <v>0</v>
      </c>
      <c r="G76" s="103">
        <v>0</v>
      </c>
      <c r="H76" s="103">
        <v>0</v>
      </c>
      <c r="I76" s="103">
        <v>0</v>
      </c>
      <c r="J76" s="103">
        <v>0</v>
      </c>
      <c r="K76" s="103">
        <v>0</v>
      </c>
      <c r="L76" s="103">
        <v>0</v>
      </c>
      <c r="M76" s="103">
        <v>0</v>
      </c>
      <c r="N76" s="103">
        <v>0</v>
      </c>
      <c r="O76" s="103">
        <v>0</v>
      </c>
      <c r="P76" s="103">
        <v>0</v>
      </c>
      <c r="Q76" s="103">
        <v>0</v>
      </c>
      <c r="R76" s="103"/>
      <c r="S76" s="103">
        <v>0</v>
      </c>
      <c r="T76" s="103">
        <v>0</v>
      </c>
      <c r="U76" s="103">
        <v>0</v>
      </c>
      <c r="V76" s="103">
        <v>0</v>
      </c>
      <c r="W76" s="103">
        <v>0</v>
      </c>
      <c r="X76" s="103">
        <v>0</v>
      </c>
      <c r="Y76" s="103">
        <v>0</v>
      </c>
      <c r="Z76" s="103">
        <v>0</v>
      </c>
      <c r="AA76" s="103">
        <v>0</v>
      </c>
      <c r="AB76" s="103">
        <v>0</v>
      </c>
      <c r="AC76" s="103">
        <v>0</v>
      </c>
      <c r="AD76" s="103">
        <v>5.7</v>
      </c>
      <c r="AE76" s="103"/>
      <c r="AF76" s="103">
        <v>0</v>
      </c>
      <c r="AG76" s="102">
        <v>14.4</v>
      </c>
      <c r="AH76" s="20">
        <f t="shared" si="2"/>
        <v>5.7</v>
      </c>
      <c r="AI76" s="19">
        <f t="shared" si="3"/>
        <v>0</v>
      </c>
      <c r="AK76" s="41"/>
    </row>
    <row r="77" spans="1:37" ht="15.75" thickBot="1" x14ac:dyDescent="0.3">
      <c r="A77" s="91" t="s">
        <v>162</v>
      </c>
      <c r="B77" s="90">
        <v>0</v>
      </c>
      <c r="C77" s="90">
        <v>0</v>
      </c>
      <c r="D77" s="90">
        <v>0</v>
      </c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/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  <c r="AA77" s="90">
        <v>0</v>
      </c>
      <c r="AB77" s="90">
        <v>0</v>
      </c>
      <c r="AC77" s="90">
        <v>0</v>
      </c>
      <c r="AD77" s="90">
        <v>2.1</v>
      </c>
      <c r="AE77" s="90"/>
      <c r="AF77" s="90">
        <v>0</v>
      </c>
      <c r="AG77" s="89">
        <v>2</v>
      </c>
      <c r="AH77" s="20">
        <f t="shared" ref="AH77:AH99" si="9">MAX(B77:AF77)</f>
        <v>2.1</v>
      </c>
      <c r="AI77" s="19">
        <f>MIN(B77:AF77)</f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9"/>
        <v>0</v>
      </c>
      <c r="AI78" s="19">
        <f>MIN(B78:AF78)</f>
        <v>0</v>
      </c>
    </row>
    <row r="79" spans="1:37" ht="15.75" thickBot="1" x14ac:dyDescent="0.3">
      <c r="A79" s="87" t="s">
        <v>160</v>
      </c>
      <c r="B79" s="98">
        <f>B40+B44+B62+B58+B74+B78</f>
        <v>1784.1399999999999</v>
      </c>
      <c r="C79" s="98">
        <f t="shared" ref="C79:AG79" si="10">C40+C44+C62+C58+C74+C78</f>
        <v>1777.54</v>
      </c>
      <c r="D79" s="98">
        <f t="shared" si="10"/>
        <v>1749.24</v>
      </c>
      <c r="E79" s="98">
        <f t="shared" si="10"/>
        <v>1731.84</v>
      </c>
      <c r="F79" s="98">
        <f t="shared" si="10"/>
        <v>1719.94</v>
      </c>
      <c r="G79" s="98">
        <f t="shared" si="10"/>
        <v>1705.44</v>
      </c>
      <c r="H79" s="98">
        <f t="shared" si="10"/>
        <v>1705.44</v>
      </c>
      <c r="I79" s="98">
        <f t="shared" si="10"/>
        <v>1703.44</v>
      </c>
      <c r="J79" s="98">
        <f t="shared" si="10"/>
        <v>1751.24</v>
      </c>
      <c r="K79" s="98">
        <f t="shared" si="10"/>
        <v>1751.24</v>
      </c>
      <c r="L79" s="98">
        <f t="shared" si="10"/>
        <v>1784.44</v>
      </c>
      <c r="M79" s="98">
        <f t="shared" si="10"/>
        <v>1789.6399999999999</v>
      </c>
      <c r="N79" s="98">
        <f t="shared" si="10"/>
        <v>1800.6399999999999</v>
      </c>
      <c r="O79" s="98">
        <f t="shared" si="10"/>
        <v>1819.24</v>
      </c>
      <c r="P79" s="98">
        <f t="shared" si="10"/>
        <v>1824.94</v>
      </c>
      <c r="Q79" s="98">
        <f t="shared" si="10"/>
        <v>1815.04</v>
      </c>
      <c r="R79" s="98">
        <f t="shared" si="10"/>
        <v>303.54000000000002</v>
      </c>
      <c r="S79" s="98">
        <f t="shared" si="10"/>
        <v>1813.8400000000001</v>
      </c>
      <c r="T79" s="98">
        <f t="shared" si="10"/>
        <v>1815.44</v>
      </c>
      <c r="U79" s="98">
        <f t="shared" si="10"/>
        <v>1819.74</v>
      </c>
      <c r="V79" s="98">
        <f t="shared" si="10"/>
        <v>1797.24</v>
      </c>
      <c r="W79" s="98">
        <f t="shared" si="10"/>
        <v>1759.14</v>
      </c>
      <c r="X79" s="98">
        <f t="shared" si="10"/>
        <v>1757.94</v>
      </c>
      <c r="Y79" s="98">
        <f t="shared" si="10"/>
        <v>1758.04</v>
      </c>
      <c r="Z79" s="98">
        <f t="shared" si="10"/>
        <v>1808.04</v>
      </c>
      <c r="AA79" s="98">
        <f t="shared" si="10"/>
        <v>1791.44</v>
      </c>
      <c r="AB79" s="98">
        <f t="shared" si="10"/>
        <v>1894.14</v>
      </c>
      <c r="AC79" s="98">
        <f t="shared" si="10"/>
        <v>1883.14</v>
      </c>
      <c r="AD79" s="98">
        <f t="shared" si="10"/>
        <v>1883.94</v>
      </c>
      <c r="AE79" s="98">
        <f t="shared" si="10"/>
        <v>3.54</v>
      </c>
      <c r="AF79" s="98">
        <f t="shared" si="10"/>
        <v>1873.04</v>
      </c>
      <c r="AG79" s="101">
        <f t="shared" si="10"/>
        <v>1897.1900000000003</v>
      </c>
      <c r="AH79" s="20">
        <f t="shared" si="9"/>
        <v>1894.14</v>
      </c>
      <c r="AI79" s="19">
        <f>MIN(B79:AF79)</f>
        <v>3.54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9"/>
        <v>0</v>
      </c>
      <c r="AI80" s="19">
        <f>MIN(B80:AF80)</f>
        <v>0</v>
      </c>
    </row>
    <row r="81" spans="1:37" ht="15.75" thickBot="1" x14ac:dyDescent="0.3">
      <c r="A81" s="87" t="s">
        <v>158</v>
      </c>
      <c r="B81" s="98">
        <f>B79+B80</f>
        <v>1784.1399999999999</v>
      </c>
      <c r="C81" s="98">
        <f t="shared" ref="C81:AF81" si="11">C79+C80</f>
        <v>1777.54</v>
      </c>
      <c r="D81" s="98">
        <f t="shared" si="11"/>
        <v>1749.24</v>
      </c>
      <c r="E81" s="98">
        <f t="shared" si="11"/>
        <v>1731.84</v>
      </c>
      <c r="F81" s="98">
        <f t="shared" si="11"/>
        <v>1719.94</v>
      </c>
      <c r="G81" s="98">
        <f t="shared" si="11"/>
        <v>1705.44</v>
      </c>
      <c r="H81" s="98">
        <f t="shared" si="11"/>
        <v>1705.44</v>
      </c>
      <c r="I81" s="98">
        <f t="shared" si="11"/>
        <v>1703.44</v>
      </c>
      <c r="J81" s="98">
        <f t="shared" si="11"/>
        <v>1751.24</v>
      </c>
      <c r="K81" s="98">
        <f t="shared" si="11"/>
        <v>1751.24</v>
      </c>
      <c r="L81" s="98">
        <f t="shared" si="11"/>
        <v>1784.44</v>
      </c>
      <c r="M81" s="98">
        <f t="shared" si="11"/>
        <v>1789.6399999999999</v>
      </c>
      <c r="N81" s="98">
        <f t="shared" si="11"/>
        <v>1800.6399999999999</v>
      </c>
      <c r="O81" s="98">
        <f t="shared" si="11"/>
        <v>1819.24</v>
      </c>
      <c r="P81" s="98">
        <f t="shared" si="11"/>
        <v>1824.94</v>
      </c>
      <c r="Q81" s="98">
        <f t="shared" si="11"/>
        <v>1815.04</v>
      </c>
      <c r="R81" s="98">
        <f t="shared" si="11"/>
        <v>303.54000000000002</v>
      </c>
      <c r="S81" s="98">
        <f t="shared" si="11"/>
        <v>1813.8400000000001</v>
      </c>
      <c r="T81" s="98">
        <f t="shared" si="11"/>
        <v>1815.44</v>
      </c>
      <c r="U81" s="98">
        <f t="shared" si="11"/>
        <v>1819.74</v>
      </c>
      <c r="V81" s="98">
        <f t="shared" si="11"/>
        <v>1797.24</v>
      </c>
      <c r="W81" s="98">
        <f t="shared" si="11"/>
        <v>1759.14</v>
      </c>
      <c r="X81" s="98">
        <f t="shared" si="11"/>
        <v>1757.94</v>
      </c>
      <c r="Y81" s="98">
        <f t="shared" si="11"/>
        <v>1758.04</v>
      </c>
      <c r="Z81" s="98">
        <f t="shared" si="11"/>
        <v>1808.04</v>
      </c>
      <c r="AA81" s="98">
        <f t="shared" si="11"/>
        <v>1791.44</v>
      </c>
      <c r="AB81" s="98">
        <f t="shared" si="11"/>
        <v>1894.14</v>
      </c>
      <c r="AC81" s="98">
        <f t="shared" si="11"/>
        <v>1883.14</v>
      </c>
      <c r="AD81" s="98">
        <f t="shared" si="11"/>
        <v>1883.94</v>
      </c>
      <c r="AE81" s="98">
        <f t="shared" si="11"/>
        <v>3.54</v>
      </c>
      <c r="AF81" s="98">
        <f t="shared" si="11"/>
        <v>1873.04</v>
      </c>
      <c r="AG81" s="85">
        <f>AG78+AG74+AG62+AG58+AG40+AG80</f>
        <v>1359.0900000000001</v>
      </c>
      <c r="AH81" s="20">
        <f t="shared" si="9"/>
        <v>1894.14</v>
      </c>
      <c r="AI81" s="19">
        <f>MIN(B81:AF81)</f>
        <v>3.54</v>
      </c>
    </row>
    <row r="82" spans="1:37" ht="15.75" thickBot="1" x14ac:dyDescent="0.3">
      <c r="A82" s="87" t="s">
        <v>157</v>
      </c>
      <c r="B82" s="98">
        <f>B81-B89</f>
        <v>1390.1399999999999</v>
      </c>
      <c r="C82" s="98">
        <f t="shared" ref="C82:AF82" si="12">C81-C89</f>
        <v>1375.44</v>
      </c>
      <c r="D82" s="98">
        <f t="shared" si="12"/>
        <v>1384.24</v>
      </c>
      <c r="E82" s="98">
        <f t="shared" si="12"/>
        <v>1302.8399999999999</v>
      </c>
      <c r="F82" s="98">
        <f t="shared" si="12"/>
        <v>1286.24</v>
      </c>
      <c r="G82" s="98">
        <f t="shared" si="12"/>
        <v>1288.44</v>
      </c>
      <c r="H82" s="98">
        <f t="shared" si="12"/>
        <v>1290.44</v>
      </c>
      <c r="I82" s="98">
        <f t="shared" si="12"/>
        <v>1265.44</v>
      </c>
      <c r="J82" s="98">
        <f t="shared" si="12"/>
        <v>1324.54</v>
      </c>
      <c r="K82" s="98">
        <f t="shared" si="12"/>
        <v>1362.24</v>
      </c>
      <c r="L82" s="98">
        <f t="shared" si="12"/>
        <v>1380.94</v>
      </c>
      <c r="M82" s="98">
        <f t="shared" si="12"/>
        <v>1410.34</v>
      </c>
      <c r="N82" s="98">
        <f t="shared" si="12"/>
        <v>1386.6399999999999</v>
      </c>
      <c r="O82" s="98">
        <f t="shared" si="12"/>
        <v>1498.24</v>
      </c>
      <c r="P82" s="98">
        <f t="shared" si="12"/>
        <v>1453.04</v>
      </c>
      <c r="Q82" s="98">
        <f t="shared" si="12"/>
        <v>1482.24</v>
      </c>
      <c r="R82" s="98">
        <f t="shared" si="12"/>
        <v>303.54000000000002</v>
      </c>
      <c r="S82" s="98">
        <f t="shared" si="12"/>
        <v>1481.0400000000002</v>
      </c>
      <c r="T82" s="98">
        <f t="shared" si="12"/>
        <v>1492.44</v>
      </c>
      <c r="U82" s="98">
        <f t="shared" si="12"/>
        <v>1501.74</v>
      </c>
      <c r="V82" s="98">
        <f t="shared" si="12"/>
        <v>1447.24</v>
      </c>
      <c r="W82" s="98">
        <f t="shared" si="12"/>
        <v>1459.14</v>
      </c>
      <c r="X82" s="98">
        <f t="shared" si="12"/>
        <v>1497.94</v>
      </c>
      <c r="Y82" s="98">
        <f t="shared" si="12"/>
        <v>1641.04</v>
      </c>
      <c r="Z82" s="98">
        <f t="shared" si="12"/>
        <v>1691.04</v>
      </c>
      <c r="AA82" s="98">
        <f t="shared" si="12"/>
        <v>1590.44</v>
      </c>
      <c r="AB82" s="98">
        <f t="shared" si="12"/>
        <v>1607.14</v>
      </c>
      <c r="AC82" s="98">
        <f t="shared" si="12"/>
        <v>1586.14</v>
      </c>
      <c r="AD82" s="98">
        <f t="shared" si="12"/>
        <v>1587.94</v>
      </c>
      <c r="AE82" s="98">
        <f t="shared" si="12"/>
        <v>3.54</v>
      </c>
      <c r="AF82" s="98">
        <f t="shared" si="12"/>
        <v>1496.04</v>
      </c>
      <c r="AG82" s="85"/>
      <c r="AH82" s="20">
        <f t="shared" si="9"/>
        <v>1691.04</v>
      </c>
      <c r="AI82" s="19"/>
    </row>
    <row r="83" spans="1:37" x14ac:dyDescent="0.25">
      <c r="A83" s="97" t="s">
        <v>156</v>
      </c>
      <c r="B83" s="93">
        <f>IF(B66&lt;0,B66*-1,0)</f>
        <v>0</v>
      </c>
      <c r="C83" s="93">
        <f t="shared" ref="C83:AF83" si="13">IF(C66&lt;0,C66*-1,0)</f>
        <v>0</v>
      </c>
      <c r="D83" s="93">
        <f t="shared" si="13"/>
        <v>0</v>
      </c>
      <c r="E83" s="93">
        <f t="shared" si="13"/>
        <v>0</v>
      </c>
      <c r="F83" s="93">
        <f t="shared" si="13"/>
        <v>0</v>
      </c>
      <c r="G83" s="93">
        <f t="shared" si="13"/>
        <v>0</v>
      </c>
      <c r="H83" s="93">
        <f t="shared" si="13"/>
        <v>0</v>
      </c>
      <c r="I83" s="93">
        <f t="shared" si="13"/>
        <v>0</v>
      </c>
      <c r="J83" s="93">
        <f t="shared" si="13"/>
        <v>0</v>
      </c>
      <c r="K83" s="93">
        <f t="shared" si="13"/>
        <v>0</v>
      </c>
      <c r="L83" s="93">
        <f t="shared" si="13"/>
        <v>0</v>
      </c>
      <c r="M83" s="93">
        <f t="shared" si="13"/>
        <v>0</v>
      </c>
      <c r="N83" s="93">
        <f t="shared" si="13"/>
        <v>0</v>
      </c>
      <c r="O83" s="93">
        <f t="shared" si="13"/>
        <v>0</v>
      </c>
      <c r="P83" s="93">
        <f t="shared" si="13"/>
        <v>0</v>
      </c>
      <c r="Q83" s="93">
        <f t="shared" si="13"/>
        <v>0</v>
      </c>
      <c r="R83" s="93">
        <f t="shared" si="13"/>
        <v>0</v>
      </c>
      <c r="S83" s="93">
        <f t="shared" si="13"/>
        <v>0</v>
      </c>
      <c r="T83" s="93">
        <f t="shared" si="13"/>
        <v>0</v>
      </c>
      <c r="U83" s="93">
        <f t="shared" si="13"/>
        <v>0</v>
      </c>
      <c r="V83" s="93">
        <f t="shared" si="13"/>
        <v>0</v>
      </c>
      <c r="W83" s="93">
        <f t="shared" si="13"/>
        <v>0</v>
      </c>
      <c r="X83" s="93">
        <f t="shared" si="13"/>
        <v>0</v>
      </c>
      <c r="Y83" s="93">
        <f t="shared" si="13"/>
        <v>0</v>
      </c>
      <c r="Z83" s="93">
        <f t="shared" si="13"/>
        <v>0</v>
      </c>
      <c r="AA83" s="93">
        <f t="shared" si="13"/>
        <v>0</v>
      </c>
      <c r="AB83" s="93">
        <f t="shared" si="13"/>
        <v>0</v>
      </c>
      <c r="AC83" s="93">
        <f t="shared" si="13"/>
        <v>0</v>
      </c>
      <c r="AD83" s="93">
        <f t="shared" si="13"/>
        <v>0</v>
      </c>
      <c r="AE83" s="93">
        <f t="shared" si="13"/>
        <v>0</v>
      </c>
      <c r="AF83" s="93">
        <f t="shared" si="13"/>
        <v>0</v>
      </c>
      <c r="AG83" s="96"/>
      <c r="AH83" s="20">
        <f t="shared" si="9"/>
        <v>0</v>
      </c>
      <c r="AI83" s="19">
        <f t="shared" ref="AI83:AI99" si="14">MIN(B83:AF83)</f>
        <v>0</v>
      </c>
    </row>
    <row r="84" spans="1:37" x14ac:dyDescent="0.25">
      <c r="A84" s="95" t="s">
        <v>155</v>
      </c>
      <c r="B84" s="93">
        <f>IF(B64&lt;0,B64*-1,0)</f>
        <v>0</v>
      </c>
      <c r="C84" s="93">
        <f t="shared" ref="C84:AF84" si="15">IF(C64&lt;0,C64*-1,0)</f>
        <v>0</v>
      </c>
      <c r="D84" s="93">
        <f t="shared" si="15"/>
        <v>0</v>
      </c>
      <c r="E84" s="93">
        <f t="shared" si="15"/>
        <v>0</v>
      </c>
      <c r="F84" s="93">
        <f t="shared" si="15"/>
        <v>0</v>
      </c>
      <c r="G84" s="93">
        <f t="shared" si="15"/>
        <v>0</v>
      </c>
      <c r="H84" s="93">
        <f t="shared" si="15"/>
        <v>0</v>
      </c>
      <c r="I84" s="93">
        <f t="shared" si="15"/>
        <v>0</v>
      </c>
      <c r="J84" s="93">
        <f t="shared" si="15"/>
        <v>0</v>
      </c>
      <c r="K84" s="93">
        <f t="shared" si="15"/>
        <v>0</v>
      </c>
      <c r="L84" s="93">
        <f t="shared" si="15"/>
        <v>0</v>
      </c>
      <c r="M84" s="93">
        <f t="shared" si="15"/>
        <v>0</v>
      </c>
      <c r="N84" s="93">
        <f t="shared" si="15"/>
        <v>0</v>
      </c>
      <c r="O84" s="93">
        <f t="shared" si="15"/>
        <v>0</v>
      </c>
      <c r="P84" s="93">
        <f t="shared" si="15"/>
        <v>0</v>
      </c>
      <c r="Q84" s="93">
        <f t="shared" si="15"/>
        <v>0</v>
      </c>
      <c r="R84" s="93">
        <f t="shared" si="15"/>
        <v>0</v>
      </c>
      <c r="S84" s="93">
        <f t="shared" si="15"/>
        <v>0</v>
      </c>
      <c r="T84" s="93">
        <f t="shared" si="15"/>
        <v>0</v>
      </c>
      <c r="U84" s="93">
        <f t="shared" si="15"/>
        <v>0</v>
      </c>
      <c r="V84" s="93">
        <f t="shared" si="15"/>
        <v>0</v>
      </c>
      <c r="W84" s="93">
        <f t="shared" si="15"/>
        <v>0</v>
      </c>
      <c r="X84" s="93">
        <f t="shared" si="15"/>
        <v>0</v>
      </c>
      <c r="Y84" s="93">
        <f t="shared" si="15"/>
        <v>0</v>
      </c>
      <c r="Z84" s="93">
        <f t="shared" si="15"/>
        <v>0</v>
      </c>
      <c r="AA84" s="93">
        <f t="shared" si="15"/>
        <v>0</v>
      </c>
      <c r="AB84" s="93">
        <f t="shared" si="15"/>
        <v>0</v>
      </c>
      <c r="AC84" s="93">
        <f t="shared" si="15"/>
        <v>0</v>
      </c>
      <c r="AD84" s="93">
        <f t="shared" si="15"/>
        <v>0</v>
      </c>
      <c r="AE84" s="93">
        <f t="shared" si="15"/>
        <v>0</v>
      </c>
      <c r="AF84" s="93">
        <f t="shared" si="15"/>
        <v>0</v>
      </c>
      <c r="AG84" s="94"/>
      <c r="AH84" s="20">
        <f t="shared" si="9"/>
        <v>0</v>
      </c>
      <c r="AI84" s="19">
        <f t="shared" si="14"/>
        <v>0</v>
      </c>
    </row>
    <row r="85" spans="1:37" x14ac:dyDescent="0.25">
      <c r="A85" s="91" t="s">
        <v>154</v>
      </c>
      <c r="B85" s="93">
        <f>IF(B67&lt;0,B67*-1,0)</f>
        <v>0</v>
      </c>
      <c r="C85" s="93">
        <f t="shared" ref="C85:AF85" si="16">IF(C67&lt;0,C67*-1,0)</f>
        <v>0</v>
      </c>
      <c r="D85" s="93">
        <f t="shared" si="16"/>
        <v>0</v>
      </c>
      <c r="E85" s="93">
        <f t="shared" si="16"/>
        <v>0</v>
      </c>
      <c r="F85" s="93">
        <f t="shared" si="16"/>
        <v>0</v>
      </c>
      <c r="G85" s="93">
        <f t="shared" si="16"/>
        <v>0</v>
      </c>
      <c r="H85" s="93">
        <f t="shared" si="16"/>
        <v>0</v>
      </c>
      <c r="I85" s="93">
        <f t="shared" si="16"/>
        <v>0</v>
      </c>
      <c r="J85" s="93">
        <f t="shared" si="16"/>
        <v>0</v>
      </c>
      <c r="K85" s="93">
        <f t="shared" si="16"/>
        <v>0</v>
      </c>
      <c r="L85" s="93">
        <f t="shared" si="16"/>
        <v>0</v>
      </c>
      <c r="M85" s="93">
        <f t="shared" si="16"/>
        <v>0</v>
      </c>
      <c r="N85" s="93">
        <f t="shared" si="16"/>
        <v>0</v>
      </c>
      <c r="O85" s="93">
        <f t="shared" si="16"/>
        <v>0</v>
      </c>
      <c r="P85" s="93">
        <f t="shared" si="16"/>
        <v>0</v>
      </c>
      <c r="Q85" s="93">
        <f t="shared" si="16"/>
        <v>0</v>
      </c>
      <c r="R85" s="93">
        <f t="shared" si="16"/>
        <v>0</v>
      </c>
      <c r="S85" s="93">
        <f t="shared" si="16"/>
        <v>0</v>
      </c>
      <c r="T85" s="93">
        <f t="shared" si="16"/>
        <v>0</v>
      </c>
      <c r="U85" s="93">
        <f t="shared" si="16"/>
        <v>0</v>
      </c>
      <c r="V85" s="93">
        <f t="shared" si="16"/>
        <v>0</v>
      </c>
      <c r="W85" s="93">
        <f t="shared" si="16"/>
        <v>0</v>
      </c>
      <c r="X85" s="93">
        <f t="shared" si="16"/>
        <v>0</v>
      </c>
      <c r="Y85" s="93">
        <f t="shared" si="16"/>
        <v>0</v>
      </c>
      <c r="Z85" s="93">
        <f t="shared" si="16"/>
        <v>0</v>
      </c>
      <c r="AA85" s="93">
        <f t="shared" si="16"/>
        <v>0</v>
      </c>
      <c r="AB85" s="93">
        <f t="shared" si="16"/>
        <v>0</v>
      </c>
      <c r="AC85" s="93">
        <f t="shared" si="16"/>
        <v>0</v>
      </c>
      <c r="AD85" s="93">
        <f t="shared" si="16"/>
        <v>0</v>
      </c>
      <c r="AE85" s="93">
        <f t="shared" si="16"/>
        <v>0</v>
      </c>
      <c r="AF85" s="93">
        <f t="shared" si="16"/>
        <v>0</v>
      </c>
      <c r="AG85" s="92"/>
      <c r="AH85" s="20">
        <f t="shared" si="9"/>
        <v>0</v>
      </c>
      <c r="AI85" s="19">
        <f t="shared" si="14"/>
        <v>0</v>
      </c>
    </row>
    <row r="86" spans="1:37" x14ac:dyDescent="0.25">
      <c r="A86" s="91" t="s">
        <v>153</v>
      </c>
      <c r="B86" s="93">
        <f>IF(B65&lt;0,B65*-1,0)</f>
        <v>394</v>
      </c>
      <c r="C86" s="93">
        <f t="shared" ref="C86:AF86" si="17">IF(C65&lt;0,C65*-1,0)</f>
        <v>402.1</v>
      </c>
      <c r="D86" s="93">
        <f t="shared" si="17"/>
        <v>365</v>
      </c>
      <c r="E86" s="93">
        <f t="shared" si="17"/>
        <v>429</v>
      </c>
      <c r="F86" s="93">
        <f t="shared" si="17"/>
        <v>433.7</v>
      </c>
      <c r="G86" s="93">
        <f t="shared" si="17"/>
        <v>417</v>
      </c>
      <c r="H86" s="93">
        <f t="shared" si="17"/>
        <v>415</v>
      </c>
      <c r="I86" s="93">
        <f t="shared" si="17"/>
        <v>438</v>
      </c>
      <c r="J86" s="93">
        <f t="shared" si="17"/>
        <v>426.7</v>
      </c>
      <c r="K86" s="93">
        <f t="shared" si="17"/>
        <v>389</v>
      </c>
      <c r="L86" s="93">
        <f t="shared" si="17"/>
        <v>403.5</v>
      </c>
      <c r="M86" s="93">
        <f t="shared" si="17"/>
        <v>379.3</v>
      </c>
      <c r="N86" s="93">
        <f t="shared" si="17"/>
        <v>414</v>
      </c>
      <c r="O86" s="93">
        <f t="shared" si="17"/>
        <v>321</v>
      </c>
      <c r="P86" s="93">
        <f t="shared" si="17"/>
        <v>371.9</v>
      </c>
      <c r="Q86" s="93">
        <f t="shared" si="17"/>
        <v>332.8</v>
      </c>
      <c r="R86" s="93">
        <f t="shared" si="17"/>
        <v>0</v>
      </c>
      <c r="S86" s="93">
        <f t="shared" si="17"/>
        <v>332.8</v>
      </c>
      <c r="T86" s="93">
        <f t="shared" si="17"/>
        <v>323</v>
      </c>
      <c r="U86" s="93">
        <f t="shared" si="17"/>
        <v>318</v>
      </c>
      <c r="V86" s="93">
        <f t="shared" si="17"/>
        <v>350</v>
      </c>
      <c r="W86" s="93">
        <f t="shared" si="17"/>
        <v>300</v>
      </c>
      <c r="X86" s="93">
        <f t="shared" si="17"/>
        <v>260</v>
      </c>
      <c r="Y86" s="93">
        <f t="shared" si="17"/>
        <v>117</v>
      </c>
      <c r="Z86" s="93">
        <f t="shared" si="17"/>
        <v>117</v>
      </c>
      <c r="AA86" s="93">
        <f t="shared" si="17"/>
        <v>201</v>
      </c>
      <c r="AB86" s="93">
        <f t="shared" si="17"/>
        <v>287</v>
      </c>
      <c r="AC86" s="93">
        <f t="shared" si="17"/>
        <v>297</v>
      </c>
      <c r="AD86" s="93">
        <f t="shared" si="17"/>
        <v>296</v>
      </c>
      <c r="AE86" s="93">
        <f t="shared" si="17"/>
        <v>0</v>
      </c>
      <c r="AF86" s="93">
        <f t="shared" si="17"/>
        <v>377</v>
      </c>
      <c r="AG86" s="92"/>
      <c r="AH86" s="20">
        <f t="shared" si="9"/>
        <v>438</v>
      </c>
      <c r="AI86" s="19">
        <f t="shared" si="14"/>
        <v>0</v>
      </c>
    </row>
    <row r="87" spans="1:37" x14ac:dyDescent="0.25">
      <c r="A87" s="91" t="s">
        <v>152</v>
      </c>
      <c r="B87" s="93">
        <f>IF(B63&lt;0,B63*-1,0)</f>
        <v>0</v>
      </c>
      <c r="C87" s="93">
        <f t="shared" ref="C87:AF87" si="18">IF(C63&lt;0,C63*-1,0)</f>
        <v>0</v>
      </c>
      <c r="D87" s="93">
        <f t="shared" si="18"/>
        <v>0</v>
      </c>
      <c r="E87" s="93">
        <f t="shared" si="18"/>
        <v>0</v>
      </c>
      <c r="F87" s="93">
        <f t="shared" si="18"/>
        <v>0</v>
      </c>
      <c r="G87" s="93">
        <f t="shared" si="18"/>
        <v>0</v>
      </c>
      <c r="H87" s="93">
        <f t="shared" si="18"/>
        <v>0</v>
      </c>
      <c r="I87" s="93">
        <f t="shared" si="18"/>
        <v>0</v>
      </c>
      <c r="J87" s="93">
        <f t="shared" si="18"/>
        <v>0</v>
      </c>
      <c r="K87" s="93">
        <f t="shared" si="18"/>
        <v>0</v>
      </c>
      <c r="L87" s="93">
        <f t="shared" si="18"/>
        <v>0</v>
      </c>
      <c r="M87" s="93">
        <f t="shared" si="18"/>
        <v>0</v>
      </c>
      <c r="N87" s="93">
        <f t="shared" si="18"/>
        <v>0</v>
      </c>
      <c r="O87" s="93">
        <f t="shared" si="18"/>
        <v>0</v>
      </c>
      <c r="P87" s="93">
        <f t="shared" si="18"/>
        <v>0</v>
      </c>
      <c r="Q87" s="93">
        <f t="shared" si="18"/>
        <v>0</v>
      </c>
      <c r="R87" s="93">
        <f t="shared" si="18"/>
        <v>0</v>
      </c>
      <c r="S87" s="93">
        <f t="shared" si="18"/>
        <v>0</v>
      </c>
      <c r="T87" s="93">
        <f t="shared" si="18"/>
        <v>0</v>
      </c>
      <c r="U87" s="93">
        <f t="shared" si="18"/>
        <v>0</v>
      </c>
      <c r="V87" s="93">
        <f t="shared" si="18"/>
        <v>0</v>
      </c>
      <c r="W87" s="93">
        <f t="shared" si="18"/>
        <v>0</v>
      </c>
      <c r="X87" s="93">
        <f t="shared" si="18"/>
        <v>0</v>
      </c>
      <c r="Y87" s="93">
        <f t="shared" si="18"/>
        <v>0</v>
      </c>
      <c r="Z87" s="93">
        <f t="shared" si="18"/>
        <v>0</v>
      </c>
      <c r="AA87" s="93">
        <f t="shared" si="18"/>
        <v>0</v>
      </c>
      <c r="AB87" s="93">
        <f t="shared" si="18"/>
        <v>0</v>
      </c>
      <c r="AC87" s="93">
        <f t="shared" si="18"/>
        <v>0</v>
      </c>
      <c r="AD87" s="93">
        <f t="shared" si="18"/>
        <v>0</v>
      </c>
      <c r="AE87" s="93">
        <f t="shared" si="18"/>
        <v>0</v>
      </c>
      <c r="AF87" s="93">
        <f t="shared" si="18"/>
        <v>0</v>
      </c>
      <c r="AG87" s="92"/>
      <c r="AH87" s="20">
        <f t="shared" si="9"/>
        <v>0</v>
      </c>
      <c r="AI87" s="19">
        <f t="shared" si="14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9"/>
        <v>0</v>
      </c>
      <c r="AI88" s="19">
        <f t="shared" si="14"/>
        <v>0</v>
      </c>
    </row>
    <row r="89" spans="1:37" ht="15.75" thickBot="1" x14ac:dyDescent="0.3">
      <c r="A89" s="88" t="s">
        <v>150</v>
      </c>
      <c r="B89" s="86">
        <f>SUM(B83:B88)</f>
        <v>394</v>
      </c>
      <c r="C89" s="86">
        <f t="shared" ref="C89:AF89" si="19">SUM(C83:C88)</f>
        <v>402.1</v>
      </c>
      <c r="D89" s="86">
        <f t="shared" si="19"/>
        <v>365</v>
      </c>
      <c r="E89" s="86">
        <f t="shared" si="19"/>
        <v>429</v>
      </c>
      <c r="F89" s="86">
        <f t="shared" si="19"/>
        <v>433.7</v>
      </c>
      <c r="G89" s="86">
        <f t="shared" si="19"/>
        <v>417</v>
      </c>
      <c r="H89" s="86">
        <f t="shared" si="19"/>
        <v>415</v>
      </c>
      <c r="I89" s="86">
        <f t="shared" si="19"/>
        <v>438</v>
      </c>
      <c r="J89" s="86">
        <f t="shared" si="19"/>
        <v>426.7</v>
      </c>
      <c r="K89" s="86">
        <f t="shared" si="19"/>
        <v>389</v>
      </c>
      <c r="L89" s="86">
        <f t="shared" si="19"/>
        <v>403.5</v>
      </c>
      <c r="M89" s="86">
        <f t="shared" si="19"/>
        <v>379.3</v>
      </c>
      <c r="N89" s="86">
        <f t="shared" si="19"/>
        <v>414</v>
      </c>
      <c r="O89" s="86">
        <f t="shared" si="19"/>
        <v>321</v>
      </c>
      <c r="P89" s="86">
        <f t="shared" si="19"/>
        <v>371.9</v>
      </c>
      <c r="Q89" s="86">
        <f t="shared" si="19"/>
        <v>332.8</v>
      </c>
      <c r="R89" s="86">
        <f t="shared" si="19"/>
        <v>0</v>
      </c>
      <c r="S89" s="86">
        <f t="shared" si="19"/>
        <v>332.8</v>
      </c>
      <c r="T89" s="86">
        <f t="shared" si="19"/>
        <v>323</v>
      </c>
      <c r="U89" s="86">
        <f t="shared" si="19"/>
        <v>318</v>
      </c>
      <c r="V89" s="86">
        <f t="shared" si="19"/>
        <v>350</v>
      </c>
      <c r="W89" s="86">
        <f t="shared" si="19"/>
        <v>300</v>
      </c>
      <c r="X89" s="86">
        <f t="shared" si="19"/>
        <v>260</v>
      </c>
      <c r="Y89" s="86">
        <f t="shared" si="19"/>
        <v>117</v>
      </c>
      <c r="Z89" s="86">
        <f t="shared" si="19"/>
        <v>117</v>
      </c>
      <c r="AA89" s="86">
        <f t="shared" si="19"/>
        <v>201</v>
      </c>
      <c r="AB89" s="86">
        <f t="shared" si="19"/>
        <v>287</v>
      </c>
      <c r="AC89" s="86">
        <f t="shared" si="19"/>
        <v>297</v>
      </c>
      <c r="AD89" s="86">
        <f t="shared" si="19"/>
        <v>296</v>
      </c>
      <c r="AE89" s="86">
        <f t="shared" si="19"/>
        <v>0</v>
      </c>
      <c r="AF89" s="86">
        <f t="shared" si="19"/>
        <v>377</v>
      </c>
      <c r="AG89" s="85"/>
      <c r="AH89" s="20">
        <f t="shared" si="9"/>
        <v>438</v>
      </c>
      <c r="AI89" s="19">
        <f t="shared" si="14"/>
        <v>0</v>
      </c>
      <c r="AK89" s="41"/>
    </row>
    <row r="90" spans="1:37" ht="15.75" thickBot="1" x14ac:dyDescent="0.3">
      <c r="A90" s="87" t="s">
        <v>149</v>
      </c>
      <c r="B90" s="86">
        <f>B74-B89</f>
        <v>-390</v>
      </c>
      <c r="C90" s="86">
        <f t="shared" ref="C90:AF90" si="20">C74-C89</f>
        <v>-398.1</v>
      </c>
      <c r="D90" s="86">
        <f t="shared" si="20"/>
        <v>-361</v>
      </c>
      <c r="E90" s="86">
        <f t="shared" si="20"/>
        <v>-429</v>
      </c>
      <c r="F90" s="86">
        <f t="shared" si="20"/>
        <v>-433.7</v>
      </c>
      <c r="G90" s="86">
        <f t="shared" si="20"/>
        <v>-417</v>
      </c>
      <c r="H90" s="86">
        <f t="shared" si="20"/>
        <v>-415</v>
      </c>
      <c r="I90" s="86">
        <f t="shared" si="20"/>
        <v>-438</v>
      </c>
      <c r="J90" s="86">
        <f t="shared" si="20"/>
        <v>-426.7</v>
      </c>
      <c r="K90" s="86">
        <f t="shared" si="20"/>
        <v>-389</v>
      </c>
      <c r="L90" s="86">
        <f t="shared" si="20"/>
        <v>-403.5</v>
      </c>
      <c r="M90" s="86">
        <f t="shared" si="20"/>
        <v>-379.3</v>
      </c>
      <c r="N90" s="86">
        <f t="shared" si="20"/>
        <v>-414</v>
      </c>
      <c r="O90" s="86">
        <f t="shared" si="20"/>
        <v>-321</v>
      </c>
      <c r="P90" s="86">
        <f t="shared" si="20"/>
        <v>-371.9</v>
      </c>
      <c r="Q90" s="86">
        <f t="shared" si="20"/>
        <v>-332.8</v>
      </c>
      <c r="R90" s="86">
        <f t="shared" si="20"/>
        <v>0</v>
      </c>
      <c r="S90" s="86">
        <f t="shared" si="20"/>
        <v>-332.8</v>
      </c>
      <c r="T90" s="86">
        <f t="shared" si="20"/>
        <v>-323</v>
      </c>
      <c r="U90" s="86">
        <f t="shared" si="20"/>
        <v>-313.7</v>
      </c>
      <c r="V90" s="86">
        <f t="shared" si="20"/>
        <v>-345.7</v>
      </c>
      <c r="W90" s="86">
        <f t="shared" si="20"/>
        <v>-295.7</v>
      </c>
      <c r="X90" s="86">
        <f t="shared" si="20"/>
        <v>-255.7</v>
      </c>
      <c r="Y90" s="86">
        <f t="shared" si="20"/>
        <v>-112.7</v>
      </c>
      <c r="Z90" s="86">
        <f t="shared" si="20"/>
        <v>-112.7</v>
      </c>
      <c r="AA90" s="86">
        <f t="shared" si="20"/>
        <v>-196.7</v>
      </c>
      <c r="AB90" s="86">
        <f t="shared" si="20"/>
        <v>-241.5</v>
      </c>
      <c r="AC90" s="86">
        <f t="shared" si="20"/>
        <v>-251.5</v>
      </c>
      <c r="AD90" s="86">
        <f t="shared" si="20"/>
        <v>-250.5</v>
      </c>
      <c r="AE90" s="86">
        <f t="shared" si="20"/>
        <v>0</v>
      </c>
      <c r="AF90" s="86">
        <f t="shared" si="20"/>
        <v>-316.5</v>
      </c>
      <c r="AG90" s="85"/>
      <c r="AH90" s="20">
        <f t="shared" si="9"/>
        <v>0</v>
      </c>
      <c r="AI90" s="19">
        <f t="shared" si="14"/>
        <v>-438</v>
      </c>
    </row>
    <row r="91" spans="1:37" x14ac:dyDescent="0.25">
      <c r="A91" s="47" t="s">
        <v>148</v>
      </c>
      <c r="B91" s="84">
        <v>49.97</v>
      </c>
      <c r="C91" s="84">
        <v>50</v>
      </c>
      <c r="D91" s="84">
        <v>49.97</v>
      </c>
      <c r="E91" s="84">
        <v>49.987000000000002</v>
      </c>
      <c r="F91" s="84">
        <v>50.040999999999997</v>
      </c>
      <c r="G91" s="84">
        <v>49.98</v>
      </c>
      <c r="H91" s="84">
        <v>49.970999999999997</v>
      </c>
      <c r="I91" s="84">
        <v>50.014000000000003</v>
      </c>
      <c r="J91" s="84">
        <v>50.018000000000001</v>
      </c>
      <c r="K91" s="84">
        <v>49.999000000000002</v>
      </c>
      <c r="L91" s="84">
        <v>50.024999999999999</v>
      </c>
      <c r="M91" s="84">
        <v>50.048999999999999</v>
      </c>
      <c r="N91" s="84">
        <v>50.078000000000003</v>
      </c>
      <c r="O91" s="84">
        <v>50.082999999999998</v>
      </c>
      <c r="P91" s="84">
        <v>50.005000000000003</v>
      </c>
      <c r="Q91" s="84">
        <v>49.963000000000001</v>
      </c>
      <c r="R91" s="84"/>
      <c r="S91" s="84">
        <v>49.98</v>
      </c>
      <c r="T91" s="84">
        <v>50.01</v>
      </c>
      <c r="U91" s="84">
        <v>49.99</v>
      </c>
      <c r="V91" s="84">
        <v>49.939</v>
      </c>
      <c r="W91" s="84">
        <v>49.908000000000001</v>
      </c>
      <c r="X91" s="84">
        <v>49.75</v>
      </c>
      <c r="Y91" s="84">
        <v>49.83</v>
      </c>
      <c r="Z91" s="84">
        <v>49.83</v>
      </c>
      <c r="AA91" s="84">
        <v>50.045000000000002</v>
      </c>
      <c r="AB91" s="84">
        <v>50.024999999999999</v>
      </c>
      <c r="AC91" s="84">
        <v>50.01</v>
      </c>
      <c r="AD91" s="84">
        <v>50.04</v>
      </c>
      <c r="AE91" s="84"/>
      <c r="AF91" s="84">
        <v>50.045999999999999</v>
      </c>
      <c r="AG91" s="83"/>
      <c r="AH91" s="20">
        <f t="shared" si="9"/>
        <v>50.082999999999998</v>
      </c>
      <c r="AI91" s="19">
        <f t="shared" si="14"/>
        <v>49.75</v>
      </c>
    </row>
    <row r="92" spans="1:37" x14ac:dyDescent="0.25">
      <c r="A92" s="44" t="s">
        <v>147</v>
      </c>
      <c r="B92" s="80">
        <v>122.5</v>
      </c>
      <c r="C92" s="80">
        <v>123.6</v>
      </c>
      <c r="D92" s="80">
        <v>125.4</v>
      </c>
      <c r="E92" s="80">
        <v>125.4</v>
      </c>
      <c r="F92" s="80">
        <v>125.4</v>
      </c>
      <c r="G92" s="80">
        <v>125.4</v>
      </c>
      <c r="H92" s="80">
        <v>125.4</v>
      </c>
      <c r="I92" s="80">
        <v>125.3</v>
      </c>
      <c r="J92" s="80">
        <v>123.8</v>
      </c>
      <c r="K92" s="80">
        <v>122.5</v>
      </c>
      <c r="L92" s="80">
        <v>120.7</v>
      </c>
      <c r="M92" s="80">
        <v>121.8</v>
      </c>
      <c r="N92" s="80">
        <v>122.5</v>
      </c>
      <c r="O92" s="80">
        <v>120</v>
      </c>
      <c r="P92" s="80">
        <v>120</v>
      </c>
      <c r="Q92" s="80">
        <v>119.6</v>
      </c>
      <c r="R92" s="80"/>
      <c r="S92" s="80">
        <v>121.6</v>
      </c>
      <c r="T92" s="80">
        <v>122.8</v>
      </c>
      <c r="U92" s="80">
        <v>121.2</v>
      </c>
      <c r="V92" s="80">
        <v>122.1</v>
      </c>
      <c r="W92" s="80">
        <v>122.2</v>
      </c>
      <c r="X92" s="80">
        <v>120.3</v>
      </c>
      <c r="Y92" s="80">
        <v>120.7</v>
      </c>
      <c r="Z92" s="80">
        <v>120.7</v>
      </c>
      <c r="AA92" s="80">
        <v>124.3</v>
      </c>
      <c r="AB92" s="80">
        <v>125.2</v>
      </c>
      <c r="AC92" s="80">
        <v>124.6</v>
      </c>
      <c r="AD92" s="80">
        <v>125.2</v>
      </c>
      <c r="AE92" s="80"/>
      <c r="AF92" s="80">
        <v>120.7</v>
      </c>
      <c r="AG92" s="79"/>
      <c r="AH92" s="20">
        <f t="shared" si="9"/>
        <v>125.4</v>
      </c>
      <c r="AI92" s="19">
        <f t="shared" si="14"/>
        <v>119.6</v>
      </c>
    </row>
    <row r="93" spans="1:37" x14ac:dyDescent="0.25">
      <c r="A93" s="44" t="s">
        <v>146</v>
      </c>
      <c r="B93" s="80">
        <v>127.5</v>
      </c>
      <c r="C93" s="80">
        <v>128.4</v>
      </c>
      <c r="D93" s="80">
        <v>129.69999999999999</v>
      </c>
      <c r="E93" s="80">
        <v>130</v>
      </c>
      <c r="F93" s="80">
        <v>130</v>
      </c>
      <c r="G93" s="80">
        <v>129.6</v>
      </c>
      <c r="H93" s="80">
        <v>129.6</v>
      </c>
      <c r="I93" s="80">
        <v>128.5</v>
      </c>
      <c r="J93" s="80">
        <v>127.1</v>
      </c>
      <c r="K93" s="80">
        <v>126</v>
      </c>
      <c r="L93" s="80">
        <v>124.1</v>
      </c>
      <c r="M93" s="80">
        <v>125.5</v>
      </c>
      <c r="N93" s="80">
        <v>126.1</v>
      </c>
      <c r="O93" s="80">
        <v>123.9</v>
      </c>
      <c r="P93" s="80">
        <v>124</v>
      </c>
      <c r="Q93" s="80">
        <v>123.7</v>
      </c>
      <c r="R93" s="80"/>
      <c r="S93" s="80">
        <v>125.6</v>
      </c>
      <c r="T93" s="80">
        <v>126.1</v>
      </c>
      <c r="U93" s="80">
        <v>125.1</v>
      </c>
      <c r="V93" s="80">
        <v>125.6</v>
      </c>
      <c r="W93" s="80">
        <v>125.8</v>
      </c>
      <c r="X93" s="80">
        <v>124.4</v>
      </c>
      <c r="Y93" s="80">
        <v>124.2</v>
      </c>
      <c r="Z93" s="80">
        <v>124.2</v>
      </c>
      <c r="AA93" s="80">
        <v>127.8</v>
      </c>
      <c r="AB93" s="80">
        <v>131.4</v>
      </c>
      <c r="AC93" s="80">
        <v>128.4</v>
      </c>
      <c r="AD93" s="80">
        <v>129</v>
      </c>
      <c r="AE93" s="80"/>
      <c r="AF93" s="80">
        <v>127.6</v>
      </c>
      <c r="AG93" s="79"/>
      <c r="AH93" s="20">
        <f t="shared" si="9"/>
        <v>131.4</v>
      </c>
      <c r="AI93" s="19">
        <f t="shared" si="14"/>
        <v>123.7</v>
      </c>
    </row>
    <row r="94" spans="1:37" x14ac:dyDescent="0.25">
      <c r="A94" s="44" t="s">
        <v>145</v>
      </c>
      <c r="B94" s="80">
        <v>128.30000000000001</v>
      </c>
      <c r="C94" s="80">
        <v>129.30000000000001</v>
      </c>
      <c r="D94" s="80">
        <v>130.80000000000001</v>
      </c>
      <c r="E94" s="80">
        <v>128.69999999999999</v>
      </c>
      <c r="F94" s="80">
        <v>128.69999999999999</v>
      </c>
      <c r="G94" s="80">
        <v>129.9</v>
      </c>
      <c r="H94" s="80">
        <v>129.9</v>
      </c>
      <c r="I94" s="80">
        <v>129.69999999999999</v>
      </c>
      <c r="J94" s="80">
        <v>127.3</v>
      </c>
      <c r="K94" s="80">
        <v>126.6</v>
      </c>
      <c r="L94" s="80">
        <v>126.3</v>
      </c>
      <c r="M94" s="80">
        <v>127.3</v>
      </c>
      <c r="N94" s="80">
        <v>128.19999999999999</v>
      </c>
      <c r="O94" s="80">
        <v>128.80000000000001</v>
      </c>
      <c r="P94" s="80">
        <v>126.5</v>
      </c>
      <c r="Q94" s="80">
        <v>128.9</v>
      </c>
      <c r="R94" s="80"/>
      <c r="S94" s="80">
        <v>127.8</v>
      </c>
      <c r="T94" s="80">
        <v>129</v>
      </c>
      <c r="U94" s="80">
        <v>129</v>
      </c>
      <c r="V94" s="80">
        <v>130.5</v>
      </c>
      <c r="W94" s="80">
        <v>129.80000000000001</v>
      </c>
      <c r="X94" s="80">
        <v>128.6</v>
      </c>
      <c r="Y94" s="80">
        <v>126.6</v>
      </c>
      <c r="Z94" s="80">
        <v>126.6</v>
      </c>
      <c r="AA94" s="80">
        <v>128.19999999999999</v>
      </c>
      <c r="AB94" s="80">
        <v>128.6</v>
      </c>
      <c r="AC94" s="80">
        <v>128</v>
      </c>
      <c r="AD94" s="80">
        <v>129.19999999999999</v>
      </c>
      <c r="AE94" s="80"/>
      <c r="AF94" s="80">
        <v>128</v>
      </c>
      <c r="AG94" s="79"/>
      <c r="AH94" s="20">
        <f t="shared" si="9"/>
        <v>130.80000000000001</v>
      </c>
      <c r="AI94" s="19">
        <f t="shared" si="14"/>
        <v>126.3</v>
      </c>
    </row>
    <row r="95" spans="1:37" x14ac:dyDescent="0.25">
      <c r="A95" s="82" t="s">
        <v>144</v>
      </c>
      <c r="B95" s="80">
        <v>131.5</v>
      </c>
      <c r="C95" s="80">
        <v>130.19999999999999</v>
      </c>
      <c r="D95" s="80">
        <v>132.69999999999999</v>
      </c>
      <c r="E95" s="80">
        <v>132.19999999999999</v>
      </c>
      <c r="F95" s="80">
        <v>132.19999999999999</v>
      </c>
      <c r="G95" s="80">
        <v>133</v>
      </c>
      <c r="H95" s="80">
        <v>133</v>
      </c>
      <c r="I95" s="80">
        <v>127.5</v>
      </c>
      <c r="J95" s="80">
        <v>130.1</v>
      </c>
      <c r="K95" s="80">
        <v>130.30000000000001</v>
      </c>
      <c r="L95" s="80">
        <v>129.4</v>
      </c>
      <c r="M95" s="80">
        <v>131.1</v>
      </c>
      <c r="N95" s="80">
        <v>131.69999999999999</v>
      </c>
      <c r="O95" s="80">
        <v>130.5</v>
      </c>
      <c r="P95" s="80">
        <v>128.30000000000001</v>
      </c>
      <c r="Q95" s="80">
        <v>130</v>
      </c>
      <c r="R95" s="80"/>
      <c r="S95" s="80">
        <v>128.9</v>
      </c>
      <c r="T95" s="80">
        <v>129.6</v>
      </c>
      <c r="U95" s="80">
        <v>129.6</v>
      </c>
      <c r="V95" s="80">
        <v>132.80000000000001</v>
      </c>
      <c r="W95" s="80">
        <v>131.30000000000001</v>
      </c>
      <c r="X95" s="80">
        <v>131.4</v>
      </c>
      <c r="Y95" s="80">
        <v>128.6</v>
      </c>
      <c r="Z95" s="80">
        <v>128.6</v>
      </c>
      <c r="AA95" s="80">
        <v>130.30000000000001</v>
      </c>
      <c r="AB95" s="80">
        <v>134.1</v>
      </c>
      <c r="AC95" s="80">
        <v>131.4</v>
      </c>
      <c r="AD95" s="80">
        <v>132.6</v>
      </c>
      <c r="AE95" s="80"/>
      <c r="AF95" s="80">
        <v>131</v>
      </c>
      <c r="AG95" s="79"/>
      <c r="AH95" s="20">
        <f t="shared" si="9"/>
        <v>134.1</v>
      </c>
      <c r="AI95" s="19">
        <f t="shared" si="14"/>
        <v>127.5</v>
      </c>
    </row>
    <row r="96" spans="1:37" x14ac:dyDescent="0.25">
      <c r="A96" s="82" t="s">
        <v>143</v>
      </c>
      <c r="B96" s="66">
        <v>131.4</v>
      </c>
      <c r="C96" s="66">
        <v>132.4</v>
      </c>
      <c r="D96" s="66">
        <v>132.30000000000001</v>
      </c>
      <c r="E96" s="66">
        <v>132.9</v>
      </c>
      <c r="F96" s="66">
        <v>132.9</v>
      </c>
      <c r="G96" s="66">
        <v>132.69999999999999</v>
      </c>
      <c r="H96" s="66">
        <v>132.69999999999999</v>
      </c>
      <c r="I96" s="66">
        <v>133.80000000000001</v>
      </c>
      <c r="J96" s="66">
        <v>133.4</v>
      </c>
      <c r="K96" s="66">
        <v>134.5</v>
      </c>
      <c r="L96" s="66">
        <v>132.1</v>
      </c>
      <c r="M96" s="66">
        <v>130</v>
      </c>
      <c r="N96" s="66">
        <v>132.9</v>
      </c>
      <c r="O96" s="66">
        <v>132.5</v>
      </c>
      <c r="P96" s="66">
        <v>134.4</v>
      </c>
      <c r="Q96" s="66">
        <v>133.5</v>
      </c>
      <c r="R96" s="66"/>
      <c r="S96" s="66">
        <v>132.1</v>
      </c>
      <c r="T96" s="66">
        <v>134.1</v>
      </c>
      <c r="U96" s="66">
        <v>134.1</v>
      </c>
      <c r="V96" s="66">
        <v>136.19999999999999</v>
      </c>
      <c r="W96" s="66">
        <v>133.80000000000001</v>
      </c>
      <c r="X96" s="66">
        <v>132.69999999999999</v>
      </c>
      <c r="Y96" s="66">
        <v>131.80000000000001</v>
      </c>
      <c r="Z96" s="66">
        <v>131.80000000000001</v>
      </c>
      <c r="AA96" s="66">
        <v>130.9</v>
      </c>
      <c r="AB96" s="66">
        <v>137.9</v>
      </c>
      <c r="AC96" s="66">
        <v>129.69999999999999</v>
      </c>
      <c r="AD96" s="66">
        <v>134.1</v>
      </c>
      <c r="AE96" s="66"/>
      <c r="AF96" s="66">
        <v>129</v>
      </c>
      <c r="AG96" s="81"/>
      <c r="AH96" s="20">
        <f t="shared" si="9"/>
        <v>137.9</v>
      </c>
      <c r="AI96" s="19">
        <f t="shared" si="14"/>
        <v>129</v>
      </c>
    </row>
    <row r="97" spans="1:37" x14ac:dyDescent="0.25">
      <c r="A97" s="44" t="s">
        <v>142</v>
      </c>
      <c r="B97" s="80">
        <v>126.9</v>
      </c>
      <c r="C97" s="80">
        <v>132.1</v>
      </c>
      <c r="D97" s="80">
        <v>132.5</v>
      </c>
      <c r="E97" s="80">
        <v>133.1</v>
      </c>
      <c r="F97" s="80">
        <v>133.1</v>
      </c>
      <c r="G97" s="80">
        <v>133.9</v>
      </c>
      <c r="H97" s="80">
        <v>133.9</v>
      </c>
      <c r="I97" s="80">
        <v>135.1</v>
      </c>
      <c r="J97" s="80">
        <v>134.5</v>
      </c>
      <c r="K97" s="80">
        <v>134.6</v>
      </c>
      <c r="L97" s="80">
        <v>131.30000000000001</v>
      </c>
      <c r="M97" s="80">
        <v>128.30000000000001</v>
      </c>
      <c r="N97" s="80">
        <v>129.19999999999999</v>
      </c>
      <c r="O97" s="80">
        <v>131</v>
      </c>
      <c r="P97" s="80">
        <v>132.5</v>
      </c>
      <c r="Q97" s="80">
        <v>132.1</v>
      </c>
      <c r="R97" s="80"/>
      <c r="S97" s="80">
        <v>128.19999999999999</v>
      </c>
      <c r="T97" s="80">
        <v>132.69999999999999</v>
      </c>
      <c r="U97" s="80">
        <v>132.69999999999999</v>
      </c>
      <c r="V97" s="80">
        <v>132.6</v>
      </c>
      <c r="W97" s="80">
        <v>130.6</v>
      </c>
      <c r="X97" s="80">
        <v>137</v>
      </c>
      <c r="Y97" s="80">
        <v>138</v>
      </c>
      <c r="Z97" s="80">
        <v>138</v>
      </c>
      <c r="AA97" s="80">
        <v>135.1</v>
      </c>
      <c r="AB97" s="80">
        <v>135.6</v>
      </c>
      <c r="AC97" s="80"/>
      <c r="AD97" s="80"/>
      <c r="AE97" s="80"/>
      <c r="AF97" s="80">
        <v>129</v>
      </c>
      <c r="AG97" s="79"/>
      <c r="AH97" s="20">
        <f t="shared" si="9"/>
        <v>138</v>
      </c>
      <c r="AI97" s="19">
        <f t="shared" si="14"/>
        <v>126.9</v>
      </c>
    </row>
    <row r="98" spans="1:37" ht="15.75" thickBot="1" x14ac:dyDescent="0.3">
      <c r="A98" s="44" t="s">
        <v>141</v>
      </c>
      <c r="B98" s="77">
        <v>64.3</v>
      </c>
      <c r="C98" s="77">
        <v>65.099999999999994</v>
      </c>
      <c r="D98" s="77">
        <v>65.400000000000006</v>
      </c>
      <c r="E98" s="77">
        <v>65.5</v>
      </c>
      <c r="F98" s="77">
        <v>65.5</v>
      </c>
      <c r="G98" s="77">
        <v>65.400000000000006</v>
      </c>
      <c r="H98" s="77">
        <v>65.3</v>
      </c>
      <c r="I98" s="77">
        <v>64.5</v>
      </c>
      <c r="J98" s="77">
        <v>64</v>
      </c>
      <c r="K98" s="77">
        <v>63.9</v>
      </c>
      <c r="L98" s="77">
        <v>62.8</v>
      </c>
      <c r="M98" s="77">
        <v>63.6</v>
      </c>
      <c r="N98" s="77">
        <v>63.5</v>
      </c>
      <c r="O98" s="77">
        <v>62.3</v>
      </c>
      <c r="P98" s="77">
        <v>62.3</v>
      </c>
      <c r="Q98" s="77">
        <v>62.2</v>
      </c>
      <c r="R98" s="77"/>
      <c r="S98" s="77">
        <v>62.2</v>
      </c>
      <c r="T98" s="77">
        <v>62.2</v>
      </c>
      <c r="U98" s="77">
        <v>62.2</v>
      </c>
      <c r="V98" s="77">
        <v>63.3</v>
      </c>
      <c r="W98" s="77">
        <v>63.5</v>
      </c>
      <c r="X98" s="77">
        <v>62.9</v>
      </c>
      <c r="Y98" s="77">
        <v>62.9</v>
      </c>
      <c r="Z98" s="77">
        <v>62.9</v>
      </c>
      <c r="AA98" s="77">
        <v>64.599999999999994</v>
      </c>
      <c r="AB98" s="77">
        <v>65.2</v>
      </c>
      <c r="AC98" s="77">
        <v>64.900000000000006</v>
      </c>
      <c r="AD98" s="77">
        <v>65.2</v>
      </c>
      <c r="AE98" s="77"/>
      <c r="AF98" s="77">
        <v>65</v>
      </c>
      <c r="AG98" s="76"/>
      <c r="AH98" s="20">
        <f t="shared" si="9"/>
        <v>65.5</v>
      </c>
      <c r="AI98" s="19">
        <f t="shared" si="14"/>
        <v>62.2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9"/>
        <v>0</v>
      </c>
      <c r="AI99" s="19">
        <f t="shared" si="14"/>
        <v>0</v>
      </c>
    </row>
    <row r="100" spans="1:37" ht="15.75" thickBot="1" x14ac:dyDescent="0.3">
      <c r="A100" s="75" t="s">
        <v>140</v>
      </c>
      <c r="B100" s="74">
        <f>SUM(B15,B19,B22:B23,B48,B50:B51,B53,B55,B101:B105,B127,B133,B139,B148,B150,B162,B169,B172:B173,B180,B182,B184,B188:B190,B192:B194,B199,B205:B206,B208:B210,B218,B223)</f>
        <v>48.500000000000057</v>
      </c>
      <c r="C100" s="74">
        <f t="shared" ref="C100:AF100" si="21">SUM(C15,C19,C22:C23,C48,C50:C51,C53,C55,C101:C105,C127,C133,C139,C148,C150,C162,C169,C172:C173,C180,C182,C184,C188:C190,C192:C194,C199,C205:C206,C208:C210,C218,C223)</f>
        <v>50.040000000000028</v>
      </c>
      <c r="D100" s="74">
        <f t="shared" si="21"/>
        <v>42.140000000000015</v>
      </c>
      <c r="E100" s="74">
        <f t="shared" si="21"/>
        <v>41.340000000000018</v>
      </c>
      <c r="F100" s="74">
        <f t="shared" si="21"/>
        <v>39.54000000000002</v>
      </c>
      <c r="G100" s="74">
        <f t="shared" si="21"/>
        <v>67.039999999999978</v>
      </c>
      <c r="H100" s="74">
        <f t="shared" si="21"/>
        <v>79.639999999999986</v>
      </c>
      <c r="I100" s="74">
        <f t="shared" si="21"/>
        <v>122.03999999999995</v>
      </c>
      <c r="J100" s="74">
        <f t="shared" si="21"/>
        <v>142.23999999999998</v>
      </c>
      <c r="K100" s="74">
        <f t="shared" si="21"/>
        <v>169.14</v>
      </c>
      <c r="L100" s="74">
        <f t="shared" si="21"/>
        <v>205.24</v>
      </c>
      <c r="M100" s="74">
        <f t="shared" si="21"/>
        <v>202.14000000000001</v>
      </c>
      <c r="N100" s="74">
        <f t="shared" si="21"/>
        <v>194.43999999999997</v>
      </c>
      <c r="O100" s="74">
        <f t="shared" si="21"/>
        <v>215.04</v>
      </c>
      <c r="P100" s="74">
        <f t="shared" si="21"/>
        <v>221.13999999999996</v>
      </c>
      <c r="Q100" s="74">
        <f t="shared" si="21"/>
        <v>215.10000000000002</v>
      </c>
      <c r="R100" s="74">
        <f t="shared" si="21"/>
        <v>0</v>
      </c>
      <c r="S100" s="74">
        <f t="shared" si="21"/>
        <v>214.70000000000002</v>
      </c>
      <c r="T100" s="74">
        <f t="shared" si="21"/>
        <v>127.9</v>
      </c>
      <c r="U100" s="74">
        <f t="shared" si="21"/>
        <v>127.9</v>
      </c>
      <c r="V100" s="74">
        <f t="shared" si="21"/>
        <v>227.5</v>
      </c>
      <c r="W100" s="74">
        <f t="shared" si="21"/>
        <v>229.70000000000002</v>
      </c>
      <c r="X100" s="74">
        <f t="shared" si="21"/>
        <v>275.8</v>
      </c>
      <c r="Y100" s="74">
        <f t="shared" si="21"/>
        <v>302</v>
      </c>
      <c r="Z100" s="74">
        <f t="shared" si="21"/>
        <v>302</v>
      </c>
      <c r="AA100" s="74">
        <f t="shared" si="21"/>
        <v>244.80000000000004</v>
      </c>
      <c r="AB100" s="74">
        <f t="shared" si="21"/>
        <v>231.7</v>
      </c>
      <c r="AC100" s="74">
        <f t="shared" si="21"/>
        <v>214.8</v>
      </c>
      <c r="AD100" s="74">
        <f t="shared" si="21"/>
        <v>190.4</v>
      </c>
      <c r="AE100" s="74">
        <f t="shared" si="21"/>
        <v>0</v>
      </c>
      <c r="AF100" s="74">
        <f t="shared" si="21"/>
        <v>116.50000000000001</v>
      </c>
      <c r="AG100" s="73"/>
      <c r="AH100" s="20">
        <f>MAX(C100:AF100)</f>
        <v>302</v>
      </c>
      <c r="AI100" s="19">
        <f>MIN(C100:AF100)</f>
        <v>0</v>
      </c>
    </row>
    <row r="101" spans="1:37" x14ac:dyDescent="0.25">
      <c r="A101" s="47" t="s">
        <v>139</v>
      </c>
      <c r="B101" s="72">
        <v>13.4</v>
      </c>
      <c r="C101" s="72">
        <v>13.8</v>
      </c>
      <c r="D101" s="72">
        <v>14</v>
      </c>
      <c r="E101" s="72">
        <v>14.4</v>
      </c>
      <c r="F101" s="72">
        <v>14.8</v>
      </c>
      <c r="G101" s="72">
        <v>16.899999999999999</v>
      </c>
      <c r="H101" s="72">
        <v>17.399999999999999</v>
      </c>
      <c r="I101" s="72">
        <v>22.6</v>
      </c>
      <c r="J101" s="72">
        <v>24.9</v>
      </c>
      <c r="K101" s="72">
        <v>25.7</v>
      </c>
      <c r="L101" s="72">
        <v>38.200000000000003</v>
      </c>
      <c r="M101" s="72">
        <v>34.799999999999997</v>
      </c>
      <c r="N101" s="72">
        <v>30.7</v>
      </c>
      <c r="O101" s="72">
        <v>30.9</v>
      </c>
      <c r="P101" s="72">
        <v>39.700000000000003</v>
      </c>
      <c r="Q101" s="72">
        <v>35.1</v>
      </c>
      <c r="R101" s="72"/>
      <c r="S101" s="72">
        <v>37.299999999999997</v>
      </c>
      <c r="T101" s="72">
        <v>38.9</v>
      </c>
      <c r="U101" s="72">
        <v>38.9</v>
      </c>
      <c r="V101" s="72">
        <v>41.8</v>
      </c>
      <c r="W101" s="72">
        <v>48</v>
      </c>
      <c r="X101" s="72">
        <v>58.4</v>
      </c>
      <c r="Y101" s="72">
        <v>33.9</v>
      </c>
      <c r="Z101" s="72">
        <v>33.9</v>
      </c>
      <c r="AA101" s="72">
        <v>35</v>
      </c>
      <c r="AB101" s="72">
        <v>35.6</v>
      </c>
      <c r="AC101" s="72">
        <v>32.4</v>
      </c>
      <c r="AD101" s="72">
        <v>23.7</v>
      </c>
      <c r="AE101" s="72"/>
      <c r="AF101" s="72">
        <v>13</v>
      </c>
      <c r="AG101" s="70">
        <v>75</v>
      </c>
      <c r="AH101" s="20">
        <f t="shared" ref="AH101:AH109" si="22">IF(ABS(MAX(C101:AF101))&gt;ABS(MIN(C101:AF101)),MAX(C101:AF101),MIN(C101:AF101))</f>
        <v>58.4</v>
      </c>
      <c r="AI101" s="65">
        <f t="shared" ref="AI101:AI109" si="23">INDEX($C$9:$AF$9,1,MATCH(AH101,C101:AF101,0))</f>
        <v>0.75</v>
      </c>
    </row>
    <row r="102" spans="1:37" x14ac:dyDescent="0.25">
      <c r="A102" s="44" t="s">
        <v>138</v>
      </c>
      <c r="B102" s="71">
        <v>32.799999999999997</v>
      </c>
      <c r="C102" s="71">
        <v>33.1</v>
      </c>
      <c r="D102" s="71">
        <v>34.9</v>
      </c>
      <c r="E102" s="71">
        <v>32.6</v>
      </c>
      <c r="F102" s="71">
        <v>34.6</v>
      </c>
      <c r="G102" s="71">
        <v>36.5</v>
      </c>
      <c r="H102" s="71">
        <v>36.9</v>
      </c>
      <c r="I102" s="71">
        <v>42.3</v>
      </c>
      <c r="J102" s="71">
        <v>45.3</v>
      </c>
      <c r="K102" s="71">
        <v>44.7</v>
      </c>
      <c r="L102" s="71">
        <v>63.1</v>
      </c>
      <c r="M102" s="71">
        <v>59.1</v>
      </c>
      <c r="N102" s="71">
        <v>54.1</v>
      </c>
      <c r="O102" s="71">
        <v>52.6</v>
      </c>
      <c r="P102" s="71">
        <v>67.2</v>
      </c>
      <c r="Q102" s="71">
        <v>61</v>
      </c>
      <c r="R102" s="71"/>
      <c r="S102" s="71">
        <v>63.6</v>
      </c>
      <c r="T102" s="71">
        <v>-19</v>
      </c>
      <c r="U102" s="71">
        <v>-19</v>
      </c>
      <c r="V102" s="71">
        <v>66.3</v>
      </c>
      <c r="W102" s="71">
        <v>75.900000000000006</v>
      </c>
      <c r="X102" s="71">
        <v>90.9</v>
      </c>
      <c r="Y102" s="71">
        <v>54.3</v>
      </c>
      <c r="Z102" s="71">
        <v>54.3</v>
      </c>
      <c r="AA102" s="71">
        <v>56.7</v>
      </c>
      <c r="AB102" s="71">
        <v>59</v>
      </c>
      <c r="AC102" s="71">
        <v>54.3</v>
      </c>
      <c r="AD102" s="71">
        <v>41.7</v>
      </c>
      <c r="AE102" s="71"/>
      <c r="AF102" s="71">
        <v>19.3</v>
      </c>
      <c r="AG102" s="70">
        <v>240</v>
      </c>
      <c r="AH102" s="20">
        <f t="shared" si="22"/>
        <v>90.9</v>
      </c>
      <c r="AI102" s="65">
        <f t="shared" si="23"/>
        <v>0.75</v>
      </c>
    </row>
    <row r="103" spans="1:37" x14ac:dyDescent="0.25">
      <c r="A103" s="44" t="s">
        <v>137</v>
      </c>
      <c r="B103" s="71">
        <f>-69.8-73.6</f>
        <v>-143.39999999999998</v>
      </c>
      <c r="C103" s="71">
        <v>-144.1</v>
      </c>
      <c r="D103" s="71">
        <f>-70.5-74.4</f>
        <v>-144.9</v>
      </c>
      <c r="E103" s="71">
        <v>-142</v>
      </c>
      <c r="F103" s="71">
        <v>-146</v>
      </c>
      <c r="G103" s="71">
        <v>-117</v>
      </c>
      <c r="H103" s="71">
        <v>-107</v>
      </c>
      <c r="I103" s="71">
        <v>-82.7</v>
      </c>
      <c r="J103" s="71">
        <v>-88</v>
      </c>
      <c r="K103" s="71">
        <v>-66</v>
      </c>
      <c r="L103" s="71">
        <v>-68</v>
      </c>
      <c r="M103" s="71">
        <f>-29-32</f>
        <v>-61</v>
      </c>
      <c r="N103" s="71">
        <f>-33.6-36.1</f>
        <v>-69.7</v>
      </c>
      <c r="O103" s="71">
        <f>-27-29.9</f>
        <v>-56.9</v>
      </c>
      <c r="P103" s="71">
        <f>-41.4-44.9</f>
        <v>-86.3</v>
      </c>
      <c r="Q103" s="71">
        <f>-38-41</f>
        <v>-79</v>
      </c>
      <c r="R103" s="71"/>
      <c r="S103" s="71">
        <f>-40-42.9</f>
        <v>-82.9</v>
      </c>
      <c r="T103" s="71">
        <f>-40.3-43.2</f>
        <v>-83.5</v>
      </c>
      <c r="U103" s="71">
        <f>-40.3-43.2</f>
        <v>-83.5</v>
      </c>
      <c r="V103" s="71">
        <v>-69</v>
      </c>
      <c r="W103" s="71">
        <v>-82</v>
      </c>
      <c r="X103" s="71">
        <f>-56.8-61.1</f>
        <v>-117.9</v>
      </c>
      <c r="Y103" s="71">
        <f>-31.7-34.1</f>
        <v>-65.8</v>
      </c>
      <c r="Z103" s="71">
        <f>-31.7-34.1</f>
        <v>-65.8</v>
      </c>
      <c r="AA103" s="71">
        <v>-102</v>
      </c>
      <c r="AB103" s="71">
        <v>-105.6</v>
      </c>
      <c r="AC103" s="71">
        <f>-51-55.4</f>
        <v>-106.4</v>
      </c>
      <c r="AD103" s="71">
        <f>-49.5-55</f>
        <v>-104.5</v>
      </c>
      <c r="AE103" s="71"/>
      <c r="AF103" s="71">
        <v>-80.3</v>
      </c>
      <c r="AG103" s="70">
        <v>240</v>
      </c>
      <c r="AH103" s="20">
        <f t="shared" si="22"/>
        <v>-146</v>
      </c>
      <c r="AI103" s="65">
        <f t="shared" si="23"/>
        <v>0.16666666666666699</v>
      </c>
    </row>
    <row r="104" spans="1:37" x14ac:dyDescent="0.25">
      <c r="A104" s="44" t="s">
        <v>136</v>
      </c>
      <c r="B104" s="71">
        <v>-6</v>
      </c>
      <c r="C104" s="71">
        <v>-5.4</v>
      </c>
      <c r="D104" s="71">
        <v>-5</v>
      </c>
      <c r="E104" s="71">
        <v>-6.8</v>
      </c>
      <c r="F104" s="71">
        <v>-7</v>
      </c>
      <c r="G104" s="71">
        <v>-1.7</v>
      </c>
      <c r="H104" s="71">
        <v>0</v>
      </c>
      <c r="I104" s="71">
        <v>7.5</v>
      </c>
      <c r="J104" s="71">
        <v>6.6</v>
      </c>
      <c r="K104" s="71">
        <v>11.3</v>
      </c>
      <c r="L104" s="71">
        <v>8.5</v>
      </c>
      <c r="M104" s="71">
        <v>6.8</v>
      </c>
      <c r="N104" s="71">
        <v>9.9</v>
      </c>
      <c r="O104" s="71">
        <v>14</v>
      </c>
      <c r="P104" s="71">
        <v>11.1</v>
      </c>
      <c r="Q104" s="71">
        <v>9.5</v>
      </c>
      <c r="R104" s="71"/>
      <c r="S104" s="71">
        <v>8.1999999999999993</v>
      </c>
      <c r="T104" s="71">
        <v>7.4</v>
      </c>
      <c r="U104" s="71">
        <v>7.4</v>
      </c>
      <c r="V104" s="71">
        <v>11.3</v>
      </c>
      <c r="W104" s="71">
        <v>10.4</v>
      </c>
      <c r="X104" s="71">
        <v>6.1</v>
      </c>
      <c r="Y104" s="71">
        <v>12</v>
      </c>
      <c r="Z104" s="71">
        <v>12</v>
      </c>
      <c r="AA104" s="71">
        <v>20.3</v>
      </c>
      <c r="AB104" s="71">
        <v>14.2</v>
      </c>
      <c r="AC104" s="71">
        <v>14.6</v>
      </c>
      <c r="AD104" s="71">
        <v>5.2</v>
      </c>
      <c r="AE104" s="71"/>
      <c r="AF104" s="71">
        <v>-8.4</v>
      </c>
      <c r="AG104" s="70">
        <v>60</v>
      </c>
      <c r="AH104" s="20">
        <f t="shared" si="22"/>
        <v>20.3</v>
      </c>
      <c r="AI104" s="65">
        <f t="shared" si="23"/>
        <v>0.8125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/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60.9</v>
      </c>
      <c r="Y105" s="68">
        <v>89.7</v>
      </c>
      <c r="Z105" s="68">
        <v>89.7</v>
      </c>
      <c r="AA105" s="68">
        <v>56.9</v>
      </c>
      <c r="AB105" s="68">
        <v>50.6</v>
      </c>
      <c r="AC105" s="68">
        <v>47</v>
      </c>
      <c r="AD105" s="68">
        <v>51.4</v>
      </c>
      <c r="AE105" s="68"/>
      <c r="AF105" s="68">
        <v>0</v>
      </c>
      <c r="AG105" s="69">
        <v>120</v>
      </c>
      <c r="AH105" s="20">
        <f t="shared" si="22"/>
        <v>89.7</v>
      </c>
      <c r="AI105" s="65">
        <f t="shared" si="23"/>
        <v>0.77083333333333337</v>
      </c>
    </row>
    <row r="106" spans="1:37" x14ac:dyDescent="0.25">
      <c r="A106" s="40" t="s">
        <v>134</v>
      </c>
      <c r="B106" s="68">
        <v>37.299999999999997</v>
      </c>
      <c r="C106" s="68">
        <v>30.5</v>
      </c>
      <c r="D106" s="68">
        <v>20</v>
      </c>
      <c r="E106" s="68">
        <v>23.7</v>
      </c>
      <c r="F106" s="68">
        <v>29.6</v>
      </c>
      <c r="G106" s="68">
        <v>37.6</v>
      </c>
      <c r="H106" s="68">
        <v>45.6</v>
      </c>
      <c r="I106" s="68">
        <v>52.1</v>
      </c>
      <c r="J106" s="68">
        <v>45.6</v>
      </c>
      <c r="K106" s="68">
        <v>64.900000000000006</v>
      </c>
      <c r="L106" s="68">
        <v>65.8</v>
      </c>
      <c r="M106" s="68">
        <v>69.400000000000006</v>
      </c>
      <c r="N106" s="68">
        <v>61.3</v>
      </c>
      <c r="O106" s="68">
        <v>83.3</v>
      </c>
      <c r="P106" s="68">
        <v>55.6</v>
      </c>
      <c r="Q106" s="68">
        <v>68.400000000000006</v>
      </c>
      <c r="R106" s="68"/>
      <c r="S106" s="68">
        <v>64.400000000000006</v>
      </c>
      <c r="T106" s="68">
        <v>53.4</v>
      </c>
      <c r="U106" s="68">
        <v>53.4</v>
      </c>
      <c r="V106" s="68">
        <v>69</v>
      </c>
      <c r="W106" s="68">
        <v>79</v>
      </c>
      <c r="X106" s="68">
        <v>66</v>
      </c>
      <c r="Y106" s="68">
        <v>83</v>
      </c>
      <c r="Z106" s="68">
        <v>83</v>
      </c>
      <c r="AA106" s="68">
        <v>57.8</v>
      </c>
      <c r="AB106" s="68">
        <v>51.3</v>
      </c>
      <c r="AC106" s="68">
        <v>45</v>
      </c>
      <c r="AD106" s="68">
        <v>49.3</v>
      </c>
      <c r="AE106" s="68"/>
      <c r="AF106" s="68">
        <v>51.3</v>
      </c>
      <c r="AG106" s="69"/>
      <c r="AH106" s="20">
        <f t="shared" si="22"/>
        <v>83.3</v>
      </c>
      <c r="AI106" s="65">
        <f t="shared" si="23"/>
        <v>0.41666666666666702</v>
      </c>
    </row>
    <row r="107" spans="1:37" x14ac:dyDescent="0.25">
      <c r="A107" s="40" t="s">
        <v>133</v>
      </c>
      <c r="B107" s="68">
        <v>71.400000000000006</v>
      </c>
      <c r="C107" s="68">
        <v>68.099999999999994</v>
      </c>
      <c r="D107" s="68">
        <v>55.3</v>
      </c>
      <c r="E107" s="68">
        <v>57</v>
      </c>
      <c r="F107" s="68">
        <v>50.6</v>
      </c>
      <c r="G107" s="68">
        <v>53.2</v>
      </c>
      <c r="H107" s="68">
        <v>54.7</v>
      </c>
      <c r="I107" s="68">
        <v>39.200000000000003</v>
      </c>
      <c r="J107" s="68">
        <v>35.299999999999997</v>
      </c>
      <c r="K107" s="68">
        <v>34.1</v>
      </c>
      <c r="L107" s="68">
        <v>5.2</v>
      </c>
      <c r="M107" s="68">
        <v>17.2</v>
      </c>
      <c r="N107" s="68">
        <v>33</v>
      </c>
      <c r="O107" s="68">
        <v>23.6</v>
      </c>
      <c r="P107" s="68">
        <v>16.7</v>
      </c>
      <c r="Q107" s="68">
        <v>28.5</v>
      </c>
      <c r="R107" s="68"/>
      <c r="S107" s="68">
        <v>13.7</v>
      </c>
      <c r="T107" s="68">
        <v>17.8</v>
      </c>
      <c r="U107" s="68">
        <v>17.8</v>
      </c>
      <c r="V107" s="68">
        <v>29.2</v>
      </c>
      <c r="W107" s="68">
        <v>41.8</v>
      </c>
      <c r="X107" s="68">
        <v>17.7</v>
      </c>
      <c r="Y107" s="68">
        <v>29.4</v>
      </c>
      <c r="Z107" s="68">
        <v>29.4</v>
      </c>
      <c r="AA107" s="68">
        <v>27</v>
      </c>
      <c r="AB107" s="68">
        <v>94.2</v>
      </c>
      <c r="AC107" s="68">
        <v>29.1</v>
      </c>
      <c r="AD107" s="68">
        <v>51.2</v>
      </c>
      <c r="AE107" s="68"/>
      <c r="AF107" s="68"/>
      <c r="AG107" s="48"/>
      <c r="AH107" s="20">
        <f t="shared" si="22"/>
        <v>94.2</v>
      </c>
      <c r="AI107" s="65">
        <f t="shared" si="23"/>
        <v>0.83333333333333337</v>
      </c>
    </row>
    <row r="108" spans="1:37" x14ac:dyDescent="0.25">
      <c r="A108" s="67" t="s">
        <v>132</v>
      </c>
      <c r="B108" s="66">
        <v>116.7</v>
      </c>
      <c r="C108" s="66">
        <v>118</v>
      </c>
      <c r="D108" s="66">
        <v>60</v>
      </c>
      <c r="E108" s="66">
        <v>117.4</v>
      </c>
      <c r="F108" s="66">
        <v>123.5</v>
      </c>
      <c r="G108" s="66">
        <v>125.7</v>
      </c>
      <c r="H108" s="66">
        <v>126.8</v>
      </c>
      <c r="I108" s="66">
        <v>128.9</v>
      </c>
      <c r="J108" s="66">
        <v>108.2</v>
      </c>
      <c r="K108" s="66">
        <v>112.2</v>
      </c>
      <c r="L108" s="66">
        <v>120.7</v>
      </c>
      <c r="M108" s="66">
        <v>119</v>
      </c>
      <c r="N108" s="66">
        <v>119.3</v>
      </c>
      <c r="O108" s="66">
        <v>94.3</v>
      </c>
      <c r="P108" s="66">
        <v>113.5</v>
      </c>
      <c r="Q108" s="66">
        <v>112.8</v>
      </c>
      <c r="R108" s="66"/>
      <c r="S108" s="66">
        <v>95.9</v>
      </c>
      <c r="T108" s="66">
        <v>94.6</v>
      </c>
      <c r="U108" s="66">
        <v>94.6</v>
      </c>
      <c r="V108" s="66">
        <v>108.8</v>
      </c>
      <c r="W108" s="66">
        <v>100</v>
      </c>
      <c r="X108" s="66">
        <v>91.5</v>
      </c>
      <c r="Y108" s="66">
        <v>91.9</v>
      </c>
      <c r="Z108" s="66">
        <v>91.9</v>
      </c>
      <c r="AA108" s="66">
        <v>94.5</v>
      </c>
      <c r="AB108" s="66">
        <v>49.3</v>
      </c>
      <c r="AC108" s="66">
        <v>97.3</v>
      </c>
      <c r="AD108" s="66">
        <v>98</v>
      </c>
      <c r="AE108" s="66"/>
      <c r="AF108" s="66">
        <v>111</v>
      </c>
      <c r="AG108" s="48"/>
      <c r="AH108" s="20">
        <f t="shared" si="22"/>
        <v>128.9</v>
      </c>
      <c r="AI108" s="65">
        <f t="shared" si="23"/>
        <v>0.25</v>
      </c>
    </row>
    <row r="109" spans="1:37" ht="15.75" thickBot="1" x14ac:dyDescent="0.3">
      <c r="A109" s="67" t="s">
        <v>131</v>
      </c>
      <c r="B109" s="66">
        <v>85.2</v>
      </c>
      <c r="C109" s="66">
        <v>90.6</v>
      </c>
      <c r="D109" s="66">
        <v>92.3</v>
      </c>
      <c r="E109" s="66">
        <v>87</v>
      </c>
      <c r="F109" s="66">
        <v>90</v>
      </c>
      <c r="G109" s="66">
        <v>71</v>
      </c>
      <c r="H109" s="66">
        <v>64.900000000000006</v>
      </c>
      <c r="I109" s="66">
        <v>53.6</v>
      </c>
      <c r="J109" s="66">
        <v>59.1</v>
      </c>
      <c r="K109" s="66">
        <v>40.9</v>
      </c>
      <c r="L109" s="66">
        <v>41.6</v>
      </c>
      <c r="M109" s="66">
        <v>39.9</v>
      </c>
      <c r="N109" s="66">
        <v>43.2</v>
      </c>
      <c r="O109" s="66">
        <v>35.700000000000003</v>
      </c>
      <c r="P109" s="66">
        <v>56</v>
      </c>
      <c r="Q109" s="66">
        <v>50.1</v>
      </c>
      <c r="R109" s="66"/>
      <c r="S109" s="66">
        <v>52.6</v>
      </c>
      <c r="T109" s="66">
        <v>55.1</v>
      </c>
      <c r="U109" s="66">
        <v>55.1</v>
      </c>
      <c r="V109" s="66">
        <v>46</v>
      </c>
      <c r="W109" s="66">
        <v>34.200000000000003</v>
      </c>
      <c r="X109" s="66">
        <v>49.6</v>
      </c>
      <c r="Y109" s="66">
        <v>38.6</v>
      </c>
      <c r="Z109" s="66">
        <v>38.6</v>
      </c>
      <c r="AA109" s="66">
        <v>65.3</v>
      </c>
      <c r="AB109" s="66">
        <v>66.400000000000006</v>
      </c>
      <c r="AC109" s="66">
        <v>71.2</v>
      </c>
      <c r="AD109" s="66">
        <v>62.3</v>
      </c>
      <c r="AE109" s="66"/>
      <c r="AF109" s="66">
        <v>63</v>
      </c>
      <c r="AG109" s="48"/>
      <c r="AH109" s="20">
        <f t="shared" si="22"/>
        <v>92.3</v>
      </c>
      <c r="AI109" s="65">
        <f t="shared" si="23"/>
        <v>8.3333333333333301E-2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4">SUM(B111:B215)</f>
        <v>0</v>
      </c>
      <c r="C216" s="36">
        <f t="shared" si="24"/>
        <v>0</v>
      </c>
      <c r="D216" s="36">
        <f t="shared" si="24"/>
        <v>0</v>
      </c>
      <c r="E216" s="36">
        <f t="shared" si="24"/>
        <v>0</v>
      </c>
      <c r="F216" s="36">
        <f t="shared" si="24"/>
        <v>0</v>
      </c>
      <c r="G216" s="36">
        <f t="shared" si="24"/>
        <v>0</v>
      </c>
      <c r="H216" s="36">
        <f t="shared" si="24"/>
        <v>0</v>
      </c>
      <c r="I216" s="36">
        <f t="shared" si="24"/>
        <v>0</v>
      </c>
      <c r="J216" s="36">
        <f t="shared" si="24"/>
        <v>0</v>
      </c>
      <c r="K216" s="36">
        <f t="shared" si="24"/>
        <v>0</v>
      </c>
      <c r="L216" s="36">
        <f t="shared" si="24"/>
        <v>0</v>
      </c>
      <c r="M216" s="36">
        <f t="shared" si="24"/>
        <v>0</v>
      </c>
      <c r="N216" s="36">
        <f t="shared" si="24"/>
        <v>0</v>
      </c>
      <c r="O216" s="36">
        <f t="shared" si="24"/>
        <v>0</v>
      </c>
      <c r="P216" s="36">
        <f t="shared" si="24"/>
        <v>0</v>
      </c>
      <c r="Q216" s="36">
        <f t="shared" si="24"/>
        <v>0</v>
      </c>
      <c r="R216" s="36">
        <f t="shared" si="24"/>
        <v>0</v>
      </c>
      <c r="S216" s="36">
        <f t="shared" si="24"/>
        <v>0</v>
      </c>
      <c r="T216" s="36">
        <f t="shared" si="24"/>
        <v>0</v>
      </c>
      <c r="U216" s="36">
        <f t="shared" si="24"/>
        <v>0</v>
      </c>
      <c r="V216" s="36">
        <f t="shared" si="24"/>
        <v>0</v>
      </c>
      <c r="W216" s="36">
        <f t="shared" si="24"/>
        <v>0</v>
      </c>
      <c r="X216" s="36">
        <f t="shared" si="24"/>
        <v>0</v>
      </c>
      <c r="Y216" s="36">
        <f t="shared" si="24"/>
        <v>0</v>
      </c>
      <c r="Z216" s="36">
        <f t="shared" si="24"/>
        <v>0</v>
      </c>
      <c r="AA216" s="36">
        <f t="shared" si="24"/>
        <v>0</v>
      </c>
      <c r="AB216" s="36">
        <f t="shared" si="24"/>
        <v>0</v>
      </c>
      <c r="AC216" s="36">
        <f t="shared" si="24"/>
        <v>0</v>
      </c>
      <c r="AD216" s="36">
        <f t="shared" si="24"/>
        <v>0</v>
      </c>
      <c r="AE216" s="36">
        <f t="shared" si="24"/>
        <v>0</v>
      </c>
      <c r="AF216" s="51">
        <f t="shared" si="24"/>
        <v>0</v>
      </c>
      <c r="AG216" s="50">
        <f t="shared" si="24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5">AF218</f>
        <v>0</v>
      </c>
      <c r="C218" s="46">
        <v>0.3</v>
      </c>
      <c r="D218" s="46">
        <f t="shared" ref="D218:P223" si="26">C218</f>
        <v>0.3</v>
      </c>
      <c r="E218" s="46">
        <f t="shared" si="26"/>
        <v>0.3</v>
      </c>
      <c r="F218" s="46">
        <f t="shared" si="26"/>
        <v>0.3</v>
      </c>
      <c r="G218" s="46">
        <f t="shared" si="26"/>
        <v>0.3</v>
      </c>
      <c r="H218" s="46">
        <f t="shared" si="26"/>
        <v>0.3</v>
      </c>
      <c r="I218" s="46">
        <f t="shared" si="26"/>
        <v>0.3</v>
      </c>
      <c r="J218" s="46">
        <f t="shared" si="26"/>
        <v>0.3</v>
      </c>
      <c r="K218" s="46">
        <f t="shared" si="26"/>
        <v>0.3</v>
      </c>
      <c r="L218" s="46">
        <f t="shared" si="26"/>
        <v>0.3</v>
      </c>
      <c r="M218" s="46">
        <f t="shared" si="26"/>
        <v>0.3</v>
      </c>
      <c r="N218" s="46">
        <f t="shared" si="26"/>
        <v>0.3</v>
      </c>
      <c r="O218" s="46">
        <f t="shared" si="26"/>
        <v>0.3</v>
      </c>
      <c r="P218" s="46">
        <f t="shared" si="26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5"/>
        <v>0</v>
      </c>
      <c r="C219" s="43">
        <v>0.4</v>
      </c>
      <c r="D219" s="43">
        <f t="shared" si="26"/>
        <v>0.4</v>
      </c>
      <c r="E219" s="43">
        <f t="shared" si="26"/>
        <v>0.4</v>
      </c>
      <c r="F219" s="43">
        <f t="shared" si="26"/>
        <v>0.4</v>
      </c>
      <c r="G219" s="43">
        <f t="shared" si="26"/>
        <v>0.4</v>
      </c>
      <c r="H219" s="43">
        <f t="shared" si="26"/>
        <v>0.4</v>
      </c>
      <c r="I219" s="43">
        <f t="shared" si="26"/>
        <v>0.4</v>
      </c>
      <c r="J219" s="43">
        <f t="shared" si="26"/>
        <v>0.4</v>
      </c>
      <c r="K219" s="43">
        <f t="shared" si="26"/>
        <v>0.4</v>
      </c>
      <c r="L219" s="43">
        <f t="shared" si="26"/>
        <v>0.4</v>
      </c>
      <c r="M219" s="43">
        <f t="shared" si="26"/>
        <v>0.4</v>
      </c>
      <c r="N219" s="43">
        <f t="shared" si="26"/>
        <v>0.4</v>
      </c>
      <c r="O219" s="43">
        <f t="shared" si="26"/>
        <v>0.4</v>
      </c>
      <c r="P219" s="43">
        <f t="shared" si="26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5"/>
        <v>0</v>
      </c>
      <c r="C220" s="43">
        <v>1.5</v>
      </c>
      <c r="D220" s="43">
        <f t="shared" si="26"/>
        <v>1.5</v>
      </c>
      <c r="E220" s="43">
        <f t="shared" si="26"/>
        <v>1.5</v>
      </c>
      <c r="F220" s="43">
        <f t="shared" si="26"/>
        <v>1.5</v>
      </c>
      <c r="G220" s="43">
        <f t="shared" si="26"/>
        <v>1.5</v>
      </c>
      <c r="H220" s="43">
        <f t="shared" si="26"/>
        <v>1.5</v>
      </c>
      <c r="I220" s="43">
        <f t="shared" si="26"/>
        <v>1.5</v>
      </c>
      <c r="J220" s="43">
        <f t="shared" si="26"/>
        <v>1.5</v>
      </c>
      <c r="K220" s="43">
        <f t="shared" si="26"/>
        <v>1.5</v>
      </c>
      <c r="L220" s="43">
        <f t="shared" si="26"/>
        <v>1.5</v>
      </c>
      <c r="M220" s="43">
        <f t="shared" si="26"/>
        <v>1.5</v>
      </c>
      <c r="N220" s="43">
        <f t="shared" si="26"/>
        <v>1.5</v>
      </c>
      <c r="O220" s="43">
        <f t="shared" si="26"/>
        <v>1.5</v>
      </c>
      <c r="P220" s="43">
        <f t="shared" si="26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5"/>
        <v>0</v>
      </c>
      <c r="C221" s="43">
        <v>0.3</v>
      </c>
      <c r="D221" s="43">
        <f t="shared" si="26"/>
        <v>0.3</v>
      </c>
      <c r="E221" s="43">
        <f t="shared" si="26"/>
        <v>0.3</v>
      </c>
      <c r="F221" s="43">
        <f t="shared" si="26"/>
        <v>0.3</v>
      </c>
      <c r="G221" s="43">
        <f t="shared" si="26"/>
        <v>0.3</v>
      </c>
      <c r="H221" s="43">
        <f t="shared" si="26"/>
        <v>0.3</v>
      </c>
      <c r="I221" s="43">
        <f t="shared" si="26"/>
        <v>0.3</v>
      </c>
      <c r="J221" s="43">
        <f t="shared" si="26"/>
        <v>0.3</v>
      </c>
      <c r="K221" s="43">
        <f t="shared" si="26"/>
        <v>0.3</v>
      </c>
      <c r="L221" s="43">
        <f t="shared" si="26"/>
        <v>0.3</v>
      </c>
      <c r="M221" s="43">
        <f t="shared" si="26"/>
        <v>0.3</v>
      </c>
      <c r="N221" s="43">
        <f t="shared" si="26"/>
        <v>0.3</v>
      </c>
      <c r="O221" s="43">
        <f t="shared" si="26"/>
        <v>0.3</v>
      </c>
      <c r="P221" s="43">
        <f t="shared" si="26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5"/>
        <v>0</v>
      </c>
      <c r="C222" s="43">
        <v>0.4</v>
      </c>
      <c r="D222" s="43">
        <f t="shared" si="26"/>
        <v>0.4</v>
      </c>
      <c r="E222" s="43">
        <f t="shared" si="26"/>
        <v>0.4</v>
      </c>
      <c r="F222" s="43">
        <f t="shared" si="26"/>
        <v>0.4</v>
      </c>
      <c r="G222" s="43">
        <f t="shared" si="26"/>
        <v>0.4</v>
      </c>
      <c r="H222" s="43">
        <f t="shared" si="26"/>
        <v>0.4</v>
      </c>
      <c r="I222" s="43">
        <f t="shared" si="26"/>
        <v>0.4</v>
      </c>
      <c r="J222" s="43">
        <f t="shared" si="26"/>
        <v>0.4</v>
      </c>
      <c r="K222" s="43">
        <f t="shared" si="26"/>
        <v>0.4</v>
      </c>
      <c r="L222" s="43">
        <f t="shared" si="26"/>
        <v>0.4</v>
      </c>
      <c r="M222" s="43">
        <f t="shared" si="26"/>
        <v>0.4</v>
      </c>
      <c r="N222" s="43">
        <f t="shared" si="26"/>
        <v>0.4</v>
      </c>
      <c r="O222" s="43">
        <f t="shared" si="26"/>
        <v>0.4</v>
      </c>
      <c r="P222" s="43">
        <f t="shared" si="26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5"/>
        <v>0</v>
      </c>
      <c r="C223" s="39">
        <v>0.64</v>
      </c>
      <c r="D223" s="39">
        <f t="shared" si="26"/>
        <v>0.64</v>
      </c>
      <c r="E223" s="39">
        <f t="shared" si="26"/>
        <v>0.64</v>
      </c>
      <c r="F223" s="39">
        <f t="shared" si="26"/>
        <v>0.64</v>
      </c>
      <c r="G223" s="39">
        <f t="shared" si="26"/>
        <v>0.64</v>
      </c>
      <c r="H223" s="39">
        <f t="shared" si="26"/>
        <v>0.64</v>
      </c>
      <c r="I223" s="39">
        <f t="shared" si="26"/>
        <v>0.64</v>
      </c>
      <c r="J223" s="39">
        <f t="shared" si="26"/>
        <v>0.64</v>
      </c>
      <c r="K223" s="39">
        <f t="shared" si="26"/>
        <v>0.64</v>
      </c>
      <c r="L223" s="39">
        <f t="shared" si="26"/>
        <v>0.64</v>
      </c>
      <c r="M223" s="39">
        <f t="shared" si="26"/>
        <v>0.64</v>
      </c>
      <c r="N223" s="39">
        <f t="shared" si="26"/>
        <v>0.64</v>
      </c>
      <c r="O223" s="39">
        <f t="shared" si="26"/>
        <v>0.64</v>
      </c>
      <c r="P223" s="39">
        <f t="shared" si="26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7">SUM(B218:B223)</f>
        <v>0</v>
      </c>
      <c r="C224" s="36">
        <f t="shared" si="27"/>
        <v>3.54</v>
      </c>
      <c r="D224" s="36">
        <f t="shared" si="27"/>
        <v>3.54</v>
      </c>
      <c r="E224" s="36">
        <f t="shared" si="27"/>
        <v>3.54</v>
      </c>
      <c r="F224" s="36">
        <f t="shared" si="27"/>
        <v>3.54</v>
      </c>
      <c r="G224" s="36">
        <f t="shared" si="27"/>
        <v>3.54</v>
      </c>
      <c r="H224" s="36">
        <f t="shared" si="27"/>
        <v>3.54</v>
      </c>
      <c r="I224" s="36">
        <f t="shared" si="27"/>
        <v>3.54</v>
      </c>
      <c r="J224" s="36">
        <f t="shared" si="27"/>
        <v>3.54</v>
      </c>
      <c r="K224" s="36">
        <f t="shared" si="27"/>
        <v>3.54</v>
      </c>
      <c r="L224" s="36">
        <f t="shared" si="27"/>
        <v>3.54</v>
      </c>
      <c r="M224" s="36">
        <f t="shared" si="27"/>
        <v>3.54</v>
      </c>
      <c r="N224" s="36">
        <f t="shared" si="27"/>
        <v>3.54</v>
      </c>
      <c r="O224" s="36">
        <f t="shared" si="27"/>
        <v>3.54</v>
      </c>
      <c r="P224" s="36">
        <f t="shared" si="27"/>
        <v>3.54</v>
      </c>
      <c r="Q224" s="36">
        <f t="shared" si="27"/>
        <v>0</v>
      </c>
      <c r="R224" s="36">
        <f t="shared" si="27"/>
        <v>0</v>
      </c>
      <c r="S224" s="36">
        <f t="shared" si="27"/>
        <v>0</v>
      </c>
      <c r="T224" s="36">
        <f t="shared" si="27"/>
        <v>0</v>
      </c>
      <c r="U224" s="36">
        <f t="shared" si="27"/>
        <v>0</v>
      </c>
      <c r="V224" s="36">
        <f t="shared" si="27"/>
        <v>0</v>
      </c>
      <c r="W224" s="36">
        <f t="shared" si="27"/>
        <v>0</v>
      </c>
      <c r="X224" s="36">
        <f t="shared" si="27"/>
        <v>0</v>
      </c>
      <c r="Y224" s="36">
        <f t="shared" si="27"/>
        <v>0</v>
      </c>
      <c r="Z224" s="36">
        <f t="shared" si="27"/>
        <v>0</v>
      </c>
      <c r="AA224" s="36">
        <f t="shared" si="27"/>
        <v>0</v>
      </c>
      <c r="AB224" s="36">
        <f t="shared" si="27"/>
        <v>0</v>
      </c>
      <c r="AC224" s="36">
        <f t="shared" si="27"/>
        <v>0</v>
      </c>
      <c r="AD224" s="36">
        <f t="shared" si="27"/>
        <v>0</v>
      </c>
      <c r="AE224" s="36">
        <f t="shared" si="27"/>
        <v>0</v>
      </c>
      <c r="AF224" s="36">
        <f t="shared" si="27"/>
        <v>0</v>
      </c>
      <c r="AG224" s="35">
        <f t="shared" si="27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1800.6399999999999</v>
      </c>
      <c r="C233" s="16">
        <f>INDEX(G9:N9,1,MATCH(MAX(G81:N81),G81:N81,0))</f>
        <v>0.375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7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2079/06/7)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2079/06/7)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8">B81</f>
        <v>1784.1399999999999</v>
      </c>
      <c r="U238" s="9">
        <f t="shared" si="28"/>
        <v>1777.54</v>
      </c>
      <c r="V238" s="9">
        <f t="shared" si="28"/>
        <v>1749.24</v>
      </c>
      <c r="W238" s="9">
        <f t="shared" si="28"/>
        <v>1731.84</v>
      </c>
      <c r="X238" s="9">
        <f t="shared" si="28"/>
        <v>1719.94</v>
      </c>
      <c r="Y238" s="9">
        <f t="shared" si="28"/>
        <v>1705.44</v>
      </c>
      <c r="Z238" s="9">
        <f t="shared" si="28"/>
        <v>1705.44</v>
      </c>
      <c r="AA238" s="9">
        <f t="shared" si="28"/>
        <v>1703.44</v>
      </c>
      <c r="AB238" s="9">
        <f t="shared" si="28"/>
        <v>1751.24</v>
      </c>
      <c r="AC238" s="9">
        <f t="shared" si="28"/>
        <v>1751.24</v>
      </c>
      <c r="AD238" s="9">
        <f t="shared" si="28"/>
        <v>1784.44</v>
      </c>
      <c r="AE238" s="9">
        <f t="shared" si="28"/>
        <v>1789.6399999999999</v>
      </c>
      <c r="AF238" s="9">
        <f t="shared" si="28"/>
        <v>1800.6399999999999</v>
      </c>
      <c r="AG238" s="9">
        <f t="shared" si="28"/>
        <v>1819.24</v>
      </c>
      <c r="AH238" s="9">
        <f t="shared" si="28"/>
        <v>1824.94</v>
      </c>
      <c r="AI238" s="9">
        <f t="shared" si="28"/>
        <v>1815.04</v>
      </c>
      <c r="AJ238" s="9">
        <f t="shared" si="28"/>
        <v>303.54000000000002</v>
      </c>
      <c r="AK238" s="9">
        <f t="shared" si="28"/>
        <v>1813.8400000000001</v>
      </c>
      <c r="AL238" s="9">
        <f t="shared" si="28"/>
        <v>1815.44</v>
      </c>
      <c r="AM238" s="9">
        <f t="shared" si="28"/>
        <v>1819.74</v>
      </c>
      <c r="AN238" s="9">
        <f t="shared" si="28"/>
        <v>1797.24</v>
      </c>
      <c r="AO238" s="9">
        <f t="shared" si="28"/>
        <v>1759.14</v>
      </c>
      <c r="AP238" s="9">
        <f t="shared" si="28"/>
        <v>1757.94</v>
      </c>
      <c r="AQ238" s="9">
        <f t="shared" si="28"/>
        <v>1758.04</v>
      </c>
      <c r="AR238" s="9">
        <f t="shared" si="28"/>
        <v>1808.04</v>
      </c>
      <c r="AS238" s="9">
        <f t="shared" si="28"/>
        <v>1791.44</v>
      </c>
      <c r="AT238" s="9">
        <f t="shared" si="28"/>
        <v>1894.14</v>
      </c>
      <c r="AU238" s="9">
        <f t="shared" si="28"/>
        <v>1883.14</v>
      </c>
      <c r="AV238" s="9">
        <f t="shared" si="28"/>
        <v>1883.94</v>
      </c>
      <c r="AW238" s="9">
        <f t="shared" si="28"/>
        <v>3.54</v>
      </c>
      <c r="AX238" s="9">
        <f t="shared" si="28"/>
        <v>1873.04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9">C223</f>
        <v>0.64</v>
      </c>
      <c r="C259" s="4">
        <f t="shared" si="29"/>
        <v>0.64</v>
      </c>
      <c r="D259" s="4">
        <f t="shared" si="29"/>
        <v>0.64</v>
      </c>
      <c r="E259" s="4">
        <f t="shared" si="29"/>
        <v>0.64</v>
      </c>
      <c r="F259" s="4">
        <f t="shared" si="29"/>
        <v>0.64</v>
      </c>
      <c r="G259" s="4">
        <f t="shared" si="29"/>
        <v>0.64</v>
      </c>
      <c r="H259" s="4">
        <f t="shared" si="29"/>
        <v>0.64</v>
      </c>
      <c r="I259" s="4">
        <f t="shared" si="29"/>
        <v>0.64</v>
      </c>
      <c r="J259" s="4">
        <f t="shared" si="29"/>
        <v>0.64</v>
      </c>
      <c r="K259" s="4">
        <f t="shared" si="29"/>
        <v>0.64</v>
      </c>
      <c r="L259" s="4">
        <f t="shared" si="29"/>
        <v>0.64</v>
      </c>
      <c r="M259" s="4">
        <f t="shared" si="29"/>
        <v>0.64</v>
      </c>
      <c r="N259" s="4">
        <f t="shared" si="29"/>
        <v>0.64</v>
      </c>
      <c r="O259" s="4">
        <f t="shared" si="29"/>
        <v>0.64</v>
      </c>
      <c r="P259" s="4">
        <f t="shared" si="29"/>
        <v>0</v>
      </c>
      <c r="Q259" s="4">
        <f t="shared" si="29"/>
        <v>0</v>
      </c>
      <c r="R259" s="4">
        <f t="shared" si="29"/>
        <v>0</v>
      </c>
      <c r="S259" s="4">
        <f t="shared" si="29"/>
        <v>0</v>
      </c>
      <c r="T259" s="4">
        <f t="shared" si="29"/>
        <v>0</v>
      </c>
      <c r="U259" s="4">
        <f t="shared" si="29"/>
        <v>0</v>
      </c>
      <c r="V259" s="4">
        <f t="shared" si="29"/>
        <v>0</v>
      </c>
      <c r="W259" s="4">
        <f t="shared" si="29"/>
        <v>0</v>
      </c>
      <c r="X259" s="4">
        <f t="shared" si="29"/>
        <v>0</v>
      </c>
      <c r="Y259" s="4">
        <f t="shared" si="29"/>
        <v>0</v>
      </c>
      <c r="Z259" s="4">
        <f t="shared" si="29"/>
        <v>0</v>
      </c>
      <c r="AA259" s="4">
        <f t="shared" si="29"/>
        <v>0</v>
      </c>
      <c r="AB259" s="4">
        <f t="shared" si="29"/>
        <v>0</v>
      </c>
      <c r="AC259" s="4">
        <f t="shared" si="29"/>
        <v>0</v>
      </c>
      <c r="AD259" s="4">
        <f t="shared" si="29"/>
        <v>0</v>
      </c>
      <c r="AE259" s="4">
        <f t="shared" si="29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30">IF(B227&lt;100,"",B227-520)</f>
        <v/>
      </c>
      <c r="C260" s="3" t="str">
        <f t="shared" si="30"/>
        <v/>
      </c>
      <c r="D260" s="3" t="str">
        <f t="shared" si="30"/>
        <v/>
      </c>
      <c r="E260" s="3" t="str">
        <f t="shared" si="30"/>
        <v/>
      </c>
      <c r="F260" s="3" t="str">
        <f t="shared" si="30"/>
        <v/>
      </c>
      <c r="G260" s="3" t="str">
        <f t="shared" si="30"/>
        <v/>
      </c>
      <c r="H260" s="3" t="str">
        <f t="shared" si="30"/>
        <v/>
      </c>
      <c r="I260" s="3" t="str">
        <f t="shared" si="30"/>
        <v/>
      </c>
      <c r="J260" s="3" t="str">
        <f t="shared" si="30"/>
        <v/>
      </c>
      <c r="K260" s="3" t="str">
        <f t="shared" si="30"/>
        <v/>
      </c>
      <c r="L260" s="3" t="str">
        <f t="shared" si="30"/>
        <v/>
      </c>
      <c r="M260" s="3" t="str">
        <f t="shared" si="30"/>
        <v/>
      </c>
      <c r="N260" s="3" t="str">
        <f t="shared" si="30"/>
        <v/>
      </c>
      <c r="O260" s="3" t="str">
        <f t="shared" si="30"/>
        <v/>
      </c>
      <c r="P260" s="3" t="str">
        <f t="shared" si="30"/>
        <v/>
      </c>
      <c r="Q260" s="3" t="str">
        <f t="shared" si="30"/>
        <v/>
      </c>
      <c r="R260" s="3" t="str">
        <f t="shared" si="30"/>
        <v/>
      </c>
      <c r="S260" s="3" t="str">
        <f t="shared" si="30"/>
        <v/>
      </c>
      <c r="T260" s="3" t="str">
        <f t="shared" si="30"/>
        <v/>
      </c>
      <c r="U260" s="3" t="str">
        <f t="shared" si="30"/>
        <v/>
      </c>
      <c r="V260" s="3" t="str">
        <f t="shared" si="30"/>
        <v/>
      </c>
      <c r="W260" s="3" t="str">
        <f t="shared" si="30"/>
        <v/>
      </c>
      <c r="X260" s="3" t="str">
        <f t="shared" si="30"/>
        <v/>
      </c>
      <c r="Y260" s="3" t="str">
        <f t="shared" si="30"/>
        <v/>
      </c>
      <c r="Z260" s="3" t="str">
        <f t="shared" si="30"/>
        <v/>
      </c>
      <c r="AA260" s="3" t="str">
        <f t="shared" si="30"/>
        <v/>
      </c>
      <c r="AB260" s="3" t="str">
        <f t="shared" si="30"/>
        <v/>
      </c>
      <c r="AC260" s="3" t="str">
        <f t="shared" si="30"/>
        <v/>
      </c>
      <c r="AD260" s="3" t="str">
        <f t="shared" si="30"/>
        <v/>
      </c>
      <c r="AE260" s="3" t="str">
        <f t="shared" si="30"/>
        <v/>
      </c>
      <c r="AF260" s="3" t="str">
        <f t="shared" si="30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31">IF(B228&lt;100,"",B228-620)</f>
        <v/>
      </c>
      <c r="C261" s="3" t="str">
        <f t="shared" si="31"/>
        <v/>
      </c>
      <c r="D261" s="3" t="str">
        <f t="shared" si="31"/>
        <v/>
      </c>
      <c r="E261" s="3" t="str">
        <f t="shared" si="31"/>
        <v/>
      </c>
      <c r="F261" s="3" t="str">
        <f t="shared" si="31"/>
        <v/>
      </c>
      <c r="G261" s="3" t="str">
        <f t="shared" si="31"/>
        <v/>
      </c>
      <c r="H261" s="3" t="str">
        <f t="shared" si="31"/>
        <v/>
      </c>
      <c r="I261" s="3" t="str">
        <f t="shared" si="31"/>
        <v/>
      </c>
      <c r="J261" s="3" t="str">
        <f t="shared" si="31"/>
        <v/>
      </c>
      <c r="K261" s="3" t="str">
        <f t="shared" si="31"/>
        <v/>
      </c>
      <c r="L261" s="3" t="str">
        <f t="shared" si="31"/>
        <v/>
      </c>
      <c r="M261" s="3" t="str">
        <f t="shared" si="31"/>
        <v/>
      </c>
      <c r="N261" s="3" t="str">
        <f t="shared" si="31"/>
        <v/>
      </c>
      <c r="O261" s="3" t="str">
        <f t="shared" si="31"/>
        <v/>
      </c>
      <c r="P261" s="3" t="str">
        <f t="shared" si="31"/>
        <v/>
      </c>
      <c r="Q261" s="3" t="str">
        <f t="shared" si="31"/>
        <v/>
      </c>
      <c r="R261" s="3" t="str">
        <f t="shared" si="31"/>
        <v/>
      </c>
      <c r="S261" s="3" t="str">
        <f t="shared" si="31"/>
        <v/>
      </c>
      <c r="T261" s="3" t="str">
        <f t="shared" si="31"/>
        <v/>
      </c>
      <c r="U261" s="3" t="str">
        <f t="shared" si="31"/>
        <v/>
      </c>
      <c r="V261" s="3" t="str">
        <f t="shared" si="31"/>
        <v/>
      </c>
      <c r="W261" s="3" t="str">
        <f t="shared" si="31"/>
        <v/>
      </c>
      <c r="X261" s="3" t="str">
        <f t="shared" si="31"/>
        <v/>
      </c>
      <c r="Y261" s="3" t="str">
        <f t="shared" si="31"/>
        <v/>
      </c>
      <c r="Z261" s="3" t="str">
        <f t="shared" si="31"/>
        <v/>
      </c>
      <c r="AA261" s="3" t="str">
        <f t="shared" si="31"/>
        <v/>
      </c>
      <c r="AB261" s="3" t="str">
        <f t="shared" si="31"/>
        <v/>
      </c>
      <c r="AC261" s="3" t="str">
        <f t="shared" si="31"/>
        <v/>
      </c>
      <c r="AD261" s="3" t="str">
        <f t="shared" si="31"/>
        <v/>
      </c>
      <c r="AE261" s="3" t="str">
        <f t="shared" si="31"/>
        <v/>
      </c>
      <c r="AF261" s="3" t="str">
        <f t="shared" si="31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2">IF(B229&lt;100,"",B229-330)</f>
        <v/>
      </c>
      <c r="C262" s="3" t="str">
        <f t="shared" si="32"/>
        <v/>
      </c>
      <c r="D262" s="3" t="str">
        <f t="shared" si="32"/>
        <v/>
      </c>
      <c r="E262" s="3" t="str">
        <f t="shared" si="32"/>
        <v/>
      </c>
      <c r="F262" s="3" t="str">
        <f t="shared" si="32"/>
        <v/>
      </c>
      <c r="G262" s="3" t="str">
        <f t="shared" si="32"/>
        <v/>
      </c>
      <c r="H262" s="3" t="str">
        <f t="shared" si="32"/>
        <v/>
      </c>
      <c r="I262" s="3" t="str">
        <f t="shared" si="32"/>
        <v/>
      </c>
      <c r="J262" s="3" t="str">
        <f t="shared" si="32"/>
        <v/>
      </c>
      <c r="K262" s="3" t="str">
        <f t="shared" si="32"/>
        <v/>
      </c>
      <c r="L262" s="3" t="str">
        <f t="shared" si="32"/>
        <v/>
      </c>
      <c r="M262" s="3" t="str">
        <f t="shared" si="32"/>
        <v/>
      </c>
      <c r="N262" s="3" t="str">
        <f t="shared" si="32"/>
        <v/>
      </c>
      <c r="O262" s="3" t="str">
        <f t="shared" si="32"/>
        <v/>
      </c>
      <c r="P262" s="3" t="str">
        <f t="shared" si="32"/>
        <v/>
      </c>
      <c r="Q262" s="3" t="str">
        <f t="shared" si="32"/>
        <v/>
      </c>
      <c r="R262" s="3" t="str">
        <f t="shared" si="32"/>
        <v/>
      </c>
      <c r="S262" s="3" t="str">
        <f t="shared" si="32"/>
        <v/>
      </c>
      <c r="T262" s="3" t="str">
        <f t="shared" si="32"/>
        <v/>
      </c>
      <c r="U262" s="3" t="str">
        <f t="shared" si="32"/>
        <v/>
      </c>
      <c r="V262" s="3" t="str">
        <f t="shared" si="32"/>
        <v/>
      </c>
      <c r="W262" s="3" t="str">
        <f t="shared" si="32"/>
        <v/>
      </c>
      <c r="X262" s="3" t="str">
        <f t="shared" si="32"/>
        <v/>
      </c>
      <c r="Y262" s="3" t="str">
        <f t="shared" si="32"/>
        <v/>
      </c>
      <c r="Z262" s="3" t="str">
        <f t="shared" si="32"/>
        <v/>
      </c>
      <c r="AA262" s="3" t="str">
        <f t="shared" si="32"/>
        <v/>
      </c>
      <c r="AB262" s="3" t="str">
        <f t="shared" si="32"/>
        <v/>
      </c>
      <c r="AC262" s="3" t="str">
        <f t="shared" si="32"/>
        <v/>
      </c>
      <c r="AD262" s="3" t="str">
        <f t="shared" si="32"/>
        <v/>
      </c>
      <c r="AE262" s="3" t="str">
        <f t="shared" si="32"/>
        <v/>
      </c>
      <c r="AF262" s="3" t="str">
        <f t="shared" si="32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3">IF(B230&lt;100,"",B230-1500)</f>
        <v/>
      </c>
      <c r="C263" s="3" t="str">
        <f t="shared" si="33"/>
        <v/>
      </c>
      <c r="D263" s="3" t="str">
        <f t="shared" si="33"/>
        <v/>
      </c>
      <c r="E263" s="3" t="str">
        <f t="shared" si="33"/>
        <v/>
      </c>
      <c r="F263" s="3" t="str">
        <f t="shared" si="33"/>
        <v/>
      </c>
      <c r="G263" s="3" t="str">
        <f t="shared" si="33"/>
        <v/>
      </c>
      <c r="H263" s="3" t="str">
        <f t="shared" si="33"/>
        <v/>
      </c>
      <c r="I263" s="3" t="str">
        <f t="shared" si="33"/>
        <v/>
      </c>
      <c r="J263" s="3" t="str">
        <f t="shared" si="33"/>
        <v/>
      </c>
      <c r="K263" s="3" t="str">
        <f t="shared" si="33"/>
        <v/>
      </c>
      <c r="L263" s="3" t="str">
        <f t="shared" si="33"/>
        <v/>
      </c>
      <c r="M263" s="3" t="str">
        <f t="shared" si="33"/>
        <v/>
      </c>
      <c r="N263" s="3" t="str">
        <f t="shared" si="33"/>
        <v/>
      </c>
      <c r="O263" s="3" t="str">
        <f t="shared" si="33"/>
        <v/>
      </c>
      <c r="P263" s="3" t="str">
        <f t="shared" si="33"/>
        <v/>
      </c>
      <c r="Q263" s="3" t="str">
        <f t="shared" si="33"/>
        <v/>
      </c>
      <c r="R263" s="3" t="str">
        <f t="shared" si="33"/>
        <v/>
      </c>
      <c r="S263" s="3" t="str">
        <f t="shared" si="33"/>
        <v/>
      </c>
      <c r="T263" s="3" t="str">
        <f t="shared" si="33"/>
        <v/>
      </c>
      <c r="U263" s="3" t="str">
        <f t="shared" si="33"/>
        <v/>
      </c>
      <c r="V263" s="3" t="str">
        <f t="shared" si="33"/>
        <v/>
      </c>
      <c r="W263" s="3" t="str">
        <f t="shared" si="33"/>
        <v/>
      </c>
      <c r="X263" s="3" t="str">
        <f t="shared" si="33"/>
        <v/>
      </c>
      <c r="Y263" s="3" t="str">
        <f t="shared" si="33"/>
        <v/>
      </c>
      <c r="Z263" s="3" t="str">
        <f t="shared" si="33"/>
        <v/>
      </c>
      <c r="AA263" s="3" t="str">
        <f t="shared" si="33"/>
        <v/>
      </c>
      <c r="AB263" s="3" t="str">
        <f t="shared" si="33"/>
        <v/>
      </c>
      <c r="AC263" s="3" t="str">
        <f t="shared" si="33"/>
        <v/>
      </c>
      <c r="AD263" s="3" t="str">
        <f t="shared" si="33"/>
        <v/>
      </c>
      <c r="AE263" s="3" t="str">
        <f t="shared" si="33"/>
        <v/>
      </c>
      <c r="AF263" s="3" t="str">
        <f t="shared" si="33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A11:A225">
    <cfRule type="expression" dxfId="252" priority="313">
      <formula>$AH11=0</formula>
    </cfRule>
  </conditionalFormatting>
  <conditionalFormatting sqref="B8 M8 S8 AB8">
    <cfRule type="expression" dxfId="251" priority="543">
      <formula>AND(C$9&gt;=14/24,C$9&lt;20/24)</formula>
    </cfRule>
    <cfRule type="expression" dxfId="250" priority="544">
      <formula>AND(C$9&gt;=8/24,C$9&lt;14/24)</formula>
    </cfRule>
    <cfRule type="expression" dxfId="249" priority="545">
      <formula>C$9&lt;8/24</formula>
    </cfRule>
  </conditionalFormatting>
  <conditionalFormatting sqref="B74:B81">
    <cfRule type="expression" dxfId="248" priority="217">
      <formula>B$9&gt;=20/24</formula>
    </cfRule>
    <cfRule type="expression" dxfId="247" priority="218">
      <formula>AND(B$9&gt;=14/24,B$9&lt;20/24)</formula>
    </cfRule>
    <cfRule type="expression" dxfId="246" priority="219">
      <formula>AND(B$9&gt;=8/24,B$9&lt;14/24)</formula>
    </cfRule>
    <cfRule type="expression" dxfId="245" priority="220">
      <formula>B$9&lt;8/24</formula>
    </cfRule>
  </conditionalFormatting>
  <conditionalFormatting sqref="B45:E47">
    <cfRule type="expression" dxfId="240" priority="280">
      <formula>B$9&lt;8/24</formula>
    </cfRule>
    <cfRule type="expression" dxfId="239" priority="279">
      <formula>AND(B$9&gt;=8/24,B$9&lt;14/24)</formula>
    </cfRule>
    <cfRule type="expression" dxfId="238" priority="278">
      <formula>AND(B$9&gt;=14/24,B$9&lt;20/24)</formula>
    </cfRule>
    <cfRule type="expression" dxfId="237" priority="277">
      <formula>B$9&gt;=20/24</formula>
    </cfRule>
  </conditionalFormatting>
  <conditionalFormatting sqref="B11:L11">
    <cfRule type="expression" dxfId="236" priority="294">
      <formula>B$9&gt;=20/24</formula>
    </cfRule>
    <cfRule type="expression" dxfId="235" priority="295">
      <formula>AND(B$9&gt;=14/24,B$9&lt;20/24)</formula>
    </cfRule>
    <cfRule type="expression" dxfId="234" priority="297">
      <formula>B$9&lt;8/24</formula>
    </cfRule>
    <cfRule type="expression" dxfId="233" priority="296">
      <formula>AND(B$9&gt;=8/24,B$9&lt;14/24)</formula>
    </cfRule>
  </conditionalFormatting>
  <conditionalFormatting sqref="B11:L17 M12:N17">
    <cfRule type="expression" dxfId="232" priority="289">
      <formula>B11&gt;$AG11</formula>
    </cfRule>
  </conditionalFormatting>
  <conditionalFormatting sqref="B45:L47">
    <cfRule type="expression" dxfId="231" priority="276">
      <formula>B45&gt;$AG45</formula>
    </cfRule>
  </conditionalFormatting>
  <conditionalFormatting sqref="B49:L49">
    <cfRule type="expression" dxfId="230" priority="263">
      <formula>B$9&gt;=20/24</formula>
    </cfRule>
    <cfRule type="expression" dxfId="229" priority="264">
      <formula>AND(B$9&gt;=14/24,B$9&lt;20/24)</formula>
    </cfRule>
    <cfRule type="expression" dxfId="228" priority="265">
      <formula>AND(B$9&gt;=8/24,B$9&lt;14/24)</formula>
    </cfRule>
    <cfRule type="expression" dxfId="227" priority="266">
      <formula>B$9&lt;8/24</formula>
    </cfRule>
  </conditionalFormatting>
  <conditionalFormatting sqref="B48:M48">
    <cfRule type="expression" dxfId="226" priority="271">
      <formula>B48&gt;$AG48</formula>
    </cfRule>
  </conditionalFormatting>
  <conditionalFormatting sqref="B12:N18 B19:Q24">
    <cfRule type="expression" dxfId="225" priority="224">
      <formula>AND(B$9&gt;=8/24,B$9&lt;14/24)</formula>
    </cfRule>
    <cfRule type="expression" dxfId="224" priority="225">
      <formula>B$9&lt;8/24</formula>
    </cfRule>
    <cfRule type="expression" dxfId="223" priority="223">
      <formula>AND(B$9&gt;=14/24,B$9&lt;20/24)</formula>
    </cfRule>
  </conditionalFormatting>
  <conditionalFormatting sqref="B12:N18 B19:R24">
    <cfRule type="expression" dxfId="222" priority="222">
      <formula>B$9&gt;=20/24</formula>
    </cfRule>
  </conditionalFormatting>
  <conditionalFormatting sqref="B25:Q27 B62:AG62">
    <cfRule type="expression" dxfId="221" priority="250">
      <formula>AND(B$9&gt;=14/24,B$9&lt;20/24)</formula>
    </cfRule>
    <cfRule type="expression" dxfId="220" priority="251">
      <formula>AND(B$9&gt;=8/24,B$9&lt;14/24)</formula>
    </cfRule>
    <cfRule type="expression" dxfId="219" priority="252">
      <formula>B$9&lt;8/24</formula>
    </cfRule>
  </conditionalFormatting>
  <conditionalFormatting sqref="B49:Q56">
    <cfRule type="expression" dxfId="218" priority="230">
      <formula>B49&gt;$AG49</formula>
    </cfRule>
  </conditionalFormatting>
  <conditionalFormatting sqref="B50:Q56">
    <cfRule type="expression" dxfId="217" priority="234">
      <formula>B$9&lt;8/24</formula>
    </cfRule>
    <cfRule type="expression" dxfId="216" priority="231">
      <formula>B$9&gt;=20/24</formula>
    </cfRule>
    <cfRule type="expression" dxfId="215" priority="233">
      <formula>AND(B$9&gt;=8/24,B$9&lt;14/24)</formula>
    </cfRule>
    <cfRule type="expression" dxfId="214" priority="232">
      <formula>AND(B$9&gt;=14/24,B$9&lt;20/24)</formula>
    </cfRule>
  </conditionalFormatting>
  <conditionalFormatting sqref="B25:R39">
    <cfRule type="expression" dxfId="213" priority="235">
      <formula>B25&gt;$AG25</formula>
    </cfRule>
  </conditionalFormatting>
  <conditionalFormatting sqref="B29:R36">
    <cfRule type="expression" dxfId="212" priority="239">
      <formula>B$9&lt;8/24</formula>
    </cfRule>
    <cfRule type="expression" dxfId="211" priority="236">
      <formula>B$9&gt;=20/24</formula>
    </cfRule>
    <cfRule type="expression" dxfId="210" priority="237">
      <formula>AND(B$9&gt;=14/24,B$9&lt;20/24)</formula>
    </cfRule>
    <cfRule type="expression" dxfId="209" priority="238">
      <formula>AND(B$9&gt;=8/24,B$9&lt;14/24)</formula>
    </cfRule>
  </conditionalFormatting>
  <conditionalFormatting sqref="B38:R39 C74:AF78">
    <cfRule type="expression" dxfId="208" priority="274">
      <formula>AND(B$9&gt;=8/24,B$9&lt;14/24)</formula>
    </cfRule>
    <cfRule type="expression" dxfId="207" priority="272">
      <formula>B$9&gt;=20/24</formula>
    </cfRule>
    <cfRule type="expression" dxfId="206" priority="273">
      <formula>AND(B$9&gt;=14/24,B$9&lt;20/24)</formula>
    </cfRule>
    <cfRule type="expression" dxfId="205" priority="275">
      <formula>B$9&lt;8/24</formula>
    </cfRule>
  </conditionalFormatting>
  <conditionalFormatting sqref="B37:AD37">
    <cfRule type="expression" dxfId="204" priority="162">
      <formula>B$9&gt;=20/24</formula>
    </cfRule>
    <cfRule type="expression" dxfId="203" priority="163">
      <formula>AND(B$9&gt;=14/24,B$9&lt;20/24)</formula>
    </cfRule>
    <cfRule type="expression" dxfId="202" priority="164">
      <formula>AND(B$9&gt;=8/24,B$9&lt;14/24)</formula>
    </cfRule>
    <cfRule type="expression" dxfId="201" priority="165">
      <formula>B$9&lt;8/24</formula>
    </cfRule>
  </conditionalFormatting>
  <conditionalFormatting sqref="B9:AF10 AF11 B216:AF216 B218:B224 D218:AF224 U237:AF237">
    <cfRule type="expression" dxfId="200" priority="539">
      <formula>B$9&lt;8/24</formula>
    </cfRule>
    <cfRule type="expression" dxfId="199" priority="538">
      <formula>AND(B$9&gt;=8/24,B$9&lt;14/24)</formula>
    </cfRule>
    <cfRule type="expression" dxfId="198" priority="537">
      <formula>AND(B$9&gt;=14/24,B$9&lt;20/24)</formula>
    </cfRule>
  </conditionalFormatting>
  <conditionalFormatting sqref="B18:AF24">
    <cfRule type="expression" dxfId="197" priority="11">
      <formula>B18&gt;$AG18</formula>
    </cfRule>
  </conditionalFormatting>
  <conditionalFormatting sqref="B28:AF28">
    <cfRule type="expression" dxfId="196" priority="16">
      <formula>B$9&gt;=20/24</formula>
    </cfRule>
    <cfRule type="expression" dxfId="195" priority="17">
      <formula>AND(B$9&gt;=14/24,B$9&lt;20/24)</formula>
    </cfRule>
    <cfRule type="expression" dxfId="194" priority="18">
      <formula>AND(B$9&gt;=8/24,B$9&lt;14/24)</formula>
    </cfRule>
    <cfRule type="expression" dxfId="193" priority="19">
      <formula>B$9&lt;8/24</formula>
    </cfRule>
  </conditionalFormatting>
  <conditionalFormatting sqref="B41:AF43">
    <cfRule type="expression" dxfId="192" priority="115">
      <formula>B41&gt;$AG41</formula>
    </cfRule>
    <cfRule type="expression" dxfId="191" priority="116">
      <formula>B$9&gt;=20/24</formula>
    </cfRule>
    <cfRule type="expression" dxfId="190" priority="119">
      <formula>B$9&lt;8/24</formula>
    </cfRule>
    <cfRule type="expression" dxfId="189" priority="118">
      <formula>AND(B$9&gt;=8/24,B$9&lt;14/24)</formula>
    </cfRule>
    <cfRule type="expression" dxfId="188" priority="117">
      <formula>AND(B$9&gt;=14/24,B$9&lt;20/24)</formula>
    </cfRule>
  </conditionalFormatting>
  <conditionalFormatting sqref="B59:AF61">
    <cfRule type="expression" dxfId="187" priority="90">
      <formula>B$9&gt;=20/24</formula>
    </cfRule>
    <cfRule type="expression" dxfId="186" priority="91">
      <formula>AND(B$9&gt;=14/24,B$9&lt;20/24)</formula>
    </cfRule>
    <cfRule type="expression" dxfId="185" priority="92">
      <formula>AND(B$9&gt;=8/24,B$9&lt;14/24)</formula>
    </cfRule>
    <cfRule type="expression" dxfId="184" priority="93">
      <formula>B$9&lt;8/24</formula>
    </cfRule>
    <cfRule type="expression" dxfId="183" priority="89">
      <formula>B59&gt;$AG59</formula>
    </cfRule>
  </conditionalFormatting>
  <conditionalFormatting sqref="B63:AF73">
    <cfRule type="expression" dxfId="182" priority="42">
      <formula>AND(B$9&gt;=8/24,B$9&lt;14/24)</formula>
    </cfRule>
    <cfRule type="expression" dxfId="181" priority="43">
      <formula>B$9&lt;8/24</formula>
    </cfRule>
    <cfRule type="expression" dxfId="180" priority="41">
      <formula>AND(B$9&gt;=14/24,B$9&lt;20/24)</formula>
    </cfRule>
    <cfRule type="expression" dxfId="179" priority="40">
      <formula>B$9&gt;=20/24</formula>
    </cfRule>
  </conditionalFormatting>
  <conditionalFormatting sqref="B83:AF99">
    <cfRule type="expression" dxfId="178" priority="202">
      <formula>B$9&lt;8/24</formula>
    </cfRule>
    <cfRule type="expression" dxfId="177" priority="201">
      <formula>AND(B$9&gt;=8/24,B$9&lt;14/24)</formula>
    </cfRule>
    <cfRule type="expression" dxfId="176" priority="200">
      <formula>AND(B$9&gt;=14/24,B$9&lt;20/24)</formula>
    </cfRule>
    <cfRule type="expression" dxfId="175" priority="199">
      <formula>B$9&gt;=20/24</formula>
    </cfRule>
  </conditionalFormatting>
  <conditionalFormatting sqref="B101:AF108">
    <cfRule type="expression" dxfId="174" priority="187">
      <formula>B$9&gt;=20/24</formula>
    </cfRule>
    <cfRule type="expression" dxfId="173" priority="190">
      <formula>B$9&lt;8/24</formula>
    </cfRule>
    <cfRule type="expression" dxfId="172" priority="188">
      <formula>AND(B$9&gt;=14/24,B$9&lt;20/24)</formula>
    </cfRule>
    <cfRule type="expression" dxfId="171" priority="189">
      <formula>AND(B$9&gt;=8/24,B$9&lt;14/24)</formula>
    </cfRule>
  </conditionalFormatting>
  <conditionalFormatting sqref="B40:AG40 B57:AG58 B62:AG62">
    <cfRule type="expression" dxfId="166" priority="244">
      <formula>B40&gt;$AG40</formula>
    </cfRule>
  </conditionalFormatting>
  <conditionalFormatting sqref="B44:AG44">
    <cfRule type="expression" dxfId="165" priority="203">
      <formula>B44&gt;$AG44</formula>
    </cfRule>
    <cfRule type="expression" dxfId="164" priority="205">
      <formula>AND(B$9&gt;=14/24,B$9&lt;20/24)</formula>
    </cfRule>
    <cfRule type="expression" dxfId="163" priority="207">
      <formula>B$9&lt;8/24</formula>
    </cfRule>
    <cfRule type="expression" dxfId="162" priority="206">
      <formula>AND(B$9&gt;=8/24,B$9&lt;14/24)</formula>
    </cfRule>
    <cfRule type="expression" dxfId="161" priority="204">
      <formula>B$9&gt;=20/24</formula>
    </cfRule>
  </conditionalFormatting>
  <conditionalFormatting sqref="B62:AG62 B25:R27">
    <cfRule type="expression" dxfId="160" priority="249">
      <formula>B$9&gt;=20/24</formula>
    </cfRule>
  </conditionalFormatting>
  <conditionalFormatting sqref="C79:AG79 C80:AF81">
    <cfRule type="expression" dxfId="155" priority="416">
      <formula>C$9&gt;=20/24</formula>
    </cfRule>
    <cfRule type="expression" dxfId="154" priority="417">
      <formula>AND(C$9&gt;=14/24,C$9&lt;20/24)</formula>
    </cfRule>
    <cfRule type="expression" dxfId="153" priority="418">
      <formula>AND(C$9&gt;=8/24,C$9&lt;14/24)</formula>
    </cfRule>
    <cfRule type="expression" dxfId="152" priority="419">
      <formula>C$9&lt;8/24</formula>
    </cfRule>
  </conditionalFormatting>
  <conditionalFormatting sqref="F45:N45 O45:Q48 N46:N48">
    <cfRule type="expression" dxfId="151" priority="468">
      <formula>AND(F$9&gt;=8/24,F$9&lt;14/24)</formula>
    </cfRule>
    <cfRule type="expression" dxfId="150" priority="466">
      <formula>F$9&gt;=20/24</formula>
    </cfRule>
    <cfRule type="expression" dxfId="149" priority="467">
      <formula>AND(F$9&gt;=14/24,F$9&lt;20/24)</formula>
    </cfRule>
    <cfRule type="expression" dxfId="148" priority="469">
      <formula>F$9&lt;8/24</formula>
    </cfRule>
  </conditionalFormatting>
  <conditionalFormatting sqref="M45:N45 O45:Q48 N46:N48">
    <cfRule type="expression" dxfId="147" priority="465">
      <formula>M45&gt;$AG45</formula>
    </cfRule>
  </conditionalFormatting>
  <conditionalFormatting sqref="M11:Q11">
    <cfRule type="expression" dxfId="146" priority="438">
      <formula>M$9&gt;=20/24</formula>
    </cfRule>
    <cfRule type="expression" dxfId="145" priority="440">
      <formula>AND(M$9&gt;=8/24,M$9&lt;14/24)</formula>
    </cfRule>
    <cfRule type="expression" dxfId="144" priority="439">
      <formula>AND(M$9&gt;=14/24,M$9&lt;20/24)</formula>
    </cfRule>
    <cfRule type="expression" dxfId="143" priority="441">
      <formula>M$9&lt;8/24</formula>
    </cfRule>
  </conditionalFormatting>
  <conditionalFormatting sqref="M11:R11">
    <cfRule type="expression" dxfId="142" priority="433">
      <formula>M11&gt;$AG11</formula>
    </cfRule>
  </conditionalFormatting>
  <conditionalFormatting sqref="O3:P3">
    <cfRule type="iconSet" priority="540">
      <iconSet iconSet="3TrafficLights2" reverse="1">
        <cfvo type="percent" val="0"/>
        <cfvo type="num" val="1"/>
        <cfvo type="num" val="1"/>
      </iconSet>
    </cfRule>
  </conditionalFormatting>
  <conditionalFormatting sqref="O12:Q16">
    <cfRule type="expression" dxfId="141" priority="315">
      <formula>O$9&gt;=20/24</formula>
    </cfRule>
    <cfRule type="expression" dxfId="140" priority="316">
      <formula>AND(O$9&gt;=14/24,O$9&lt;20/24)</formula>
    </cfRule>
    <cfRule type="expression" dxfId="139" priority="317">
      <formula>AND(O$9&gt;=8/24,O$9&lt;14/24)</formula>
    </cfRule>
    <cfRule type="expression" dxfId="138" priority="318">
      <formula>O$9&lt;8/24</formula>
    </cfRule>
  </conditionalFormatting>
  <conditionalFormatting sqref="O17:R18 R19:R27">
    <cfRule type="expression" dxfId="137" priority="386">
      <formula>AND(O$9&gt;=14/24,O$9&lt;20/24)</formula>
    </cfRule>
    <cfRule type="expression" dxfId="136" priority="388">
      <formula>O$9&lt;8/24</formula>
    </cfRule>
    <cfRule type="expression" dxfId="135" priority="387">
      <formula>AND(O$9&gt;=8/24,O$9&lt;14/24)</formula>
    </cfRule>
  </conditionalFormatting>
  <conditionalFormatting sqref="O17:R18">
    <cfRule type="expression" dxfId="134" priority="385">
      <formula>O$9&gt;=20/24</formula>
    </cfRule>
  </conditionalFormatting>
  <conditionalFormatting sqref="R11:R14">
    <cfRule type="expression" dxfId="133" priority="496">
      <formula>R$9&lt;8/24</formula>
    </cfRule>
    <cfRule type="expression" dxfId="132" priority="494">
      <formula>AND(R$9&gt;=14/24,R$9&lt;20/24)</formula>
    </cfRule>
    <cfRule type="expression" dxfId="131" priority="495">
      <formula>AND(R$9&gt;=8/24,R$9&lt;14/24)</formula>
    </cfRule>
    <cfRule type="expression" dxfId="130" priority="493">
      <formula>R$9&gt;=20/24</formula>
    </cfRule>
  </conditionalFormatting>
  <conditionalFormatting sqref="R11:R15 O17:R17 O12:Q15">
    <cfRule type="expression" dxfId="129" priority="530">
      <formula>O11&gt;$AG11</formula>
    </cfRule>
  </conditionalFormatting>
  <conditionalFormatting sqref="R45:R56">
    <cfRule type="expression" dxfId="128" priority="395">
      <formula>AND(R$9&gt;=14/24,R$9&lt;20/24)</formula>
    </cfRule>
    <cfRule type="expression" dxfId="127" priority="396">
      <formula>AND(R$9&gt;=8/24,R$9&lt;14/24)</formula>
    </cfRule>
    <cfRule type="expression" dxfId="126" priority="397">
      <formula>R$9&lt;8/24</formula>
    </cfRule>
    <cfRule type="expression" dxfId="125" priority="393">
      <formula>R45&gt;$AG45</formula>
    </cfRule>
    <cfRule type="expression" dxfId="124" priority="394">
      <formula>R$9&gt;=20/24</formula>
    </cfRule>
  </conditionalFormatting>
  <conditionalFormatting sqref="S8 AB8 B8 M8">
    <cfRule type="expression" dxfId="123" priority="542">
      <formula>C$9&gt;=20/24</formula>
    </cfRule>
  </conditionalFormatting>
  <conditionalFormatting sqref="S8">
    <cfRule type="expression" dxfId="122" priority="511">
      <formula>U$9&gt;=20/24</formula>
    </cfRule>
    <cfRule type="expression" dxfId="121" priority="512">
      <formula>AND(U$9&gt;=14/24,U$9&lt;20/24)</formula>
    </cfRule>
    <cfRule type="expression" dxfId="120" priority="513">
      <formula>AND(U$9&gt;=8/24,U$9&lt;14/24)</formula>
    </cfRule>
    <cfRule type="expression" dxfId="119" priority="514">
      <formula>U$9&lt;8/24</formula>
    </cfRule>
  </conditionalFormatting>
  <conditionalFormatting sqref="S45:U48">
    <cfRule type="expression" dxfId="118" priority="111">
      <formula>S$9&gt;=20/24</formula>
    </cfRule>
    <cfRule type="expression" dxfId="117" priority="112">
      <formula>AND(S$9&gt;=14/24,S$9&lt;20/24)</formula>
    </cfRule>
    <cfRule type="expression" dxfId="116" priority="113">
      <formula>AND(S$9&gt;=8/24,S$9&lt;14/24)</formula>
    </cfRule>
    <cfRule type="expression" dxfId="115" priority="114">
      <formula>S$9&lt;8/24</formula>
    </cfRule>
  </conditionalFormatting>
  <conditionalFormatting sqref="S45:U52">
    <cfRule type="expression" dxfId="114" priority="99">
      <formula>S45&gt;$AG45</formula>
    </cfRule>
  </conditionalFormatting>
  <conditionalFormatting sqref="S50:U52">
    <cfRule type="expression" dxfId="113" priority="102">
      <formula>AND(S$9&gt;=8/24,S$9&lt;14/24)</formula>
    </cfRule>
    <cfRule type="expression" dxfId="112" priority="103">
      <formula>S$9&lt;8/24</formula>
    </cfRule>
    <cfRule type="expression" dxfId="111" priority="101">
      <formula>AND(S$9&gt;=14/24,S$9&lt;20/24)</formula>
    </cfRule>
    <cfRule type="expression" dxfId="110" priority="100">
      <formula>S$9&gt;=20/24</formula>
    </cfRule>
  </conditionalFormatting>
  <conditionalFormatting sqref="S11:AD11">
    <cfRule type="expression" dxfId="109" priority="179">
      <formula>AND(S$9&gt;=8/24,S$9&lt;14/24)</formula>
    </cfRule>
    <cfRule type="expression" dxfId="108" priority="178">
      <formula>AND(S$9&gt;=14/24,S$9&lt;20/24)</formula>
    </cfRule>
    <cfRule type="expression" dxfId="107" priority="180">
      <formula>S$9&lt;8/24</formula>
    </cfRule>
    <cfRule type="expression" dxfId="106" priority="177">
      <formula>S$9&gt;=20/24</formula>
    </cfRule>
  </conditionalFormatting>
  <conditionalFormatting sqref="S11:AD17">
    <cfRule type="expression" dxfId="105" priority="152">
      <formula>S11&gt;$AG11</formula>
    </cfRule>
  </conditionalFormatting>
  <conditionalFormatting sqref="S12:AD24">
    <cfRule type="expression" dxfId="104" priority="126">
      <formula>S$9&gt;=20/24</formula>
    </cfRule>
    <cfRule type="expression" dxfId="103" priority="127">
      <formula>AND(S$9&gt;=14/24,S$9&lt;20/24)</formula>
    </cfRule>
    <cfRule type="expression" dxfId="102" priority="128">
      <formula>AND(S$9&gt;=8/24,S$9&lt;14/24)</formula>
    </cfRule>
    <cfRule type="expression" dxfId="101" priority="129">
      <formula>S$9&lt;8/24</formula>
    </cfRule>
  </conditionalFormatting>
  <conditionalFormatting sqref="S25:AD27">
    <cfRule type="expression" dxfId="100" priority="147">
      <formula>S$9&lt;8/24</formula>
    </cfRule>
    <cfRule type="expression" dxfId="99" priority="146">
      <formula>AND(S$9&gt;=8/24,S$9&lt;14/24)</formula>
    </cfRule>
    <cfRule type="expression" dxfId="98" priority="144">
      <formula>S$9&gt;=20/24</formula>
    </cfRule>
    <cfRule type="expression" dxfId="97" priority="145">
      <formula>AND(S$9&gt;=14/24,S$9&lt;20/24)</formula>
    </cfRule>
  </conditionalFormatting>
  <conditionalFormatting sqref="S25:AD36">
    <cfRule type="expression" dxfId="96" priority="134">
      <formula>S25&gt;$AG25</formula>
    </cfRule>
  </conditionalFormatting>
  <conditionalFormatting sqref="S29:AD36">
    <cfRule type="expression" dxfId="95" priority="135">
      <formula>S$9&gt;=20/24</formula>
    </cfRule>
    <cfRule type="expression" dxfId="94" priority="136">
      <formula>AND(S$9&gt;=14/24,S$9&lt;20/24)</formula>
    </cfRule>
    <cfRule type="expression" dxfId="93" priority="137">
      <formula>AND(S$9&gt;=8/24,S$9&lt;14/24)</formula>
    </cfRule>
    <cfRule type="expression" dxfId="92" priority="138">
      <formula>S$9&lt;8/24</formula>
    </cfRule>
  </conditionalFormatting>
  <conditionalFormatting sqref="S37:AD38">
    <cfRule type="expression" dxfId="91" priority="171">
      <formula>S37&gt;$AG37</formula>
    </cfRule>
  </conditionalFormatting>
  <conditionalFormatting sqref="S38:AD38">
    <cfRule type="expression" dxfId="90" priority="173">
      <formula>AND(S$9&gt;=14/24,S$9&lt;20/24)</formula>
    </cfRule>
    <cfRule type="expression" dxfId="89" priority="175">
      <formula>S$9&lt;8/24</formula>
    </cfRule>
    <cfRule type="expression" dxfId="88" priority="174">
      <formula>AND(S$9&gt;=8/24,S$9&lt;14/24)</formula>
    </cfRule>
    <cfRule type="expression" dxfId="87" priority="172">
      <formula>S$9&gt;=20/24</formula>
    </cfRule>
  </conditionalFormatting>
  <conditionalFormatting sqref="S53:AD56">
    <cfRule type="expression" dxfId="86" priority="98">
      <formula>S$9&lt;8/24</formula>
    </cfRule>
    <cfRule type="expression" dxfId="85" priority="97">
      <formula>AND(S$9&gt;=8/24,S$9&lt;14/24)</formula>
    </cfRule>
    <cfRule type="expression" dxfId="84" priority="96">
      <formula>AND(S$9&gt;=14/24,S$9&lt;20/24)</formula>
    </cfRule>
    <cfRule type="expression" dxfId="83" priority="95">
      <formula>S$9&gt;=20/24</formula>
    </cfRule>
    <cfRule type="expression" dxfId="82" priority="94">
      <formula>S53&gt;$AG53</formula>
    </cfRule>
  </conditionalFormatting>
  <conditionalFormatting sqref="S39:AF39">
    <cfRule type="expression" dxfId="81" priority="185">
      <formula>S$9&lt;8/24</formula>
    </cfRule>
    <cfRule type="expression" dxfId="80" priority="184">
      <formula>AND(S$9&gt;=8/24,S$9&lt;14/24)</formula>
    </cfRule>
    <cfRule type="expression" dxfId="79" priority="183">
      <formula>AND(S$9&gt;=14/24,S$9&lt;20/24)</formula>
    </cfRule>
    <cfRule type="expression" dxfId="78" priority="182">
      <formula>S$9&gt;=20/24</formula>
    </cfRule>
    <cfRule type="expression" dxfId="77" priority="181">
      <formula>S39&gt;$AG39</formula>
    </cfRule>
  </conditionalFormatting>
  <conditionalFormatting sqref="T237">
    <cfRule type="expression" dxfId="76" priority="557">
      <formula>AND(AX$9&gt;=8/24,AX$9&lt;14/24)</formula>
    </cfRule>
    <cfRule type="expression" dxfId="75" priority="556">
      <formula>AND(AX$9&gt;=14/24,AX$9&lt;20/24)</formula>
    </cfRule>
    <cfRule type="expression" dxfId="74" priority="555">
      <formula>AX$9&gt;=20/24</formula>
    </cfRule>
    <cfRule type="expression" dxfId="73" priority="558">
      <formula>AX$9&lt;8/24</formula>
    </cfRule>
  </conditionalFormatting>
  <conditionalFormatting sqref="V3 AB3">
    <cfRule type="iconSet" priority="541">
      <iconSet iconSet="3TrafficLights2" reverse="1">
        <cfvo type="percent" val="0"/>
        <cfvo type="num" val="1"/>
        <cfvo type="num" val="1"/>
      </iconSet>
    </cfRule>
  </conditionalFormatting>
  <conditionalFormatting sqref="V48:AD52">
    <cfRule type="expression" dxfId="72" priority="327">
      <formula>V$9&gt;=20/24</formula>
    </cfRule>
    <cfRule type="expression" dxfId="71" priority="326">
      <formula>V48&gt;$AG48</formula>
    </cfRule>
    <cfRule type="expression" dxfId="70" priority="328">
      <formula>AND(V$9&gt;=14/24,V$9&lt;20/24)</formula>
    </cfRule>
    <cfRule type="expression" dxfId="69" priority="329">
      <formula>AND(V$9&gt;=8/24,V$9&lt;14/24)</formula>
    </cfRule>
    <cfRule type="expression" dxfId="68" priority="330">
      <formula>V$9&lt;8/24</formula>
    </cfRule>
  </conditionalFormatting>
  <conditionalFormatting sqref="V45:AF47">
    <cfRule type="expression" dxfId="67" priority="69">
      <formula>V$9&gt;=20/24</formula>
    </cfRule>
    <cfRule type="expression" dxfId="66" priority="72">
      <formula>V$9&lt;8/24</formula>
    </cfRule>
    <cfRule type="expression" dxfId="65" priority="70">
      <formula>AND(V$9&gt;=14/24,V$9&lt;20/24)</formula>
    </cfRule>
    <cfRule type="expression" dxfId="64" priority="71">
      <formula>AND(V$9&gt;=8/24,V$9&lt;14/24)</formula>
    </cfRule>
    <cfRule type="expression" dxfId="63" priority="68">
      <formula>V45&gt;$AG45</formula>
    </cfRule>
  </conditionalFormatting>
  <conditionalFormatting sqref="AB8">
    <cfRule type="expression" dxfId="62" priority="509">
      <formula>AND(AD$9&gt;=8/24,AD$9&lt;14/24)</formula>
    </cfRule>
    <cfRule type="expression" dxfId="61" priority="508">
      <formula>AND(AD$9&gt;=14/24,AD$9&lt;20/24)</formula>
    </cfRule>
    <cfRule type="expression" dxfId="60" priority="507">
      <formula>AD$9&gt;=20/24</formula>
    </cfRule>
    <cfRule type="expression" dxfId="59" priority="510">
      <formula>AD$9&lt;8/24</formula>
    </cfRule>
  </conditionalFormatting>
  <conditionalFormatting sqref="AE11">
    <cfRule type="expression" dxfId="58" priority="34">
      <formula>AE11&gt;$AG11</formula>
    </cfRule>
  </conditionalFormatting>
  <conditionalFormatting sqref="AE11:AE14">
    <cfRule type="expression" dxfId="57" priority="38">
      <formula>AE$9&lt;8/24</formula>
    </cfRule>
    <cfRule type="expression" dxfId="56" priority="37">
      <formula>AND(AE$9&gt;=8/24,AE$9&lt;14/24)</formula>
    </cfRule>
    <cfRule type="expression" dxfId="55" priority="36">
      <formula>AND(AE$9&gt;=14/24,AE$9&lt;20/24)</formula>
    </cfRule>
    <cfRule type="expression" dxfId="54" priority="35">
      <formula>AE$9&gt;=20/24</formula>
    </cfRule>
  </conditionalFormatting>
  <conditionalFormatting sqref="AE11:AE15 AE17">
    <cfRule type="expression" dxfId="53" priority="39">
      <formula>AE11&gt;$AG11</formula>
    </cfRule>
  </conditionalFormatting>
  <conditionalFormatting sqref="AE15:AE16">
    <cfRule type="expression" dxfId="52" priority="9">
      <formula>AE$9&lt;8/24</formula>
    </cfRule>
    <cfRule type="expression" dxfId="51" priority="8">
      <formula>AND(AE$9&gt;=8/24,AE$9&lt;14/24)</formula>
    </cfRule>
    <cfRule type="expression" dxfId="50" priority="6">
      <formula>AE$9&gt;=20/24</formula>
    </cfRule>
    <cfRule type="expression" dxfId="49" priority="7">
      <formula>AND(AE$9&gt;=14/24,AE$9&lt;20/24)</formula>
    </cfRule>
  </conditionalFormatting>
  <conditionalFormatting sqref="AE16">
    <cfRule type="expression" dxfId="48" priority="10">
      <formula>AE16&gt;$AG16</formula>
    </cfRule>
  </conditionalFormatting>
  <conditionalFormatting sqref="AE17:AE24">
    <cfRule type="expression" dxfId="47" priority="15">
      <formula>AE$9&lt;8/24</formula>
    </cfRule>
    <cfRule type="expression" dxfId="46" priority="13">
      <formula>AND(AE$9&gt;=14/24,AE$9&lt;20/24)</formula>
    </cfRule>
    <cfRule type="expression" dxfId="45" priority="12">
      <formula>AE$9&gt;=20/24</formula>
    </cfRule>
    <cfRule type="expression" dxfId="44" priority="14">
      <formula>AND(AE$9&gt;=8/24,AE$9&lt;14/24)</formula>
    </cfRule>
  </conditionalFormatting>
  <conditionalFormatting sqref="AE25:AE27 AE29">
    <cfRule type="expression" dxfId="43" priority="24">
      <formula>AE$9&lt;8/24</formula>
    </cfRule>
    <cfRule type="expression" dxfId="42" priority="23">
      <formula>AND(AE$9&gt;=8/24,AE$9&lt;14/24)</formula>
    </cfRule>
    <cfRule type="expression" dxfId="41" priority="22">
      <formula>AND(AE$9&gt;=14/24,AE$9&lt;20/24)</formula>
    </cfRule>
  </conditionalFormatting>
  <conditionalFormatting sqref="AE25:AE27 AE29:AF29">
    <cfRule type="expression" dxfId="40" priority="21">
      <formula>AE$9&gt;=20/24</formula>
    </cfRule>
  </conditionalFormatting>
  <conditionalFormatting sqref="AE30:AE32">
    <cfRule type="expression" dxfId="39" priority="3">
      <formula>AND(AE$9&gt;=14/24,AE$9&lt;20/24)</formula>
    </cfRule>
    <cfRule type="expression" dxfId="38" priority="4">
      <formula>AND(AE$9&gt;=8/24,AE$9&lt;14/24)</formula>
    </cfRule>
    <cfRule type="expression" dxfId="37" priority="5">
      <formula>AE$9&lt;8/24</formula>
    </cfRule>
  </conditionalFormatting>
  <conditionalFormatting sqref="AE50:AE56">
    <cfRule type="expression" dxfId="36" priority="473">
      <formula>AND(AE$9&gt;=8/24,AE$9&lt;14/24)</formula>
    </cfRule>
    <cfRule type="expression" dxfId="35" priority="472">
      <formula>AND(AE$9&gt;=14/24,AE$9&lt;20/24)</formula>
    </cfRule>
    <cfRule type="expression" dxfId="34" priority="471">
      <formula>AE$9&gt;=20/24</formula>
    </cfRule>
    <cfRule type="expression" dxfId="33" priority="474">
      <formula>AE$9&lt;8/24</formula>
    </cfRule>
  </conditionalFormatting>
  <conditionalFormatting sqref="AE25:AF29">
    <cfRule type="expression" dxfId="32" priority="20">
      <formula>AE25&gt;$AG25</formula>
    </cfRule>
  </conditionalFormatting>
  <conditionalFormatting sqref="AE30:AF36">
    <cfRule type="expression" dxfId="31" priority="1">
      <formula>AE30&gt;$AG30</formula>
    </cfRule>
  </conditionalFormatting>
  <conditionalFormatting sqref="AE30:AF37">
    <cfRule type="expression" dxfId="30" priority="2">
      <formula>AE$9&gt;=20/24</formula>
    </cfRule>
  </conditionalFormatting>
  <conditionalFormatting sqref="AE33:AF37">
    <cfRule type="expression" dxfId="29" priority="477">
      <formula>AND(AE$9&gt;=14/24,AE$9&lt;20/24)</formula>
    </cfRule>
    <cfRule type="expression" dxfId="28" priority="478">
      <formula>AND(AE$9&gt;=8/24,AE$9&lt;14/24)</formula>
    </cfRule>
    <cfRule type="expression" dxfId="27" priority="479">
      <formula>AE$9&lt;8/24</formula>
    </cfRule>
  </conditionalFormatting>
  <conditionalFormatting sqref="AE37:AF38 M46:M47">
    <cfRule type="expression" dxfId="26" priority="497">
      <formula>M37&gt;$AG37</formula>
    </cfRule>
  </conditionalFormatting>
  <conditionalFormatting sqref="AE38:AF38 F46:M47">
    <cfRule type="expression" dxfId="25" priority="504">
      <formula>AND(F$9&gt;=8/24,F$9&lt;14/24)</formula>
    </cfRule>
    <cfRule type="expression" dxfId="24" priority="505">
      <formula>F$9&lt;8/24</formula>
    </cfRule>
    <cfRule type="expression" dxfId="23" priority="502">
      <formula>F$9&gt;=20/24</formula>
    </cfRule>
    <cfRule type="expression" dxfId="22" priority="503">
      <formula>AND(F$9&gt;=14/24,F$9&lt;20/24)</formula>
    </cfRule>
  </conditionalFormatting>
  <conditionalFormatting sqref="AE48:AF56">
    <cfRule type="expression" dxfId="21" priority="48">
      <formula>AE48&gt;$AG48</formula>
    </cfRule>
  </conditionalFormatting>
  <conditionalFormatting sqref="AF11 B9:AF10 B216:AF216 B218:B224 D218:AF224 U237:AF237">
    <cfRule type="expression" dxfId="20" priority="536">
      <formula>B$9&gt;=20/24</formula>
    </cfRule>
  </conditionalFormatting>
  <conditionalFormatting sqref="AF11:AF17 O16:R16">
    <cfRule type="expression" dxfId="19" priority="324">
      <formula>O11&gt;$AG11</formula>
    </cfRule>
  </conditionalFormatting>
  <conditionalFormatting sqref="AF12:AF27 R15:R16">
    <cfRule type="expression" dxfId="18" priority="322">
      <formula>R$9&lt;8/24</formula>
    </cfRule>
    <cfRule type="expression" dxfId="17" priority="320">
      <formula>AND(R$9&gt;=14/24,R$9&lt;20/24)</formula>
    </cfRule>
    <cfRule type="expression" dxfId="16" priority="319">
      <formula>R$9&gt;=20/24</formula>
    </cfRule>
    <cfRule type="expression" dxfId="15" priority="321">
      <formula>AND(R$9&gt;=8/24,R$9&lt;14/24)</formula>
    </cfRule>
  </conditionalFormatting>
  <conditionalFormatting sqref="AF29:AF32">
    <cfRule type="expression" dxfId="14" priority="312">
      <formula>AF$9&lt;8/24</formula>
    </cfRule>
    <cfRule type="expression" dxfId="13" priority="311">
      <formula>AND(AF$9&gt;=8/24,AF$9&lt;14/24)</formula>
    </cfRule>
    <cfRule type="expression" dxfId="12" priority="310">
      <formula>AND(AF$9&gt;=14/24,AF$9&lt;20/24)</formula>
    </cfRule>
  </conditionalFormatting>
  <conditionalFormatting sqref="AF48:AF56">
    <cfRule type="expression" dxfId="11" priority="52">
      <formula>AF$9&lt;8/24</formula>
    </cfRule>
    <cfRule type="expression" dxfId="10" priority="51">
      <formula>AND(AF$9&gt;=8/24,AF$9&lt;14/24)</formula>
    </cfRule>
    <cfRule type="expression" dxfId="9" priority="50">
      <formula>AND(AF$9&gt;=14/24,AF$9&lt;20/24)</formula>
    </cfRule>
    <cfRule type="expression" dxfId="8" priority="49">
      <formula>AF$9&gt;=20/24</formula>
    </cfRule>
  </conditionalFormatting>
  <conditionalFormatting sqref="AG237">
    <cfRule type="expression" dxfId="7" priority="547">
      <formula>B$9&gt;=20/24</formula>
    </cfRule>
    <cfRule type="expression" dxfId="6" priority="548">
      <formula>AND(B$9&gt;=14/24,B$9&lt;20/24)</formula>
    </cfRule>
    <cfRule type="expression" dxfId="5" priority="549">
      <formula>AND(B$9&gt;=8/24,B$9&lt;14/24)</formula>
    </cfRule>
    <cfRule type="expression" dxfId="4" priority="550">
      <formula>B$9&lt;8/24</formula>
    </cfRule>
  </conditionalFormatting>
  <conditionalFormatting sqref="AH237:AX237">
    <cfRule type="expression" dxfId="3" priority="551">
      <formula>AG$9&gt;=20/24</formula>
    </cfRule>
    <cfRule type="expression" dxfId="2" priority="552">
      <formula>AND(AG$9&gt;=14/24,AG$9&lt;20/24)</formula>
    </cfRule>
    <cfRule type="expression" dxfId="1" priority="553">
      <formula>AND(AG$9&gt;=8/24,AG$9&lt;14/24)</formula>
    </cfRule>
    <cfRule type="expression" dxfId="0" priority="554">
      <formula>AG$9&lt;8/24</formula>
    </cfRule>
  </conditionalFormatting>
  <conditionalFormatting sqref="AL4:AL6">
    <cfRule type="iconSet" priority="535">
      <iconSet iconSet="3TrafficLights2" reverse="1">
        <cfvo type="percent" val="0"/>
        <cfvo type="num" val="1"/>
        <cfvo type="num" val="1"/>
      </iconSet>
    </cfRule>
  </conditionalFormatting>
  <conditionalFormatting sqref="AL16">
    <cfRule type="iconSet" priority="325">
      <iconSet iconSet="3TrafficLights2" reverse="1">
        <cfvo type="percent" val="0"/>
        <cfvo type="num" val="1"/>
        <cfvo type="num" val="1"/>
      </iconSet>
    </cfRule>
  </conditionalFormatting>
  <conditionalFormatting sqref="AL30">
    <cfRule type="iconSet" priority="314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356">
      <iconSet iconSet="3TrafficLights2" reverse="1">
        <cfvo type="percent" val="0"/>
        <cfvo type="num" val="1"/>
        <cfvo type="num" val="1"/>
      </iconSet>
    </cfRule>
  </conditionalFormatting>
  <conditionalFormatting sqref="AL35">
    <cfRule type="iconSet" priority="527">
      <iconSet iconSet="3TrafficLights2" reverse="1">
        <cfvo type="percent" val="0"/>
        <cfvo type="num" val="1"/>
        <cfvo type="num" val="1"/>
      </iconSet>
    </cfRule>
  </conditionalFormatting>
  <conditionalFormatting sqref="AL36">
    <cfRule type="iconSet" priority="515">
      <iconSet iconSet="3TrafficLights2" reverse="1">
        <cfvo type="percent" val="0"/>
        <cfvo type="num" val="1"/>
        <cfvo type="num" val="1"/>
      </iconSet>
    </cfRule>
  </conditionalFormatting>
  <conditionalFormatting sqref="AL37 AL7:AL15 AL34 AL17:AL29 AL31:AL32">
    <cfRule type="iconSet" priority="559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8" id="{1DBED091-5062-4BA7-A949-C0BFFB34D13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195" id="{2C6DF81C-1A19-448B-99D7-6111AAEDF2F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96" id="{E499A1B6-75A6-40D4-B6D5-5A6C7F88F02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97" id="{61C7514D-C6D6-4C10-97B3-587C88873335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m:sqref>B82</xm:sqref>
        </x14:conditionalFormatting>
        <x14:conditionalFormatting xmlns:xm="http://schemas.microsoft.com/office/excel/2006/main">
          <x14:cfRule type="expression" priority="191" id="{67836BB5-F510-462B-81AB-350C44BF669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92" id="{AF4375AA-07D9-4092-B811-72FCC00389A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93" id="{234FE8BE-1D20-4F3B-B60F-F16E8AADC87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94" id="{A49E8B26-47AB-448D-9E58-A515CC26C87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B109:AF109</xm:sqref>
        </x14:conditionalFormatting>
        <x14:conditionalFormatting xmlns:xm="http://schemas.microsoft.com/office/excel/2006/main">
          <x14:cfRule type="expression" priority="355" id="{4179E75D-E6A2-475B-B2DA-A9190C3326C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14:cfRule type="expression" priority="354" id="{BA09E703-3CBC-4CBA-A018-1C265C1B777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53" id="{1111741B-DBA2-4FC2-B3AA-51EDDED996F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52" id="{A1D0AB9C-9E55-46FB-882F-8026A4337F79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m:sqref>C82:AF82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K93" sqref="AK9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2079/06/8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0</v>
      </c>
      <c r="X5" s="148">
        <f t="shared" si="0"/>
        <v>0</v>
      </c>
      <c r="Y5" s="148">
        <f t="shared" si="0"/>
        <v>26.4</v>
      </c>
      <c r="Z5" s="148">
        <f t="shared" si="0"/>
        <v>27.8</v>
      </c>
      <c r="AA5" s="148">
        <f t="shared" si="0"/>
        <v>21.7</v>
      </c>
      <c r="AB5" s="148">
        <f t="shared" si="0"/>
        <v>16.899999999999999</v>
      </c>
      <c r="AC5" s="148">
        <f t="shared" si="0"/>
        <v>13</v>
      </c>
      <c r="AD5" s="148">
        <f t="shared" si="0"/>
        <v>0</v>
      </c>
      <c r="AE5" s="148">
        <f t="shared" si="0"/>
        <v>0</v>
      </c>
      <c r="AF5" s="148">
        <f>B74</f>
        <v>4.5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1755MW at 8:00hr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Load=1611</v>
      </c>
      <c r="B7" s="137">
        <f t="shared" ref="B7:AF7" si="1">B81</f>
        <v>1714.64</v>
      </c>
      <c r="C7" s="137">
        <f t="shared" si="1"/>
        <v>1710.14</v>
      </c>
      <c r="D7" s="137">
        <f t="shared" si="1"/>
        <v>1643.7400000000002</v>
      </c>
      <c r="E7" s="137">
        <f t="shared" si="1"/>
        <v>1642.0400000000002</v>
      </c>
      <c r="F7" s="137">
        <f t="shared" si="1"/>
        <v>1615.14</v>
      </c>
      <c r="G7" s="137">
        <f t="shared" si="1"/>
        <v>1658.7400000000002</v>
      </c>
      <c r="H7" s="137">
        <f t="shared" si="1"/>
        <v>1680.44</v>
      </c>
      <c r="I7" s="137">
        <f t="shared" si="1"/>
        <v>1611.0400000000002</v>
      </c>
      <c r="J7" s="137">
        <f t="shared" si="1"/>
        <v>1640.8400000000001</v>
      </c>
      <c r="K7" s="137">
        <f t="shared" si="1"/>
        <v>1668.94</v>
      </c>
      <c r="L7" s="137">
        <f t="shared" si="1"/>
        <v>1699.64</v>
      </c>
      <c r="M7" s="137">
        <f t="shared" si="1"/>
        <v>1754.94</v>
      </c>
      <c r="N7" s="137">
        <f t="shared" si="1"/>
        <v>1729.14</v>
      </c>
      <c r="O7" s="137">
        <f t="shared" si="1"/>
        <v>1743.44</v>
      </c>
      <c r="P7" s="137">
        <f t="shared" si="1"/>
        <v>1736.3400000000001</v>
      </c>
      <c r="Q7" s="137">
        <f t="shared" si="1"/>
        <v>1736.54</v>
      </c>
      <c r="R7" s="137">
        <f t="shared" si="1"/>
        <v>1716.8400000000001</v>
      </c>
      <c r="S7" s="137">
        <f t="shared" si="1"/>
        <v>1756.0400000000002</v>
      </c>
      <c r="T7" s="137">
        <f t="shared" si="1"/>
        <v>1757.0400000000002</v>
      </c>
      <c r="U7" s="137">
        <f t="shared" si="1"/>
        <v>1757.0400000000002</v>
      </c>
      <c r="V7" s="137">
        <f t="shared" si="1"/>
        <v>1756.44</v>
      </c>
      <c r="W7" s="137">
        <f t="shared" si="1"/>
        <v>1744.24</v>
      </c>
      <c r="X7" s="137">
        <f t="shared" si="1"/>
        <v>1754.1399999999999</v>
      </c>
      <c r="Y7" s="137">
        <f t="shared" si="1"/>
        <v>1754.1399999999999</v>
      </c>
      <c r="Z7" s="137">
        <f t="shared" si="1"/>
        <v>1803.5400000000002</v>
      </c>
      <c r="AA7" s="137">
        <f t="shared" si="1"/>
        <v>1780.04</v>
      </c>
      <c r="AB7" s="137">
        <f t="shared" si="1"/>
        <v>1766.24</v>
      </c>
      <c r="AC7" s="137">
        <f t="shared" si="1"/>
        <v>1761.44</v>
      </c>
      <c r="AD7" s="137">
        <f t="shared" si="1"/>
        <v>1737.2399999999998</v>
      </c>
      <c r="AE7" s="137">
        <f t="shared" si="1"/>
        <v>1716.9399999999998</v>
      </c>
      <c r="AF7" s="137">
        <f t="shared" si="1"/>
        <v>1698.9399999999998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53.9</v>
      </c>
      <c r="C11" s="105">
        <v>53.9</v>
      </c>
      <c r="D11" s="105">
        <v>53.9</v>
      </c>
      <c r="E11" s="105">
        <v>53.9</v>
      </c>
      <c r="F11" s="105">
        <v>53.9</v>
      </c>
      <c r="G11" s="105">
        <v>53.9</v>
      </c>
      <c r="H11" s="105">
        <v>53.9</v>
      </c>
      <c r="I11" s="105">
        <v>53.9</v>
      </c>
      <c r="J11" s="105">
        <v>53.9</v>
      </c>
      <c r="K11" s="105">
        <v>53.9</v>
      </c>
      <c r="L11" s="105">
        <v>53.9</v>
      </c>
      <c r="M11" s="105">
        <v>53.9</v>
      </c>
      <c r="N11" s="105">
        <v>53.9</v>
      </c>
      <c r="O11" s="105">
        <v>53.9</v>
      </c>
      <c r="P11" s="105">
        <v>53.9</v>
      </c>
      <c r="Q11" s="105">
        <v>53.9</v>
      </c>
      <c r="R11" s="105">
        <v>53.9</v>
      </c>
      <c r="S11" s="105">
        <v>53.9</v>
      </c>
      <c r="T11" s="105">
        <v>53.9</v>
      </c>
      <c r="U11" s="105">
        <v>53.9</v>
      </c>
      <c r="V11" s="105">
        <v>53.9</v>
      </c>
      <c r="W11" s="105">
        <v>53.9</v>
      </c>
      <c r="X11" s="105">
        <v>53.9</v>
      </c>
      <c r="Y11" s="105">
        <v>53.9</v>
      </c>
      <c r="Z11" s="105">
        <v>53.9</v>
      </c>
      <c r="AA11" s="105">
        <v>53.9</v>
      </c>
      <c r="AB11" s="105">
        <v>53.9</v>
      </c>
      <c r="AC11" s="105">
        <v>53.9</v>
      </c>
      <c r="AD11" s="105">
        <v>53.9</v>
      </c>
      <c r="AE11" s="105">
        <v>53.9</v>
      </c>
      <c r="AF11" s="105">
        <v>53.9</v>
      </c>
      <c r="AG11" s="127">
        <v>52.4</v>
      </c>
      <c r="AH11" s="20">
        <f t="shared" ref="AH11:AH76" si="2">MAX(B11:AF11)</f>
        <v>53.9</v>
      </c>
      <c r="AI11" s="19">
        <f t="shared" ref="AI11:AI76" si="3">MIN(B11:AF11)</f>
        <v>53.9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50.3</v>
      </c>
      <c r="C12" s="105">
        <v>50.3</v>
      </c>
      <c r="D12" s="105">
        <v>50.3</v>
      </c>
      <c r="E12" s="105">
        <v>50.3</v>
      </c>
      <c r="F12" s="105">
        <v>50.3</v>
      </c>
      <c r="G12" s="105">
        <v>50.3</v>
      </c>
      <c r="H12" s="105">
        <v>50.3</v>
      </c>
      <c r="I12" s="105">
        <v>50.3</v>
      </c>
      <c r="J12" s="105">
        <v>50.3</v>
      </c>
      <c r="K12" s="105">
        <v>50.3</v>
      </c>
      <c r="L12" s="105">
        <v>50.3</v>
      </c>
      <c r="M12" s="105">
        <v>50.3</v>
      </c>
      <c r="N12" s="105">
        <v>50.5</v>
      </c>
      <c r="O12" s="105">
        <v>50.5</v>
      </c>
      <c r="P12" s="105">
        <v>50.5</v>
      </c>
      <c r="Q12" s="105">
        <v>50.6</v>
      </c>
      <c r="R12" s="105">
        <v>50.6</v>
      </c>
      <c r="S12" s="105">
        <v>50.6</v>
      </c>
      <c r="T12" s="105">
        <v>50.6</v>
      </c>
      <c r="U12" s="105">
        <v>50.6</v>
      </c>
      <c r="V12" s="105">
        <v>50.6</v>
      </c>
      <c r="W12" s="105">
        <v>50.6</v>
      </c>
      <c r="X12" s="105">
        <v>50.6</v>
      </c>
      <c r="Y12" s="105">
        <v>50.6</v>
      </c>
      <c r="Z12" s="105">
        <v>50.6</v>
      </c>
      <c r="AA12" s="105">
        <v>50.6</v>
      </c>
      <c r="AB12" s="105">
        <v>50.6</v>
      </c>
      <c r="AC12" s="105">
        <v>50.6</v>
      </c>
      <c r="AD12" s="105">
        <v>50.6</v>
      </c>
      <c r="AE12" s="105">
        <v>50.6</v>
      </c>
      <c r="AF12" s="105">
        <v>50.6</v>
      </c>
      <c r="AG12" s="126">
        <v>50</v>
      </c>
      <c r="AH12" s="20">
        <f t="shared" si="2"/>
        <v>50.6</v>
      </c>
      <c r="AI12" s="19">
        <f t="shared" si="3"/>
        <v>50.3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46</v>
      </c>
      <c r="C13" s="105">
        <v>46</v>
      </c>
      <c r="D13" s="105">
        <v>46</v>
      </c>
      <c r="E13" s="105">
        <v>46</v>
      </c>
      <c r="F13" s="105">
        <v>46</v>
      </c>
      <c r="G13" s="105">
        <v>46</v>
      </c>
      <c r="H13" s="105">
        <v>46</v>
      </c>
      <c r="I13" s="105">
        <v>46</v>
      </c>
      <c r="J13" s="105">
        <v>46</v>
      </c>
      <c r="K13" s="105">
        <v>46</v>
      </c>
      <c r="L13" s="105">
        <v>46</v>
      </c>
      <c r="M13" s="105">
        <v>46</v>
      </c>
      <c r="N13" s="105">
        <v>46</v>
      </c>
      <c r="O13" s="105">
        <v>46</v>
      </c>
      <c r="P13" s="105">
        <v>46</v>
      </c>
      <c r="Q13" s="105">
        <v>46.1</v>
      </c>
      <c r="R13" s="105">
        <v>46.1</v>
      </c>
      <c r="S13" s="105">
        <v>46.1</v>
      </c>
      <c r="T13" s="105">
        <v>46.1</v>
      </c>
      <c r="U13" s="105">
        <v>46.1</v>
      </c>
      <c r="V13" s="105">
        <v>46.1</v>
      </c>
      <c r="W13" s="105">
        <v>46.1</v>
      </c>
      <c r="X13" s="105">
        <v>46.1</v>
      </c>
      <c r="Y13" s="105">
        <v>46.1</v>
      </c>
      <c r="Z13" s="105">
        <v>46.1</v>
      </c>
      <c r="AA13" s="105">
        <v>46.1</v>
      </c>
      <c r="AB13" s="105">
        <v>46.1</v>
      </c>
      <c r="AC13" s="105">
        <v>46.1</v>
      </c>
      <c r="AD13" s="105">
        <v>46.1</v>
      </c>
      <c r="AE13" s="105">
        <v>46.1</v>
      </c>
      <c r="AF13" s="105">
        <v>46.1</v>
      </c>
      <c r="AG13" s="126">
        <v>45</v>
      </c>
      <c r="AH13" s="20">
        <f t="shared" si="2"/>
        <v>46.1</v>
      </c>
      <c r="AI13" s="19">
        <f t="shared" si="3"/>
        <v>46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28</v>
      </c>
      <c r="C14" s="105">
        <v>28</v>
      </c>
      <c r="D14" s="105">
        <v>28</v>
      </c>
      <c r="E14" s="105">
        <v>27</v>
      </c>
      <c r="F14" s="105">
        <v>27</v>
      </c>
      <c r="G14" s="105">
        <v>27</v>
      </c>
      <c r="H14" s="105">
        <v>27</v>
      </c>
      <c r="I14" s="105">
        <v>27</v>
      </c>
      <c r="J14" s="105">
        <v>27</v>
      </c>
      <c r="K14" s="105">
        <v>27</v>
      </c>
      <c r="L14" s="105">
        <v>27</v>
      </c>
      <c r="M14" s="105">
        <v>27</v>
      </c>
      <c r="N14" s="105">
        <v>27</v>
      </c>
      <c r="O14" s="105">
        <v>27</v>
      </c>
      <c r="P14" s="105">
        <v>30</v>
      </c>
      <c r="Q14" s="105">
        <v>30</v>
      </c>
      <c r="R14" s="105">
        <v>30</v>
      </c>
      <c r="S14" s="105">
        <v>30</v>
      </c>
      <c r="T14" s="105">
        <v>30</v>
      </c>
      <c r="U14" s="105">
        <v>30</v>
      </c>
      <c r="V14" s="105">
        <v>30</v>
      </c>
      <c r="W14" s="105">
        <v>30</v>
      </c>
      <c r="X14" s="105">
        <v>30</v>
      </c>
      <c r="Y14" s="105">
        <v>30</v>
      </c>
      <c r="Z14" s="105">
        <v>40</v>
      </c>
      <c r="AA14" s="105">
        <v>38</v>
      </c>
      <c r="AB14" s="105">
        <v>38</v>
      </c>
      <c r="AC14" s="105">
        <v>38</v>
      </c>
      <c r="AD14" s="105">
        <v>35</v>
      </c>
      <c r="AE14" s="105">
        <v>27</v>
      </c>
      <c r="AF14" s="105">
        <v>27</v>
      </c>
      <c r="AG14" s="126">
        <v>42</v>
      </c>
      <c r="AH14" s="20">
        <f t="shared" si="2"/>
        <v>40</v>
      </c>
      <c r="AI14" s="19">
        <f t="shared" si="3"/>
        <v>27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10</v>
      </c>
      <c r="N15" s="105">
        <v>5</v>
      </c>
      <c r="O15" s="105">
        <v>5</v>
      </c>
      <c r="P15" s="105">
        <v>0</v>
      </c>
      <c r="Q15" s="105">
        <v>0</v>
      </c>
      <c r="R15" s="105">
        <v>0</v>
      </c>
      <c r="S15" s="105">
        <v>0</v>
      </c>
      <c r="T15" s="105">
        <v>0</v>
      </c>
      <c r="U15" s="105">
        <v>0</v>
      </c>
      <c r="V15" s="105">
        <v>0</v>
      </c>
      <c r="W15" s="105">
        <v>0</v>
      </c>
      <c r="X15" s="105">
        <v>10</v>
      </c>
      <c r="Y15" s="105">
        <v>10</v>
      </c>
      <c r="Z15" s="105">
        <v>5.8</v>
      </c>
      <c r="AA15" s="105">
        <v>0</v>
      </c>
      <c r="AB15" s="105">
        <v>0</v>
      </c>
      <c r="AC15" s="105">
        <v>0</v>
      </c>
      <c r="AD15" s="105">
        <v>0</v>
      </c>
      <c r="AE15" s="105">
        <v>0</v>
      </c>
      <c r="AF15" s="105">
        <v>0</v>
      </c>
      <c r="AG15" s="96">
        <v>30</v>
      </c>
      <c r="AH15" s="20">
        <f t="shared" si="2"/>
        <v>10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268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27</v>
      </c>
      <c r="N16" s="105">
        <v>27</v>
      </c>
      <c r="O16" s="105">
        <v>27</v>
      </c>
      <c r="P16" s="105">
        <v>27</v>
      </c>
      <c r="Q16" s="105">
        <v>27</v>
      </c>
      <c r="R16" s="105">
        <v>26.8</v>
      </c>
      <c r="S16" s="105">
        <v>26.8</v>
      </c>
      <c r="T16" s="105">
        <v>26.8</v>
      </c>
      <c r="U16" s="105">
        <v>26.8</v>
      </c>
      <c r="V16" s="105">
        <v>26.8</v>
      </c>
      <c r="W16" s="105">
        <v>15</v>
      </c>
      <c r="X16" s="105">
        <v>15</v>
      </c>
      <c r="Y16" s="105">
        <v>15</v>
      </c>
      <c r="Z16" s="105">
        <v>10</v>
      </c>
      <c r="AA16" s="105">
        <v>10</v>
      </c>
      <c r="AB16" s="105">
        <v>10</v>
      </c>
      <c r="AC16" s="105">
        <v>10</v>
      </c>
      <c r="AD16" s="105">
        <v>8</v>
      </c>
      <c r="AE16" s="105">
        <v>8</v>
      </c>
      <c r="AF16" s="105">
        <v>8</v>
      </c>
      <c r="AG16" s="96">
        <v>30</v>
      </c>
      <c r="AH16" s="20">
        <f t="shared" si="2"/>
        <v>27</v>
      </c>
      <c r="AI16" s="19">
        <f t="shared" si="3"/>
        <v>0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217</v>
      </c>
      <c r="B17" s="105">
        <v>25.2</v>
      </c>
      <c r="C17" s="105">
        <v>25.2</v>
      </c>
      <c r="D17" s="105">
        <v>25.2</v>
      </c>
      <c r="E17" s="105">
        <v>25.2</v>
      </c>
      <c r="F17" s="105">
        <v>25.2</v>
      </c>
      <c r="G17" s="105">
        <v>25.2</v>
      </c>
      <c r="H17" s="105">
        <v>25.2</v>
      </c>
      <c r="I17" s="105">
        <v>25.2</v>
      </c>
      <c r="J17" s="105">
        <v>25.2</v>
      </c>
      <c r="K17" s="105">
        <v>25.2</v>
      </c>
      <c r="L17" s="105">
        <v>25.2</v>
      </c>
      <c r="M17" s="105">
        <v>25.2</v>
      </c>
      <c r="N17" s="105">
        <v>25.3</v>
      </c>
      <c r="O17" s="105">
        <v>25.3</v>
      </c>
      <c r="P17" s="105">
        <v>25.3</v>
      </c>
      <c r="Q17" s="105">
        <v>25.3</v>
      </c>
      <c r="R17" s="105">
        <v>25.4</v>
      </c>
      <c r="S17" s="105">
        <v>25.4</v>
      </c>
      <c r="T17" s="105">
        <v>25.4</v>
      </c>
      <c r="U17" s="105">
        <v>25.4</v>
      </c>
      <c r="V17" s="105">
        <v>25.4</v>
      </c>
      <c r="W17" s="105">
        <v>25.4</v>
      </c>
      <c r="X17" s="105">
        <v>25.4</v>
      </c>
      <c r="Y17" s="105">
        <v>25.4</v>
      </c>
      <c r="Z17" s="105">
        <v>25.4</v>
      </c>
      <c r="AA17" s="105">
        <v>25.4</v>
      </c>
      <c r="AB17" s="105">
        <v>25.4</v>
      </c>
      <c r="AC17" s="105">
        <v>25.4</v>
      </c>
      <c r="AD17" s="105">
        <v>25.4</v>
      </c>
      <c r="AE17" s="105">
        <v>25.4</v>
      </c>
      <c r="AF17" s="105">
        <v>25.4</v>
      </c>
      <c r="AG17" s="126">
        <v>25</v>
      </c>
      <c r="AH17" s="20">
        <f t="shared" si="2"/>
        <v>25.4</v>
      </c>
      <c r="AI17" s="19">
        <f t="shared" si="3"/>
        <v>25.2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216</v>
      </c>
      <c r="B18" s="105">
        <v>25</v>
      </c>
      <c r="C18" s="105">
        <v>25</v>
      </c>
      <c r="D18" s="105">
        <v>25</v>
      </c>
      <c r="E18" s="105">
        <v>25</v>
      </c>
      <c r="F18" s="105">
        <v>25</v>
      </c>
      <c r="G18" s="105">
        <v>25</v>
      </c>
      <c r="H18" s="105">
        <v>25</v>
      </c>
      <c r="I18" s="105">
        <v>25</v>
      </c>
      <c r="J18" s="105">
        <v>25</v>
      </c>
      <c r="K18" s="105">
        <v>25</v>
      </c>
      <c r="L18" s="105">
        <v>25</v>
      </c>
      <c r="M18" s="105">
        <v>25</v>
      </c>
      <c r="N18" s="105">
        <v>25</v>
      </c>
      <c r="O18" s="105">
        <v>25</v>
      </c>
      <c r="P18" s="105">
        <v>25</v>
      </c>
      <c r="Q18" s="105">
        <v>25</v>
      </c>
      <c r="R18" s="105">
        <v>25</v>
      </c>
      <c r="S18" s="105">
        <v>25</v>
      </c>
      <c r="T18" s="105">
        <v>25</v>
      </c>
      <c r="U18" s="105">
        <v>25</v>
      </c>
      <c r="V18" s="105">
        <v>25</v>
      </c>
      <c r="W18" s="105">
        <v>25</v>
      </c>
      <c r="X18" s="105">
        <v>25</v>
      </c>
      <c r="Y18" s="105">
        <v>25</v>
      </c>
      <c r="Z18" s="105">
        <v>25</v>
      </c>
      <c r="AA18" s="105">
        <v>25</v>
      </c>
      <c r="AB18" s="105">
        <v>25</v>
      </c>
      <c r="AC18" s="105">
        <v>25</v>
      </c>
      <c r="AD18" s="105">
        <v>25</v>
      </c>
      <c r="AE18" s="105">
        <v>25</v>
      </c>
      <c r="AF18" s="105">
        <v>25</v>
      </c>
      <c r="AG18" s="126">
        <v>25</v>
      </c>
      <c r="AH18" s="20">
        <f t="shared" si="2"/>
        <v>25</v>
      </c>
      <c r="AI18" s="19">
        <f t="shared" si="3"/>
        <v>25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215</v>
      </c>
      <c r="B19" s="105">
        <v>25</v>
      </c>
      <c r="C19" s="105">
        <v>25</v>
      </c>
      <c r="D19" s="105">
        <v>25</v>
      </c>
      <c r="E19" s="105">
        <v>25</v>
      </c>
      <c r="F19" s="105">
        <v>25</v>
      </c>
      <c r="G19" s="105">
        <v>25</v>
      </c>
      <c r="H19" s="105">
        <v>12</v>
      </c>
      <c r="I19" s="105">
        <v>12</v>
      </c>
      <c r="J19" s="105">
        <v>12</v>
      </c>
      <c r="K19" s="105">
        <v>12</v>
      </c>
      <c r="L19" s="105">
        <v>12</v>
      </c>
      <c r="M19" s="105">
        <v>12</v>
      </c>
      <c r="N19" s="105">
        <v>12</v>
      </c>
      <c r="O19" s="105">
        <v>22</v>
      </c>
      <c r="P19" s="105">
        <v>22</v>
      </c>
      <c r="Q19" s="105">
        <v>22</v>
      </c>
      <c r="R19" s="105">
        <v>22</v>
      </c>
      <c r="S19" s="105">
        <v>22</v>
      </c>
      <c r="T19" s="105">
        <v>22</v>
      </c>
      <c r="U19" s="105">
        <v>22</v>
      </c>
      <c r="V19" s="105">
        <v>22</v>
      </c>
      <c r="W19" s="105">
        <v>22</v>
      </c>
      <c r="X19" s="105">
        <v>22</v>
      </c>
      <c r="Y19" s="105">
        <v>22</v>
      </c>
      <c r="Z19" s="105">
        <v>22</v>
      </c>
      <c r="AA19" s="105">
        <v>22</v>
      </c>
      <c r="AB19" s="105">
        <v>22</v>
      </c>
      <c r="AC19" s="105">
        <v>22</v>
      </c>
      <c r="AD19" s="105">
        <v>22</v>
      </c>
      <c r="AE19" s="105">
        <v>22</v>
      </c>
      <c r="AF19" s="105">
        <v>22</v>
      </c>
      <c r="AG19" s="126">
        <v>25</v>
      </c>
      <c r="AH19" s="20">
        <f t="shared" si="2"/>
        <v>25</v>
      </c>
      <c r="AI19" s="19">
        <f t="shared" si="3"/>
        <v>12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214</v>
      </c>
      <c r="B20" s="105">
        <v>33.200000000000003</v>
      </c>
      <c r="C20" s="105">
        <v>33.200000000000003</v>
      </c>
      <c r="D20" s="105">
        <v>33.200000000000003</v>
      </c>
      <c r="E20" s="105">
        <v>33.200000000000003</v>
      </c>
      <c r="F20" s="105">
        <v>33.200000000000003</v>
      </c>
      <c r="G20" s="105">
        <v>33.200000000000003</v>
      </c>
      <c r="H20" s="105">
        <v>33.200000000000003</v>
      </c>
      <c r="I20" s="105">
        <v>33.200000000000003</v>
      </c>
      <c r="J20" s="105">
        <v>33.200000000000003</v>
      </c>
      <c r="K20" s="105">
        <v>33.200000000000003</v>
      </c>
      <c r="L20" s="105">
        <v>33.200000000000003</v>
      </c>
      <c r="M20" s="105">
        <v>33.200000000000003</v>
      </c>
      <c r="N20" s="105">
        <v>0</v>
      </c>
      <c r="O20" s="105">
        <v>0</v>
      </c>
      <c r="P20" s="105">
        <v>0</v>
      </c>
      <c r="Q20" s="105">
        <v>0</v>
      </c>
      <c r="R20" s="105">
        <v>31.3</v>
      </c>
      <c r="S20" s="105">
        <v>31.3</v>
      </c>
      <c r="T20" s="105">
        <v>31.3</v>
      </c>
      <c r="U20" s="105">
        <v>31.3</v>
      </c>
      <c r="V20" s="105">
        <v>31.3</v>
      </c>
      <c r="W20" s="105">
        <v>31.3</v>
      </c>
      <c r="X20" s="105">
        <v>31.3</v>
      </c>
      <c r="Y20" s="105">
        <v>31.3</v>
      </c>
      <c r="Z20" s="105">
        <v>31.3</v>
      </c>
      <c r="AA20" s="105">
        <v>31.3</v>
      </c>
      <c r="AB20" s="105">
        <v>31.3</v>
      </c>
      <c r="AC20" s="105">
        <v>31.3</v>
      </c>
      <c r="AD20" s="105">
        <v>31.3</v>
      </c>
      <c r="AE20" s="105">
        <v>31.3</v>
      </c>
      <c r="AF20" s="105">
        <v>31.3</v>
      </c>
      <c r="AG20" s="126">
        <v>24.2</v>
      </c>
      <c r="AH20" s="20">
        <f t="shared" si="2"/>
        <v>33.200000000000003</v>
      </c>
      <c r="AI20" s="19">
        <f t="shared" si="3"/>
        <v>0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23.5</v>
      </c>
      <c r="C21" s="105">
        <v>23.5</v>
      </c>
      <c r="D21" s="105">
        <v>23.5</v>
      </c>
      <c r="E21" s="105">
        <v>23.5</v>
      </c>
      <c r="F21" s="105">
        <v>23.5</v>
      </c>
      <c r="G21" s="105">
        <v>23.5</v>
      </c>
      <c r="H21" s="105">
        <v>23.5</v>
      </c>
      <c r="I21" s="105">
        <v>23.5</v>
      </c>
      <c r="J21" s="105">
        <v>23.5</v>
      </c>
      <c r="K21" s="105">
        <v>23.5</v>
      </c>
      <c r="L21" s="105">
        <v>23.5</v>
      </c>
      <c r="M21" s="105">
        <v>23.5</v>
      </c>
      <c r="N21" s="105">
        <v>23.5</v>
      </c>
      <c r="O21" s="105">
        <v>23.5</v>
      </c>
      <c r="P21" s="105">
        <v>23.5</v>
      </c>
      <c r="Q21" s="105">
        <v>23.5</v>
      </c>
      <c r="R21" s="105">
        <v>23.5</v>
      </c>
      <c r="S21" s="105">
        <v>23.5</v>
      </c>
      <c r="T21" s="105">
        <v>23.5</v>
      </c>
      <c r="U21" s="105">
        <v>23.5</v>
      </c>
      <c r="V21" s="105">
        <v>23.5</v>
      </c>
      <c r="W21" s="105">
        <v>23.5</v>
      </c>
      <c r="X21" s="105">
        <v>23.5</v>
      </c>
      <c r="Y21" s="105">
        <v>23.5</v>
      </c>
      <c r="Z21" s="105">
        <v>23.5</v>
      </c>
      <c r="AA21" s="105">
        <v>23.5</v>
      </c>
      <c r="AB21" s="105">
        <v>23.5</v>
      </c>
      <c r="AC21" s="105">
        <v>23.5</v>
      </c>
      <c r="AD21" s="105">
        <v>23.5</v>
      </c>
      <c r="AE21" s="105">
        <v>23.5</v>
      </c>
      <c r="AF21" s="105">
        <v>23.5</v>
      </c>
      <c r="AG21" s="126">
        <v>23.5</v>
      </c>
      <c r="AH21" s="20">
        <f t="shared" si="2"/>
        <v>23.5</v>
      </c>
      <c r="AI21" s="19">
        <f t="shared" si="3"/>
        <v>23.5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9</v>
      </c>
      <c r="C22" s="105">
        <v>9</v>
      </c>
      <c r="D22" s="105">
        <v>9</v>
      </c>
      <c r="E22" s="105">
        <v>9</v>
      </c>
      <c r="F22" s="105">
        <v>9</v>
      </c>
      <c r="G22" s="105">
        <v>9</v>
      </c>
      <c r="H22" s="105">
        <v>9</v>
      </c>
      <c r="I22" s="105">
        <v>9</v>
      </c>
      <c r="J22" s="105">
        <v>9</v>
      </c>
      <c r="K22" s="105">
        <v>9</v>
      </c>
      <c r="L22" s="105">
        <v>9</v>
      </c>
      <c r="M22" s="105">
        <v>9</v>
      </c>
      <c r="N22" s="105">
        <v>9</v>
      </c>
      <c r="O22" s="105">
        <v>9</v>
      </c>
      <c r="P22" s="105">
        <v>9</v>
      </c>
      <c r="Q22" s="105">
        <v>9</v>
      </c>
      <c r="R22" s="105">
        <v>9</v>
      </c>
      <c r="S22" s="105">
        <v>9</v>
      </c>
      <c r="T22" s="105">
        <v>9</v>
      </c>
      <c r="U22" s="105">
        <v>9</v>
      </c>
      <c r="V22" s="105">
        <v>9</v>
      </c>
      <c r="W22" s="105">
        <v>9</v>
      </c>
      <c r="X22" s="105">
        <v>9</v>
      </c>
      <c r="Y22" s="105">
        <v>9</v>
      </c>
      <c r="Z22" s="105">
        <v>9</v>
      </c>
      <c r="AA22" s="105">
        <v>9</v>
      </c>
      <c r="AB22" s="105">
        <v>9</v>
      </c>
      <c r="AC22" s="105">
        <v>9</v>
      </c>
      <c r="AD22" s="105">
        <v>9</v>
      </c>
      <c r="AE22" s="105">
        <v>9</v>
      </c>
      <c r="AF22" s="105">
        <v>9</v>
      </c>
      <c r="AG22" s="126">
        <v>22.2</v>
      </c>
      <c r="AH22" s="20">
        <f t="shared" si="2"/>
        <v>9</v>
      </c>
      <c r="AI22" s="19">
        <f t="shared" si="3"/>
        <v>9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22</v>
      </c>
      <c r="C23" s="105">
        <v>22</v>
      </c>
      <c r="D23" s="105">
        <v>22</v>
      </c>
      <c r="E23" s="105">
        <v>22</v>
      </c>
      <c r="F23" s="105">
        <v>20</v>
      </c>
      <c r="G23" s="105">
        <v>20</v>
      </c>
      <c r="H23" s="105">
        <v>20</v>
      </c>
      <c r="I23" s="105">
        <v>20</v>
      </c>
      <c r="J23" s="105">
        <v>20</v>
      </c>
      <c r="K23" s="105">
        <v>20</v>
      </c>
      <c r="L23" s="105">
        <v>20</v>
      </c>
      <c r="M23" s="105">
        <v>20</v>
      </c>
      <c r="N23" s="105">
        <v>20</v>
      </c>
      <c r="O23" s="105">
        <v>20</v>
      </c>
      <c r="P23" s="105">
        <v>20</v>
      </c>
      <c r="Q23" s="105">
        <v>20</v>
      </c>
      <c r="R23" s="105">
        <v>20</v>
      </c>
      <c r="S23" s="105">
        <v>20</v>
      </c>
      <c r="T23" s="105">
        <v>20</v>
      </c>
      <c r="U23" s="105">
        <v>20</v>
      </c>
      <c r="V23" s="105">
        <v>20</v>
      </c>
      <c r="W23" s="105">
        <v>20</v>
      </c>
      <c r="X23" s="105">
        <v>20</v>
      </c>
      <c r="Y23" s="105">
        <v>20</v>
      </c>
      <c r="Z23" s="105">
        <v>20</v>
      </c>
      <c r="AA23" s="105">
        <v>20</v>
      </c>
      <c r="AB23" s="105">
        <v>20</v>
      </c>
      <c r="AC23" s="105">
        <v>20</v>
      </c>
      <c r="AD23" s="105">
        <v>20</v>
      </c>
      <c r="AE23" s="105">
        <v>20</v>
      </c>
      <c r="AF23" s="105">
        <v>20</v>
      </c>
      <c r="AG23" s="126">
        <v>22.1</v>
      </c>
      <c r="AH23" s="20">
        <f t="shared" si="2"/>
        <v>22</v>
      </c>
      <c r="AI23" s="19">
        <f t="shared" si="3"/>
        <v>20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18</v>
      </c>
      <c r="C24" s="105">
        <v>18</v>
      </c>
      <c r="D24" s="105">
        <v>18</v>
      </c>
      <c r="E24" s="105">
        <v>18</v>
      </c>
      <c r="F24" s="105">
        <v>18</v>
      </c>
      <c r="G24" s="105">
        <v>18</v>
      </c>
      <c r="H24" s="105">
        <v>18</v>
      </c>
      <c r="I24" s="105">
        <v>18</v>
      </c>
      <c r="J24" s="105">
        <v>18</v>
      </c>
      <c r="K24" s="105">
        <v>18</v>
      </c>
      <c r="L24" s="105">
        <v>18</v>
      </c>
      <c r="M24" s="105">
        <v>18</v>
      </c>
      <c r="N24" s="105">
        <v>18</v>
      </c>
      <c r="O24" s="105">
        <v>18</v>
      </c>
      <c r="P24" s="105">
        <v>18</v>
      </c>
      <c r="Q24" s="105">
        <v>18</v>
      </c>
      <c r="R24" s="105">
        <v>18</v>
      </c>
      <c r="S24" s="105">
        <v>18</v>
      </c>
      <c r="T24" s="105">
        <v>18</v>
      </c>
      <c r="U24" s="105">
        <v>18</v>
      </c>
      <c r="V24" s="105">
        <v>18</v>
      </c>
      <c r="W24" s="105">
        <v>18</v>
      </c>
      <c r="X24" s="105">
        <v>18</v>
      </c>
      <c r="Y24" s="105">
        <v>18</v>
      </c>
      <c r="Z24" s="105">
        <v>18</v>
      </c>
      <c r="AA24" s="105">
        <v>18</v>
      </c>
      <c r="AB24" s="105">
        <v>18</v>
      </c>
      <c r="AC24" s="105">
        <v>18</v>
      </c>
      <c r="AD24" s="105">
        <v>18</v>
      </c>
      <c r="AE24" s="105">
        <v>18</v>
      </c>
      <c r="AF24" s="105">
        <v>18</v>
      </c>
      <c r="AG24" s="126">
        <v>22</v>
      </c>
      <c r="AH24" s="20">
        <f t="shared" si="2"/>
        <v>18</v>
      </c>
      <c r="AI24" s="19">
        <f t="shared" si="3"/>
        <v>18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22</v>
      </c>
      <c r="C25" s="105">
        <v>22</v>
      </c>
      <c r="D25" s="105">
        <v>0</v>
      </c>
      <c r="E25" s="105">
        <v>0</v>
      </c>
      <c r="F25" s="105">
        <v>0</v>
      </c>
      <c r="G25" s="105">
        <v>22</v>
      </c>
      <c r="H25" s="105">
        <v>22</v>
      </c>
      <c r="I25" s="105">
        <v>22</v>
      </c>
      <c r="J25" s="105">
        <v>22</v>
      </c>
      <c r="K25" s="105">
        <v>22</v>
      </c>
      <c r="L25" s="105">
        <v>22</v>
      </c>
      <c r="M25" s="105">
        <v>22</v>
      </c>
      <c r="N25" s="105">
        <v>22</v>
      </c>
      <c r="O25" s="105">
        <v>22</v>
      </c>
      <c r="P25" s="105">
        <v>22</v>
      </c>
      <c r="Q25" s="105">
        <v>22</v>
      </c>
      <c r="R25" s="105">
        <v>22</v>
      </c>
      <c r="S25" s="105">
        <v>22</v>
      </c>
      <c r="T25" s="105">
        <v>22</v>
      </c>
      <c r="U25" s="105">
        <v>22</v>
      </c>
      <c r="V25" s="105">
        <v>22</v>
      </c>
      <c r="W25" s="105">
        <v>22</v>
      </c>
      <c r="X25" s="105">
        <v>22</v>
      </c>
      <c r="Y25" s="105">
        <v>22</v>
      </c>
      <c r="Z25" s="105">
        <v>22</v>
      </c>
      <c r="AA25" s="105">
        <v>22</v>
      </c>
      <c r="AB25" s="105">
        <v>22</v>
      </c>
      <c r="AC25" s="105">
        <v>22</v>
      </c>
      <c r="AD25" s="105">
        <v>22</v>
      </c>
      <c r="AE25" s="105">
        <v>22</v>
      </c>
      <c r="AF25" s="105">
        <v>22</v>
      </c>
      <c r="AG25" s="126">
        <v>22</v>
      </c>
      <c r="AH25" s="20">
        <f t="shared" si="2"/>
        <v>22</v>
      </c>
      <c r="AI25" s="19">
        <f t="shared" si="3"/>
        <v>0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5">
        <v>0</v>
      </c>
      <c r="M26" s="105">
        <v>5</v>
      </c>
      <c r="N26" s="105">
        <v>5</v>
      </c>
      <c r="O26" s="105">
        <v>5</v>
      </c>
      <c r="P26" s="105">
        <v>0</v>
      </c>
      <c r="Q26" s="105">
        <v>0</v>
      </c>
      <c r="R26" s="105">
        <v>0</v>
      </c>
      <c r="S26" s="105">
        <v>0</v>
      </c>
      <c r="T26" s="105">
        <v>0</v>
      </c>
      <c r="U26" s="105">
        <v>0</v>
      </c>
      <c r="V26" s="105">
        <v>0</v>
      </c>
      <c r="W26" s="105">
        <v>0</v>
      </c>
      <c r="X26" s="105">
        <v>0</v>
      </c>
      <c r="Y26" s="105">
        <v>0</v>
      </c>
      <c r="Z26" s="105">
        <v>5</v>
      </c>
      <c r="AA26" s="105">
        <v>5</v>
      </c>
      <c r="AB26" s="105">
        <v>5</v>
      </c>
      <c r="AC26" s="105">
        <v>5</v>
      </c>
      <c r="AD26" s="105">
        <v>5</v>
      </c>
      <c r="AE26" s="105">
        <v>5</v>
      </c>
      <c r="AF26" s="105">
        <v>0</v>
      </c>
      <c r="AG26" s="126">
        <v>20</v>
      </c>
      <c r="AH26" s="20">
        <f t="shared" si="2"/>
        <v>5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</v>
      </c>
      <c r="C27" s="105">
        <v>14</v>
      </c>
      <c r="D27" s="105">
        <v>14</v>
      </c>
      <c r="E27" s="105">
        <v>14</v>
      </c>
      <c r="F27" s="105">
        <v>14</v>
      </c>
      <c r="G27" s="105">
        <v>14</v>
      </c>
      <c r="H27" s="105">
        <v>14</v>
      </c>
      <c r="I27" s="105">
        <v>14</v>
      </c>
      <c r="J27" s="105">
        <v>14</v>
      </c>
      <c r="K27" s="105">
        <v>14</v>
      </c>
      <c r="L27" s="105">
        <v>14</v>
      </c>
      <c r="M27" s="105">
        <v>14</v>
      </c>
      <c r="N27" s="105">
        <v>14</v>
      </c>
      <c r="O27" s="105">
        <v>14</v>
      </c>
      <c r="P27" s="105">
        <v>14</v>
      </c>
      <c r="Q27" s="105">
        <v>14</v>
      </c>
      <c r="R27" s="105">
        <v>14</v>
      </c>
      <c r="S27" s="105">
        <v>14</v>
      </c>
      <c r="T27" s="105">
        <v>14</v>
      </c>
      <c r="U27" s="105">
        <v>14</v>
      </c>
      <c r="V27" s="105">
        <v>14</v>
      </c>
      <c r="W27" s="105">
        <v>14</v>
      </c>
      <c r="X27" s="105">
        <v>14</v>
      </c>
      <c r="Y27" s="105">
        <v>14</v>
      </c>
      <c r="Z27" s="105">
        <v>14</v>
      </c>
      <c r="AA27" s="105">
        <v>14</v>
      </c>
      <c r="AB27" s="105">
        <v>14</v>
      </c>
      <c r="AC27" s="105">
        <v>14</v>
      </c>
      <c r="AD27" s="105">
        <v>14</v>
      </c>
      <c r="AE27" s="105">
        <v>14</v>
      </c>
      <c r="AF27" s="105">
        <v>14</v>
      </c>
      <c r="AG27" s="126">
        <v>14.9</v>
      </c>
      <c r="AH27" s="20">
        <f t="shared" si="2"/>
        <v>14</v>
      </c>
      <c r="AI27" s="19">
        <f t="shared" si="3"/>
        <v>14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>
        <v>6.8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>
        <v>6.8</v>
      </c>
      <c r="AE28" s="105">
        <v>6.8</v>
      </c>
      <c r="AF28" s="105">
        <v>6.8</v>
      </c>
      <c r="AG28" s="126">
        <v>13.6</v>
      </c>
      <c r="AH28" s="20">
        <f t="shared" si="2"/>
        <v>6.8</v>
      </c>
      <c r="AI28" s="19">
        <f t="shared" si="3"/>
        <v>6.8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11</v>
      </c>
      <c r="C29" s="105">
        <v>11</v>
      </c>
      <c r="D29" s="105">
        <v>11</v>
      </c>
      <c r="E29" s="105">
        <v>11</v>
      </c>
      <c r="F29" s="105">
        <v>11</v>
      </c>
      <c r="G29" s="105">
        <v>11</v>
      </c>
      <c r="H29" s="105">
        <v>11</v>
      </c>
      <c r="I29" s="105">
        <v>11</v>
      </c>
      <c r="J29" s="105">
        <v>11</v>
      </c>
      <c r="K29" s="105">
        <v>11</v>
      </c>
      <c r="L29" s="105">
        <v>11</v>
      </c>
      <c r="M29" s="105">
        <v>11</v>
      </c>
      <c r="N29" s="105">
        <v>11</v>
      </c>
      <c r="O29" s="105">
        <v>11</v>
      </c>
      <c r="P29" s="105">
        <v>11</v>
      </c>
      <c r="Q29" s="105">
        <v>11</v>
      </c>
      <c r="R29" s="105">
        <v>11</v>
      </c>
      <c r="S29" s="105">
        <v>11</v>
      </c>
      <c r="T29" s="105">
        <v>11</v>
      </c>
      <c r="U29" s="105">
        <v>11</v>
      </c>
      <c r="V29" s="105">
        <v>11</v>
      </c>
      <c r="W29" s="105">
        <v>11</v>
      </c>
      <c r="X29" s="105">
        <v>11</v>
      </c>
      <c r="Y29" s="105">
        <v>11</v>
      </c>
      <c r="Z29" s="105">
        <v>11</v>
      </c>
      <c r="AA29" s="105">
        <v>11</v>
      </c>
      <c r="AB29" s="105">
        <v>11</v>
      </c>
      <c r="AC29" s="105">
        <v>11</v>
      </c>
      <c r="AD29" s="105">
        <v>11</v>
      </c>
      <c r="AE29" s="105">
        <v>11</v>
      </c>
      <c r="AF29" s="105">
        <v>11</v>
      </c>
      <c r="AG29" s="126">
        <v>13</v>
      </c>
      <c r="AH29" s="20">
        <f t="shared" si="2"/>
        <v>11</v>
      </c>
      <c r="AI29" s="19">
        <f t="shared" si="3"/>
        <v>11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3</v>
      </c>
      <c r="C30" s="105">
        <v>3</v>
      </c>
      <c r="D30" s="105">
        <v>3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6</v>
      </c>
      <c r="N30" s="105">
        <v>6</v>
      </c>
      <c r="O30" s="105">
        <v>6</v>
      </c>
      <c r="P30" s="105">
        <v>6</v>
      </c>
      <c r="Q30" s="105">
        <v>6</v>
      </c>
      <c r="R30" s="105">
        <v>6</v>
      </c>
      <c r="S30" s="105">
        <v>6</v>
      </c>
      <c r="T30" s="105">
        <v>6</v>
      </c>
      <c r="U30" s="105">
        <v>6</v>
      </c>
      <c r="V30" s="105">
        <v>6</v>
      </c>
      <c r="W30" s="105">
        <v>5</v>
      </c>
      <c r="X30" s="105">
        <v>5</v>
      </c>
      <c r="Y30" s="105">
        <v>5</v>
      </c>
      <c r="Z30" s="105">
        <v>5</v>
      </c>
      <c r="AA30" s="105">
        <v>5</v>
      </c>
      <c r="AB30" s="105">
        <v>5</v>
      </c>
      <c r="AC30" s="105">
        <v>5</v>
      </c>
      <c r="AD30" s="105">
        <v>5</v>
      </c>
      <c r="AE30" s="105">
        <v>0</v>
      </c>
      <c r="AF30" s="105">
        <v>0</v>
      </c>
      <c r="AG30" s="126">
        <v>12</v>
      </c>
      <c r="AH30" s="20">
        <f t="shared" si="2"/>
        <v>6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ht="10.5" customHeight="1" x14ac:dyDescent="0.25">
      <c r="A31" s="97" t="s">
        <v>204</v>
      </c>
      <c r="B31" s="105">
        <v>12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>
        <v>12</v>
      </c>
      <c r="AE31" s="105">
        <v>12</v>
      </c>
      <c r="AF31" s="105">
        <v>12</v>
      </c>
      <c r="AG31" s="126">
        <v>12</v>
      </c>
      <c r="AH31" s="20">
        <f t="shared" si="2"/>
        <v>12</v>
      </c>
      <c r="AI31" s="19">
        <f t="shared" si="3"/>
        <v>12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2</v>
      </c>
      <c r="C32" s="105">
        <v>2</v>
      </c>
      <c r="D32" s="105">
        <v>2</v>
      </c>
      <c r="E32" s="105">
        <v>2</v>
      </c>
      <c r="F32" s="105">
        <v>2</v>
      </c>
      <c r="G32" s="105">
        <v>2</v>
      </c>
      <c r="H32" s="105">
        <v>2</v>
      </c>
      <c r="I32" s="105">
        <v>2</v>
      </c>
      <c r="J32" s="105">
        <v>2</v>
      </c>
      <c r="K32" s="105">
        <v>2</v>
      </c>
      <c r="L32" s="105">
        <v>2</v>
      </c>
      <c r="M32" s="105">
        <v>2</v>
      </c>
      <c r="N32" s="105">
        <v>2</v>
      </c>
      <c r="O32" s="105">
        <v>2</v>
      </c>
      <c r="P32" s="105">
        <v>2</v>
      </c>
      <c r="Q32" s="105">
        <v>2</v>
      </c>
      <c r="R32" s="105">
        <v>2</v>
      </c>
      <c r="S32" s="105">
        <v>2</v>
      </c>
      <c r="T32" s="105">
        <v>2</v>
      </c>
      <c r="U32" s="105">
        <v>2</v>
      </c>
      <c r="V32" s="105">
        <v>2</v>
      </c>
      <c r="W32" s="105">
        <v>2</v>
      </c>
      <c r="X32" s="105">
        <v>2</v>
      </c>
      <c r="Y32" s="105">
        <v>2</v>
      </c>
      <c r="Z32" s="105">
        <v>2</v>
      </c>
      <c r="AA32" s="105">
        <v>2</v>
      </c>
      <c r="AB32" s="105">
        <v>2</v>
      </c>
      <c r="AC32" s="105">
        <v>2</v>
      </c>
      <c r="AD32" s="105">
        <v>2</v>
      </c>
      <c r="AE32" s="105">
        <v>2</v>
      </c>
      <c r="AF32" s="105">
        <v>2</v>
      </c>
      <c r="AG32" s="126">
        <v>12</v>
      </c>
      <c r="AH32" s="20">
        <f t="shared" si="2"/>
        <v>2</v>
      </c>
      <c r="AI32" s="19">
        <f t="shared" si="3"/>
        <v>2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10</v>
      </c>
      <c r="C33" s="105">
        <v>10</v>
      </c>
      <c r="D33" s="105">
        <v>10</v>
      </c>
      <c r="E33" s="105">
        <v>10</v>
      </c>
      <c r="F33" s="105">
        <v>10</v>
      </c>
      <c r="G33" s="105">
        <v>10</v>
      </c>
      <c r="H33" s="105">
        <v>10</v>
      </c>
      <c r="I33" s="105">
        <v>10</v>
      </c>
      <c r="J33" s="105">
        <v>10</v>
      </c>
      <c r="K33" s="105">
        <v>10</v>
      </c>
      <c r="L33" s="105">
        <v>10</v>
      </c>
      <c r="M33" s="105">
        <v>10</v>
      </c>
      <c r="N33" s="105">
        <v>10</v>
      </c>
      <c r="O33" s="105">
        <v>10</v>
      </c>
      <c r="P33" s="105">
        <v>10</v>
      </c>
      <c r="Q33" s="105">
        <v>10</v>
      </c>
      <c r="R33" s="105">
        <v>10</v>
      </c>
      <c r="S33" s="105">
        <v>10</v>
      </c>
      <c r="T33" s="105">
        <v>10</v>
      </c>
      <c r="U33" s="105">
        <v>10</v>
      </c>
      <c r="V33" s="105">
        <v>10</v>
      </c>
      <c r="W33" s="105">
        <v>10</v>
      </c>
      <c r="X33" s="105">
        <v>10</v>
      </c>
      <c r="Y33" s="105">
        <v>10</v>
      </c>
      <c r="Z33" s="105">
        <v>10</v>
      </c>
      <c r="AA33" s="105">
        <v>10</v>
      </c>
      <c r="AB33" s="105">
        <v>10</v>
      </c>
      <c r="AC33" s="105">
        <v>10</v>
      </c>
      <c r="AD33" s="105">
        <v>10</v>
      </c>
      <c r="AE33" s="105">
        <v>10</v>
      </c>
      <c r="AF33" s="105">
        <v>10</v>
      </c>
      <c r="AG33" s="125">
        <v>22</v>
      </c>
      <c r="AH33" s="20">
        <f t="shared" si="2"/>
        <v>10</v>
      </c>
      <c r="AI33" s="19">
        <f t="shared" si="3"/>
        <v>10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11</v>
      </c>
      <c r="C34" s="105">
        <v>11</v>
      </c>
      <c r="D34" s="105">
        <v>11</v>
      </c>
      <c r="E34" s="105">
        <v>11</v>
      </c>
      <c r="F34" s="105">
        <v>11</v>
      </c>
      <c r="G34" s="105">
        <v>11</v>
      </c>
      <c r="H34" s="105">
        <v>11</v>
      </c>
      <c r="I34" s="105">
        <v>11</v>
      </c>
      <c r="J34" s="105">
        <v>11</v>
      </c>
      <c r="K34" s="105">
        <v>11</v>
      </c>
      <c r="L34" s="105">
        <v>11</v>
      </c>
      <c r="M34" s="105">
        <v>11</v>
      </c>
      <c r="N34" s="105">
        <v>11</v>
      </c>
      <c r="O34" s="105">
        <v>11</v>
      </c>
      <c r="P34" s="105">
        <v>11</v>
      </c>
      <c r="Q34" s="105">
        <v>11</v>
      </c>
      <c r="R34" s="105">
        <v>11</v>
      </c>
      <c r="S34" s="105">
        <v>11</v>
      </c>
      <c r="T34" s="105">
        <v>11</v>
      </c>
      <c r="U34" s="105">
        <v>11</v>
      </c>
      <c r="V34" s="105">
        <v>11</v>
      </c>
      <c r="W34" s="105">
        <v>11</v>
      </c>
      <c r="X34" s="105">
        <v>11</v>
      </c>
      <c r="Y34" s="105">
        <v>11</v>
      </c>
      <c r="Z34" s="105">
        <v>11</v>
      </c>
      <c r="AA34" s="105">
        <v>11</v>
      </c>
      <c r="AB34" s="105">
        <v>11</v>
      </c>
      <c r="AC34" s="105">
        <v>11</v>
      </c>
      <c r="AD34" s="105">
        <v>11</v>
      </c>
      <c r="AE34" s="105">
        <v>11</v>
      </c>
      <c r="AF34" s="105">
        <v>11</v>
      </c>
      <c r="AG34" s="96">
        <v>11.88</v>
      </c>
      <c r="AH34" s="20">
        <f t="shared" si="2"/>
        <v>11</v>
      </c>
      <c r="AI34" s="19">
        <f t="shared" si="3"/>
        <v>11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>
        <v>11</v>
      </c>
      <c r="AG35" s="94">
        <v>11</v>
      </c>
      <c r="AH35" s="20">
        <f t="shared" si="2"/>
        <v>11</v>
      </c>
      <c r="AI35" s="19">
        <f t="shared" si="3"/>
        <v>11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>
        <v>9</v>
      </c>
      <c r="E36" s="105">
        <v>9</v>
      </c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>
        <v>9</v>
      </c>
      <c r="N36" s="105">
        <v>9</v>
      </c>
      <c r="O36" s="105">
        <v>9</v>
      </c>
      <c r="P36" s="105">
        <v>9</v>
      </c>
      <c r="Q36" s="105">
        <v>9</v>
      </c>
      <c r="R36" s="105">
        <v>9</v>
      </c>
      <c r="S36" s="105">
        <v>9</v>
      </c>
      <c r="T36" s="105">
        <v>9</v>
      </c>
      <c r="U36" s="105">
        <v>9</v>
      </c>
      <c r="V36" s="105">
        <v>9</v>
      </c>
      <c r="W36" s="105">
        <v>9</v>
      </c>
      <c r="X36" s="105">
        <v>9</v>
      </c>
      <c r="Y36" s="105">
        <v>9</v>
      </c>
      <c r="Z36" s="105">
        <v>9</v>
      </c>
      <c r="AA36" s="105">
        <v>9</v>
      </c>
      <c r="AB36" s="105">
        <v>9</v>
      </c>
      <c r="AC36" s="105">
        <v>9</v>
      </c>
      <c r="AD36" s="105">
        <v>9</v>
      </c>
      <c r="AE36" s="105">
        <v>9</v>
      </c>
      <c r="AF36" s="105">
        <v>9</v>
      </c>
      <c r="AG36" s="94">
        <v>10</v>
      </c>
      <c r="AH36" s="20">
        <f t="shared" si="2"/>
        <v>9</v>
      </c>
      <c r="AI36" s="19">
        <f t="shared" si="3"/>
        <v>9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4</v>
      </c>
      <c r="C37" s="105">
        <v>4</v>
      </c>
      <c r="D37" s="105">
        <v>4</v>
      </c>
      <c r="E37" s="105">
        <v>4</v>
      </c>
      <c r="F37" s="105">
        <v>4</v>
      </c>
      <c r="G37" s="105">
        <v>4</v>
      </c>
      <c r="H37" s="105">
        <v>4</v>
      </c>
      <c r="I37" s="105">
        <v>4</v>
      </c>
      <c r="J37" s="105">
        <v>4</v>
      </c>
      <c r="K37" s="105">
        <v>4</v>
      </c>
      <c r="L37" s="105">
        <v>4</v>
      </c>
      <c r="M37" s="105">
        <v>4</v>
      </c>
      <c r="N37" s="105">
        <v>4</v>
      </c>
      <c r="O37" s="105">
        <v>4</v>
      </c>
      <c r="P37" s="105">
        <v>4</v>
      </c>
      <c r="Q37" s="105">
        <v>4</v>
      </c>
      <c r="R37" s="105">
        <v>4</v>
      </c>
      <c r="S37" s="105">
        <v>4</v>
      </c>
      <c r="T37" s="105">
        <v>4</v>
      </c>
      <c r="U37" s="105">
        <v>4</v>
      </c>
      <c r="V37" s="105">
        <v>4</v>
      </c>
      <c r="W37" s="105">
        <v>4</v>
      </c>
      <c r="X37" s="105">
        <v>4</v>
      </c>
      <c r="Y37" s="105">
        <v>4</v>
      </c>
      <c r="Z37" s="105">
        <v>4</v>
      </c>
      <c r="AA37" s="105">
        <v>4</v>
      </c>
      <c r="AB37" s="105">
        <v>4</v>
      </c>
      <c r="AC37" s="105">
        <v>4</v>
      </c>
      <c r="AD37" s="105">
        <v>4</v>
      </c>
      <c r="AE37" s="105">
        <v>4</v>
      </c>
      <c r="AF37" s="105">
        <v>4</v>
      </c>
      <c r="AG37" s="94">
        <v>10</v>
      </c>
      <c r="AH37" s="20">
        <f t="shared" si="2"/>
        <v>4</v>
      </c>
      <c r="AI37" s="19">
        <f t="shared" si="3"/>
        <v>4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v>173.4</v>
      </c>
      <c r="C39" s="119">
        <f>85+98</f>
        <v>183</v>
      </c>
      <c r="D39" s="119">
        <f>92.6+83</f>
        <v>175.6</v>
      </c>
      <c r="E39" s="119">
        <f>82.7+94.9</f>
        <v>177.60000000000002</v>
      </c>
      <c r="F39" s="119">
        <f>83.5+96.2</f>
        <v>179.7</v>
      </c>
      <c r="G39" s="119">
        <f>81.5+92.5</f>
        <v>174</v>
      </c>
      <c r="H39" s="119">
        <f>81.2+91.7</f>
        <v>172.9</v>
      </c>
      <c r="I39" s="119">
        <f>81.2+91</f>
        <v>172.2</v>
      </c>
      <c r="J39" s="119">
        <f>81.2+89.7</f>
        <v>170.9</v>
      </c>
      <c r="K39" s="119">
        <f>81.1+89.5</f>
        <v>170.6</v>
      </c>
      <c r="L39" s="113"/>
      <c r="M39" s="113">
        <v>173</v>
      </c>
      <c r="N39" s="113">
        <f>90.3+83.3</f>
        <v>173.6</v>
      </c>
      <c r="O39" s="113">
        <f>91.4+83.5</f>
        <v>174.9</v>
      </c>
      <c r="P39" s="113">
        <f>91.5+83.4</f>
        <v>174.9</v>
      </c>
      <c r="Q39" s="113">
        <f>91.6+83.9</f>
        <v>175.5</v>
      </c>
      <c r="R39" s="113">
        <f>92.3+84.1</f>
        <v>176.39999999999998</v>
      </c>
      <c r="S39" s="119">
        <f>83.8+92.1</f>
        <v>175.89999999999998</v>
      </c>
      <c r="T39" s="119">
        <f>83.3+92.4</f>
        <v>175.7</v>
      </c>
      <c r="U39" s="119">
        <f>83.9+92.1</f>
        <v>176</v>
      </c>
      <c r="V39" s="119">
        <f>91+84.6</f>
        <v>175.6</v>
      </c>
      <c r="W39" s="119">
        <f>84.7+92</f>
        <v>176.7</v>
      </c>
      <c r="X39" s="119">
        <f>82.7+90.8</f>
        <v>173.5</v>
      </c>
      <c r="Y39" s="119">
        <f>66.4+91.1</f>
        <v>157.5</v>
      </c>
      <c r="Z39" s="119">
        <f>66.4+91.4</f>
        <v>157.80000000000001</v>
      </c>
      <c r="AA39" s="119">
        <f>82.6+91.7</f>
        <v>174.3</v>
      </c>
      <c r="AB39" s="119">
        <f>83.5+92.6</f>
        <v>176.1</v>
      </c>
      <c r="AC39" s="119">
        <f>83.5+92.6</f>
        <v>176.1</v>
      </c>
      <c r="AD39" s="119">
        <f>83.5+92.6</f>
        <v>176.1</v>
      </c>
      <c r="AE39" s="119">
        <f>83.5+92.6</f>
        <v>176.1</v>
      </c>
      <c r="AF39" s="119">
        <v>165</v>
      </c>
      <c r="AG39" s="94">
        <v>240</v>
      </c>
      <c r="AH39" s="20">
        <f t="shared" si="2"/>
        <v>183</v>
      </c>
      <c r="AI39" s="19">
        <f t="shared" si="3"/>
        <v>157.5</v>
      </c>
      <c r="AK39" s="41"/>
    </row>
    <row r="40" spans="1:88" ht="15.75" thickBot="1" x14ac:dyDescent="0.3">
      <c r="A40" s="118" t="s">
        <v>195</v>
      </c>
      <c r="B40" s="86">
        <f t="shared" ref="B40:AG40" si="4">SUM(B11:B38)</f>
        <v>774.9</v>
      </c>
      <c r="C40" s="86">
        <f t="shared" si="4"/>
        <v>774.9</v>
      </c>
      <c r="D40" s="86">
        <f t="shared" si="4"/>
        <v>752.9</v>
      </c>
      <c r="E40" s="86">
        <f t="shared" si="4"/>
        <v>748.9</v>
      </c>
      <c r="F40" s="86">
        <f t="shared" si="4"/>
        <v>746.9</v>
      </c>
      <c r="G40" s="86">
        <f t="shared" si="4"/>
        <v>768.9</v>
      </c>
      <c r="H40" s="86">
        <f t="shared" si="4"/>
        <v>755.9</v>
      </c>
      <c r="I40" s="86">
        <f t="shared" si="4"/>
        <v>755.9</v>
      </c>
      <c r="J40" s="86">
        <f t="shared" si="4"/>
        <v>755.9</v>
      </c>
      <c r="K40" s="86">
        <f t="shared" si="4"/>
        <v>755.9</v>
      </c>
      <c r="L40" s="86">
        <f t="shared" si="4"/>
        <v>755.9</v>
      </c>
      <c r="M40" s="86">
        <f t="shared" si="4"/>
        <v>803.9</v>
      </c>
      <c r="N40" s="86">
        <f t="shared" si="4"/>
        <v>766</v>
      </c>
      <c r="O40" s="86">
        <f t="shared" si="4"/>
        <v>776</v>
      </c>
      <c r="P40" s="86">
        <f t="shared" si="4"/>
        <v>769</v>
      </c>
      <c r="Q40" s="86">
        <f t="shared" si="4"/>
        <v>769.2</v>
      </c>
      <c r="R40" s="86">
        <f t="shared" si="4"/>
        <v>800.40000000000009</v>
      </c>
      <c r="S40" s="86">
        <f t="shared" si="4"/>
        <v>800.40000000000009</v>
      </c>
      <c r="T40" s="86">
        <f t="shared" si="4"/>
        <v>800.40000000000009</v>
      </c>
      <c r="U40" s="86">
        <f t="shared" si="4"/>
        <v>800.40000000000009</v>
      </c>
      <c r="V40" s="86">
        <f t="shared" si="4"/>
        <v>800.40000000000009</v>
      </c>
      <c r="W40" s="86">
        <f t="shared" si="4"/>
        <v>787.6</v>
      </c>
      <c r="X40" s="86">
        <f t="shared" si="4"/>
        <v>797.6</v>
      </c>
      <c r="Y40" s="86">
        <f t="shared" si="4"/>
        <v>797.6</v>
      </c>
      <c r="Z40" s="86">
        <f t="shared" si="4"/>
        <v>803.40000000000009</v>
      </c>
      <c r="AA40" s="86">
        <f t="shared" si="4"/>
        <v>795.6</v>
      </c>
      <c r="AB40" s="86">
        <f t="shared" si="4"/>
        <v>795.6</v>
      </c>
      <c r="AC40" s="86">
        <f t="shared" si="4"/>
        <v>795.6</v>
      </c>
      <c r="AD40" s="86">
        <f t="shared" si="4"/>
        <v>790.6</v>
      </c>
      <c r="AE40" s="86">
        <f t="shared" si="4"/>
        <v>777.6</v>
      </c>
      <c r="AF40" s="86">
        <f t="shared" si="4"/>
        <v>772.6</v>
      </c>
      <c r="AG40" s="101">
        <f t="shared" si="4"/>
        <v>707.78</v>
      </c>
      <c r="AH40" s="20">
        <f t="shared" si="2"/>
        <v>803.9</v>
      </c>
      <c r="AI40" s="19">
        <f t="shared" si="3"/>
        <v>746.9</v>
      </c>
      <c r="AK40" s="41"/>
    </row>
    <row r="41" spans="1:88" x14ac:dyDescent="0.25">
      <c r="A41" s="117" t="s">
        <v>194</v>
      </c>
      <c r="B41" s="105">
        <v>456</v>
      </c>
      <c r="C41" s="105">
        <v>456</v>
      </c>
      <c r="D41" s="105">
        <v>456</v>
      </c>
      <c r="E41" s="105">
        <v>456</v>
      </c>
      <c r="F41" s="105">
        <v>456</v>
      </c>
      <c r="G41" s="105">
        <v>456</v>
      </c>
      <c r="H41" s="105">
        <v>456</v>
      </c>
      <c r="I41" s="105">
        <v>456</v>
      </c>
      <c r="J41" s="105">
        <v>456</v>
      </c>
      <c r="K41" s="105">
        <v>456</v>
      </c>
      <c r="L41" s="105">
        <v>456</v>
      </c>
      <c r="M41" s="105">
        <v>456</v>
      </c>
      <c r="N41" s="105">
        <v>456</v>
      </c>
      <c r="O41" s="105">
        <v>456</v>
      </c>
      <c r="P41" s="105">
        <v>456</v>
      </c>
      <c r="Q41" s="105">
        <v>456</v>
      </c>
      <c r="R41" s="105">
        <v>456</v>
      </c>
      <c r="S41" s="105">
        <v>456</v>
      </c>
      <c r="T41" s="105">
        <v>456</v>
      </c>
      <c r="U41" s="105">
        <v>456</v>
      </c>
      <c r="V41" s="105">
        <v>456</v>
      </c>
      <c r="W41" s="105">
        <v>456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456</v>
      </c>
      <c r="AD41" s="105">
        <v>456</v>
      </c>
      <c r="AE41" s="105">
        <v>456</v>
      </c>
      <c r="AF41" s="105">
        <v>456</v>
      </c>
      <c r="AG41" s="96">
        <v>456</v>
      </c>
      <c r="AH41" s="20">
        <f t="shared" si="2"/>
        <v>456</v>
      </c>
      <c r="AI41" s="19">
        <f t="shared" si="3"/>
        <v>456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>
        <v>60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>
        <v>22</v>
      </c>
      <c r="S43" s="107">
        <v>22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>
        <v>22</v>
      </c>
      <c r="AG43" s="106">
        <v>22.1</v>
      </c>
      <c r="AH43" s="20">
        <f t="shared" si="2"/>
        <v>22</v>
      </c>
      <c r="AI43" s="19">
        <f t="shared" si="3"/>
        <v>22</v>
      </c>
      <c r="AK43" s="41"/>
    </row>
    <row r="44" spans="1:88" ht="15.75" thickBot="1" x14ac:dyDescent="0.3">
      <c r="A44" s="114" t="s">
        <v>191</v>
      </c>
      <c r="B44" s="86">
        <f t="shared" ref="B44:AG44" si="5">SUM(B41:B43)</f>
        <v>538</v>
      </c>
      <c r="C44" s="86">
        <f t="shared" si="5"/>
        <v>538</v>
      </c>
      <c r="D44" s="86">
        <f t="shared" si="5"/>
        <v>538</v>
      </c>
      <c r="E44" s="86">
        <f t="shared" si="5"/>
        <v>538</v>
      </c>
      <c r="F44" s="86">
        <f t="shared" si="5"/>
        <v>538</v>
      </c>
      <c r="G44" s="86">
        <f t="shared" si="5"/>
        <v>538</v>
      </c>
      <c r="H44" s="86">
        <f t="shared" si="5"/>
        <v>538</v>
      </c>
      <c r="I44" s="86">
        <f t="shared" si="5"/>
        <v>538</v>
      </c>
      <c r="J44" s="86">
        <f t="shared" si="5"/>
        <v>538</v>
      </c>
      <c r="K44" s="86">
        <f t="shared" si="5"/>
        <v>538</v>
      </c>
      <c r="L44" s="86">
        <f t="shared" si="5"/>
        <v>538</v>
      </c>
      <c r="M44" s="86">
        <f t="shared" si="5"/>
        <v>538</v>
      </c>
      <c r="N44" s="86">
        <f t="shared" si="5"/>
        <v>538</v>
      </c>
      <c r="O44" s="86">
        <f t="shared" si="5"/>
        <v>538</v>
      </c>
      <c r="P44" s="86">
        <f t="shared" si="5"/>
        <v>538</v>
      </c>
      <c r="Q44" s="86">
        <f t="shared" si="5"/>
        <v>538</v>
      </c>
      <c r="R44" s="86">
        <f t="shared" si="5"/>
        <v>538</v>
      </c>
      <c r="S44" s="86">
        <f t="shared" si="5"/>
        <v>538</v>
      </c>
      <c r="T44" s="86">
        <f t="shared" si="5"/>
        <v>538</v>
      </c>
      <c r="U44" s="86">
        <f t="shared" si="5"/>
        <v>538</v>
      </c>
      <c r="V44" s="86">
        <f t="shared" si="5"/>
        <v>538</v>
      </c>
      <c r="W44" s="86">
        <f t="shared" si="5"/>
        <v>538</v>
      </c>
      <c r="X44" s="86">
        <f t="shared" si="5"/>
        <v>538</v>
      </c>
      <c r="Y44" s="86">
        <f t="shared" si="5"/>
        <v>538</v>
      </c>
      <c r="Z44" s="86">
        <f t="shared" si="5"/>
        <v>538</v>
      </c>
      <c r="AA44" s="86">
        <f t="shared" si="5"/>
        <v>538</v>
      </c>
      <c r="AB44" s="86">
        <f t="shared" si="5"/>
        <v>538</v>
      </c>
      <c r="AC44" s="86">
        <f t="shared" si="5"/>
        <v>538</v>
      </c>
      <c r="AD44" s="86">
        <f t="shared" si="5"/>
        <v>538</v>
      </c>
      <c r="AE44" s="86">
        <f t="shared" si="5"/>
        <v>538</v>
      </c>
      <c r="AF44" s="86">
        <f t="shared" si="5"/>
        <v>538</v>
      </c>
      <c r="AG44" s="101">
        <f t="shared" si="5"/>
        <v>538.1</v>
      </c>
      <c r="AH44" s="20">
        <f t="shared" si="2"/>
        <v>538</v>
      </c>
      <c r="AI44" s="19">
        <f t="shared" si="3"/>
        <v>538</v>
      </c>
      <c r="AK44" s="41"/>
    </row>
    <row r="45" spans="1:88" x14ac:dyDescent="0.25">
      <c r="A45" s="97" t="s">
        <v>190</v>
      </c>
      <c r="B45" s="105">
        <v>145</v>
      </c>
      <c r="C45" s="105">
        <v>145</v>
      </c>
      <c r="D45" s="105">
        <v>112</v>
      </c>
      <c r="E45" s="105">
        <v>131.4</v>
      </c>
      <c r="F45" s="105">
        <v>121.9</v>
      </c>
      <c r="G45" s="105">
        <v>139.4</v>
      </c>
      <c r="H45" s="105">
        <v>143.30000000000001</v>
      </c>
      <c r="I45" s="105">
        <v>143.5</v>
      </c>
      <c r="J45" s="105">
        <v>142</v>
      </c>
      <c r="K45" s="105">
        <v>143</v>
      </c>
      <c r="L45" s="105">
        <v>143</v>
      </c>
      <c r="M45" s="105">
        <v>143</v>
      </c>
      <c r="N45" s="105">
        <v>143.69999999999999</v>
      </c>
      <c r="O45" s="105">
        <v>143.4</v>
      </c>
      <c r="P45" s="105">
        <v>143.4</v>
      </c>
      <c r="Q45" s="105">
        <v>143.4</v>
      </c>
      <c r="R45" s="105">
        <v>117.1</v>
      </c>
      <c r="S45" s="105">
        <v>142.9</v>
      </c>
      <c r="T45" s="105">
        <v>143.1</v>
      </c>
      <c r="U45" s="105">
        <v>143.1</v>
      </c>
      <c r="V45" s="105">
        <v>142.80000000000001</v>
      </c>
      <c r="W45" s="105">
        <v>143.19999999999999</v>
      </c>
      <c r="X45" s="105">
        <v>143.19999999999999</v>
      </c>
      <c r="Y45" s="105">
        <v>143.19999999999999</v>
      </c>
      <c r="Z45" s="105">
        <v>143.4</v>
      </c>
      <c r="AA45" s="105">
        <v>143.19999999999999</v>
      </c>
      <c r="AB45" s="105">
        <v>143.19999999999999</v>
      </c>
      <c r="AC45" s="105">
        <v>143.19999999999999</v>
      </c>
      <c r="AD45" s="105">
        <v>143.19999999999999</v>
      </c>
      <c r="AE45" s="105">
        <v>143</v>
      </c>
      <c r="AF45" s="105">
        <v>143.5</v>
      </c>
      <c r="AG45" s="96">
        <v>144</v>
      </c>
      <c r="AH45" s="20">
        <f t="shared" si="2"/>
        <v>145</v>
      </c>
      <c r="AI45" s="19">
        <f t="shared" si="3"/>
        <v>112</v>
      </c>
      <c r="AK45" s="41"/>
    </row>
    <row r="46" spans="1:88" x14ac:dyDescent="0.25">
      <c r="A46" s="95" t="s">
        <v>189</v>
      </c>
      <c r="B46" s="80">
        <v>71</v>
      </c>
      <c r="C46" s="80">
        <v>71</v>
      </c>
      <c r="D46" s="80">
        <v>61.6</v>
      </c>
      <c r="E46" s="80">
        <v>65.8</v>
      </c>
      <c r="F46" s="80">
        <v>60</v>
      </c>
      <c r="G46" s="80">
        <v>62.6</v>
      </c>
      <c r="H46" s="80">
        <v>69.8</v>
      </c>
      <c r="I46" s="80">
        <v>48.6</v>
      </c>
      <c r="J46" s="80">
        <v>63.1</v>
      </c>
      <c r="K46" s="80">
        <v>73</v>
      </c>
      <c r="L46" s="80">
        <v>73</v>
      </c>
      <c r="M46" s="80">
        <v>73</v>
      </c>
      <c r="N46" s="105">
        <v>72.3</v>
      </c>
      <c r="O46" s="105">
        <v>72.599999999999994</v>
      </c>
      <c r="P46" s="105">
        <v>72.099999999999994</v>
      </c>
      <c r="Q46" s="105">
        <v>72.099999999999994</v>
      </c>
      <c r="R46" s="105">
        <v>72.099999999999994</v>
      </c>
      <c r="S46" s="80">
        <v>72.400000000000006</v>
      </c>
      <c r="T46" s="80">
        <v>72.2</v>
      </c>
      <c r="U46" s="80">
        <v>72.2</v>
      </c>
      <c r="V46" s="80">
        <v>71.900000000000006</v>
      </c>
      <c r="W46" s="80">
        <v>71.7</v>
      </c>
      <c r="X46" s="80">
        <v>72.400000000000006</v>
      </c>
      <c r="Y46" s="80">
        <v>72.400000000000006</v>
      </c>
      <c r="Z46" s="80">
        <v>70.8</v>
      </c>
      <c r="AA46" s="80">
        <v>71.3</v>
      </c>
      <c r="AB46" s="80">
        <v>71.7</v>
      </c>
      <c r="AC46" s="80">
        <v>71.7</v>
      </c>
      <c r="AD46" s="80">
        <v>71.7</v>
      </c>
      <c r="AE46" s="80">
        <v>61</v>
      </c>
      <c r="AF46" s="80">
        <v>67.5</v>
      </c>
      <c r="AG46" s="94">
        <v>70</v>
      </c>
      <c r="AH46" s="20">
        <f t="shared" si="2"/>
        <v>73</v>
      </c>
      <c r="AI46" s="19">
        <f t="shared" si="3"/>
        <v>48.6</v>
      </c>
      <c r="AK46" s="41"/>
    </row>
    <row r="47" spans="1:88" x14ac:dyDescent="0.25">
      <c r="A47" s="95" t="s">
        <v>188</v>
      </c>
      <c r="B47" s="80">
        <v>64.7</v>
      </c>
      <c r="C47" s="80">
        <v>64.7</v>
      </c>
      <c r="D47" s="80">
        <v>64.7</v>
      </c>
      <c r="E47" s="80">
        <v>61.8</v>
      </c>
      <c r="F47" s="80">
        <v>51.3</v>
      </c>
      <c r="G47" s="80">
        <v>52.8</v>
      </c>
      <c r="H47" s="80">
        <v>66.7</v>
      </c>
      <c r="I47" s="80">
        <v>44.2</v>
      </c>
      <c r="J47" s="80">
        <v>61</v>
      </c>
      <c r="K47" s="80">
        <v>45.1</v>
      </c>
      <c r="L47" s="80">
        <v>45.1</v>
      </c>
      <c r="M47" s="80">
        <v>45.1</v>
      </c>
      <c r="N47" s="105">
        <v>45</v>
      </c>
      <c r="O47" s="105">
        <v>46.6</v>
      </c>
      <c r="P47" s="105">
        <v>46.5</v>
      </c>
      <c r="Q47" s="105">
        <v>46.5</v>
      </c>
      <c r="R47" s="105">
        <v>46.5</v>
      </c>
      <c r="S47" s="80">
        <v>45.5</v>
      </c>
      <c r="T47" s="80">
        <v>46.2</v>
      </c>
      <c r="U47" s="80">
        <v>46.2</v>
      </c>
      <c r="V47" s="80">
        <v>46.2</v>
      </c>
      <c r="W47" s="80">
        <v>46.5</v>
      </c>
      <c r="X47" s="80">
        <v>45.7</v>
      </c>
      <c r="Y47" s="80">
        <v>45.7</v>
      </c>
      <c r="Z47" s="80">
        <v>46</v>
      </c>
      <c r="AA47" s="80">
        <v>46.7</v>
      </c>
      <c r="AB47" s="80">
        <v>47.1</v>
      </c>
      <c r="AC47" s="80">
        <v>47.1</v>
      </c>
      <c r="AD47" s="80">
        <v>31.8</v>
      </c>
      <c r="AE47" s="80">
        <v>47</v>
      </c>
      <c r="AF47" s="80">
        <v>46.4</v>
      </c>
      <c r="AG47" s="94">
        <v>69</v>
      </c>
      <c r="AH47" s="20">
        <f t="shared" si="2"/>
        <v>66.7</v>
      </c>
      <c r="AI47" s="19">
        <f t="shared" si="3"/>
        <v>31.8</v>
      </c>
      <c r="AK47" s="41"/>
    </row>
    <row r="48" spans="1:88" x14ac:dyDescent="0.25">
      <c r="A48" s="95" t="s">
        <v>187</v>
      </c>
      <c r="B48" s="113">
        <v>30</v>
      </c>
      <c r="C48" s="113">
        <v>30</v>
      </c>
      <c r="D48" s="113">
        <v>30</v>
      </c>
      <c r="E48" s="113">
        <v>11.6</v>
      </c>
      <c r="F48" s="113">
        <v>13.1</v>
      </c>
      <c r="G48" s="113">
        <v>13.1</v>
      </c>
      <c r="H48" s="113">
        <v>25.9</v>
      </c>
      <c r="I48" s="113">
        <v>0</v>
      </c>
      <c r="J48" s="113">
        <v>0</v>
      </c>
      <c r="K48" s="113">
        <v>30</v>
      </c>
      <c r="L48" s="113">
        <v>60.7</v>
      </c>
      <c r="M48" s="113">
        <v>60.7</v>
      </c>
      <c r="N48" s="105">
        <v>60.7</v>
      </c>
      <c r="O48" s="105">
        <v>60.4</v>
      </c>
      <c r="P48" s="105">
        <v>60.7</v>
      </c>
      <c r="Q48" s="105">
        <v>60.7</v>
      </c>
      <c r="R48" s="105">
        <v>60.7</v>
      </c>
      <c r="S48" s="105">
        <v>60.7</v>
      </c>
      <c r="T48" s="105">
        <v>60.9</v>
      </c>
      <c r="U48" s="105">
        <v>60.9</v>
      </c>
      <c r="V48" s="80">
        <v>60.9</v>
      </c>
      <c r="W48" s="80">
        <v>60.9</v>
      </c>
      <c r="X48" s="80">
        <v>60.9</v>
      </c>
      <c r="Y48" s="80">
        <v>60.9</v>
      </c>
      <c r="Z48" s="80">
        <v>61.2</v>
      </c>
      <c r="AA48" s="80">
        <v>61.4</v>
      </c>
      <c r="AB48" s="80">
        <v>61.4</v>
      </c>
      <c r="AC48" s="80">
        <v>61.4</v>
      </c>
      <c r="AD48" s="80">
        <v>61.4</v>
      </c>
      <c r="AE48" s="113">
        <v>60.9</v>
      </c>
      <c r="AF48" s="113">
        <v>62</v>
      </c>
      <c r="AG48" s="94">
        <v>60</v>
      </c>
      <c r="AH48" s="20">
        <f t="shared" si="2"/>
        <v>62</v>
      </c>
      <c r="AI48" s="19">
        <f t="shared" si="3"/>
        <v>0</v>
      </c>
      <c r="AK48" s="41"/>
    </row>
    <row r="49" spans="1:41" x14ac:dyDescent="0.25">
      <c r="A49" s="95" t="s">
        <v>186</v>
      </c>
      <c r="B49" s="113">
        <v>28.7</v>
      </c>
      <c r="C49" s="113">
        <v>28.7</v>
      </c>
      <c r="D49" s="113">
        <v>28.7</v>
      </c>
      <c r="E49" s="113">
        <v>28.7</v>
      </c>
      <c r="F49" s="113">
        <v>28.1</v>
      </c>
      <c r="G49" s="113">
        <v>28.1</v>
      </c>
      <c r="H49" s="113">
        <v>28.1</v>
      </c>
      <c r="I49" s="113">
        <v>28.1</v>
      </c>
      <c r="J49" s="113">
        <v>28.1</v>
      </c>
      <c r="K49" s="113">
        <v>28.1</v>
      </c>
      <c r="L49" s="113">
        <v>28.1</v>
      </c>
      <c r="M49" s="113">
        <v>28.1</v>
      </c>
      <c r="N49" s="113">
        <v>29.1</v>
      </c>
      <c r="O49" s="113">
        <v>29.1</v>
      </c>
      <c r="P49" s="113">
        <v>29.2</v>
      </c>
      <c r="Q49" s="113">
        <v>29.2</v>
      </c>
      <c r="R49" s="113">
        <v>15</v>
      </c>
      <c r="S49" s="113">
        <v>29.1</v>
      </c>
      <c r="T49" s="105">
        <v>29.2</v>
      </c>
      <c r="U49" s="105">
        <v>29.2</v>
      </c>
      <c r="V49" s="105">
        <v>29.2</v>
      </c>
      <c r="W49" s="80">
        <v>29.3</v>
      </c>
      <c r="X49" s="80">
        <v>29.3</v>
      </c>
      <c r="Y49" s="80">
        <v>29.3</v>
      </c>
      <c r="Z49" s="80">
        <v>29.3</v>
      </c>
      <c r="AA49" s="80">
        <v>29</v>
      </c>
      <c r="AB49" s="80">
        <v>29</v>
      </c>
      <c r="AC49" s="80">
        <v>29</v>
      </c>
      <c r="AD49" s="80">
        <v>29</v>
      </c>
      <c r="AE49" s="113">
        <v>29</v>
      </c>
      <c r="AF49" s="113">
        <v>14.7</v>
      </c>
      <c r="AG49" s="94">
        <v>30</v>
      </c>
      <c r="AH49" s="20">
        <f t="shared" si="2"/>
        <v>29.3</v>
      </c>
      <c r="AI49" s="19">
        <f t="shared" si="3"/>
        <v>14.7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7.3</v>
      </c>
      <c r="N50" s="80">
        <v>12.8</v>
      </c>
      <c r="O50" s="80">
        <v>15.8</v>
      </c>
      <c r="P50" s="80">
        <v>16.5</v>
      </c>
      <c r="Q50" s="80">
        <v>16.5</v>
      </c>
      <c r="R50" s="80">
        <v>15.6</v>
      </c>
      <c r="S50" s="80">
        <v>15.6</v>
      </c>
      <c r="T50" s="80">
        <v>15.6</v>
      </c>
      <c r="U50" s="80">
        <v>15.6</v>
      </c>
      <c r="V50" s="80">
        <v>15.6</v>
      </c>
      <c r="W50" s="80">
        <v>15.6</v>
      </c>
      <c r="X50" s="80">
        <v>15.6</v>
      </c>
      <c r="Y50" s="80">
        <v>15.6</v>
      </c>
      <c r="Z50" s="80">
        <v>15.6</v>
      </c>
      <c r="AA50" s="80">
        <v>15.6</v>
      </c>
      <c r="AB50" s="80">
        <v>0</v>
      </c>
      <c r="AC50" s="80">
        <v>0</v>
      </c>
      <c r="AD50" s="80">
        <v>0</v>
      </c>
      <c r="AE50" s="80">
        <v>0</v>
      </c>
      <c r="AF50" s="80">
        <v>0</v>
      </c>
      <c r="AG50" s="94">
        <v>25</v>
      </c>
      <c r="AH50" s="20">
        <f t="shared" si="2"/>
        <v>16.5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16.600000000000001</v>
      </c>
      <c r="C51" s="80">
        <v>16.600000000000001</v>
      </c>
      <c r="D51" s="80">
        <v>14.6</v>
      </c>
      <c r="E51" s="80">
        <v>14.6</v>
      </c>
      <c r="F51" s="80">
        <v>14.6</v>
      </c>
      <c r="G51" s="80">
        <v>14.6</v>
      </c>
      <c r="H51" s="80">
        <v>14.6</v>
      </c>
      <c r="I51" s="80">
        <v>14.6</v>
      </c>
      <c r="J51" s="80">
        <v>14.6</v>
      </c>
      <c r="K51" s="80">
        <v>14.6</v>
      </c>
      <c r="L51" s="80">
        <v>14.6</v>
      </c>
      <c r="M51" s="80">
        <v>14.6</v>
      </c>
      <c r="N51" s="80">
        <v>15.7</v>
      </c>
      <c r="O51" s="80">
        <v>15.7</v>
      </c>
      <c r="P51" s="80">
        <v>15.1</v>
      </c>
      <c r="Q51" s="80">
        <v>15.1</v>
      </c>
      <c r="R51" s="80">
        <v>15.1</v>
      </c>
      <c r="S51" s="80">
        <v>15.1</v>
      </c>
      <c r="T51" s="80">
        <v>15.1</v>
      </c>
      <c r="U51" s="80">
        <v>15.1</v>
      </c>
      <c r="V51" s="80">
        <v>15.1</v>
      </c>
      <c r="W51" s="80">
        <v>15.1</v>
      </c>
      <c r="X51" s="80">
        <v>15.1</v>
      </c>
      <c r="Y51" s="80">
        <v>15.1</v>
      </c>
      <c r="Z51" s="80">
        <v>15.1</v>
      </c>
      <c r="AA51" s="80">
        <v>15.1</v>
      </c>
      <c r="AB51" s="80">
        <v>15.1</v>
      </c>
      <c r="AC51" s="80">
        <v>15.1</v>
      </c>
      <c r="AD51" s="80">
        <v>15.1</v>
      </c>
      <c r="AE51" s="80">
        <v>17</v>
      </c>
      <c r="AF51" s="80">
        <v>17</v>
      </c>
      <c r="AG51" s="94">
        <v>24</v>
      </c>
      <c r="AH51" s="20">
        <f t="shared" si="2"/>
        <v>17</v>
      </c>
      <c r="AI51" s="19">
        <f t="shared" si="3"/>
        <v>14.6</v>
      </c>
      <c r="AK51" s="41"/>
    </row>
    <row r="52" spans="1:41" x14ac:dyDescent="0.25">
      <c r="A52" s="95" t="s">
        <v>183</v>
      </c>
      <c r="B52" s="80">
        <v>3</v>
      </c>
      <c r="C52" s="80">
        <v>3</v>
      </c>
      <c r="D52" s="80">
        <v>3</v>
      </c>
      <c r="E52" s="80">
        <v>3</v>
      </c>
      <c r="F52" s="80">
        <v>3</v>
      </c>
      <c r="G52" s="80">
        <v>3</v>
      </c>
      <c r="H52" s="80">
        <v>3</v>
      </c>
      <c r="I52" s="80">
        <v>3</v>
      </c>
      <c r="J52" s="80">
        <v>3</v>
      </c>
      <c r="K52" s="80">
        <v>3</v>
      </c>
      <c r="L52" s="80">
        <v>3</v>
      </c>
      <c r="M52" s="80">
        <v>3</v>
      </c>
      <c r="N52" s="80">
        <v>3</v>
      </c>
      <c r="O52" s="80">
        <v>3</v>
      </c>
      <c r="P52" s="80">
        <v>3</v>
      </c>
      <c r="Q52" s="80">
        <v>3</v>
      </c>
      <c r="R52" s="80">
        <v>3</v>
      </c>
      <c r="S52" s="80">
        <v>3</v>
      </c>
      <c r="T52" s="80">
        <v>3</v>
      </c>
      <c r="U52" s="80">
        <v>3</v>
      </c>
      <c r="V52" s="80">
        <v>3</v>
      </c>
      <c r="W52" s="80">
        <v>3</v>
      </c>
      <c r="X52" s="80">
        <v>3</v>
      </c>
      <c r="Y52" s="80">
        <v>3</v>
      </c>
      <c r="Z52" s="80">
        <v>3</v>
      </c>
      <c r="AA52" s="80">
        <v>3</v>
      </c>
      <c r="AB52" s="80">
        <v>3</v>
      </c>
      <c r="AC52" s="80">
        <v>3</v>
      </c>
      <c r="AD52" s="80">
        <v>3</v>
      </c>
      <c r="AE52" s="80">
        <v>3</v>
      </c>
      <c r="AF52" s="80">
        <v>3</v>
      </c>
      <c r="AG52" s="94">
        <v>15</v>
      </c>
      <c r="AH52" s="20">
        <f t="shared" si="2"/>
        <v>3</v>
      </c>
      <c r="AI52" s="19">
        <f t="shared" si="3"/>
        <v>3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4.9000000000000004</v>
      </c>
      <c r="C53" s="80">
        <v>4.9000000000000004</v>
      </c>
      <c r="D53" s="80">
        <v>4.9000000000000004</v>
      </c>
      <c r="E53" s="80">
        <v>4.9000000000000004</v>
      </c>
      <c r="F53" s="80">
        <v>4.9000000000000004</v>
      </c>
      <c r="G53" s="80">
        <v>4.9000000000000004</v>
      </c>
      <c r="H53" s="80">
        <v>4.9000000000000004</v>
      </c>
      <c r="I53" s="80">
        <v>4.9000000000000004</v>
      </c>
      <c r="J53" s="80">
        <v>4.9000000000000004</v>
      </c>
      <c r="K53" s="80">
        <v>4.9000000000000004</v>
      </c>
      <c r="L53" s="80">
        <v>4.9000000000000004</v>
      </c>
      <c r="M53" s="80">
        <v>4.9000000000000004</v>
      </c>
      <c r="N53" s="80">
        <v>9.5</v>
      </c>
      <c r="O53" s="80">
        <v>9.5</v>
      </c>
      <c r="P53" s="80">
        <v>9.5</v>
      </c>
      <c r="Q53" s="80">
        <v>9.5</v>
      </c>
      <c r="R53" s="80">
        <v>0</v>
      </c>
      <c r="S53" s="80">
        <v>0</v>
      </c>
      <c r="T53" s="80">
        <v>0</v>
      </c>
      <c r="U53" s="80">
        <v>0</v>
      </c>
      <c r="V53" s="80">
        <v>0</v>
      </c>
      <c r="W53" s="80">
        <v>0</v>
      </c>
      <c r="X53" s="80">
        <v>0</v>
      </c>
      <c r="Y53" s="80">
        <v>0</v>
      </c>
      <c r="Z53" s="80">
        <v>0</v>
      </c>
      <c r="AA53" s="80">
        <v>0</v>
      </c>
      <c r="AB53" s="80">
        <v>7.7</v>
      </c>
      <c r="AC53" s="80">
        <v>7.7</v>
      </c>
      <c r="AD53" s="80">
        <v>7.7</v>
      </c>
      <c r="AE53" s="80">
        <v>7.7</v>
      </c>
      <c r="AF53" s="80">
        <v>7.7</v>
      </c>
      <c r="AG53" s="94">
        <v>14.1</v>
      </c>
      <c r="AH53" s="20">
        <f t="shared" si="2"/>
        <v>9.5</v>
      </c>
      <c r="AI53" s="19">
        <f t="shared" si="3"/>
        <v>0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14.6</v>
      </c>
      <c r="C54" s="80">
        <v>14.6</v>
      </c>
      <c r="D54" s="80">
        <v>14.6</v>
      </c>
      <c r="E54" s="80">
        <v>14.6</v>
      </c>
      <c r="F54" s="80">
        <v>14.6</v>
      </c>
      <c r="G54" s="80">
        <v>14.6</v>
      </c>
      <c r="H54" s="80">
        <v>14.6</v>
      </c>
      <c r="I54" s="80">
        <v>14.6</v>
      </c>
      <c r="J54" s="80">
        <v>14.6</v>
      </c>
      <c r="K54" s="80">
        <v>14.6</v>
      </c>
      <c r="L54" s="80">
        <v>14.6</v>
      </c>
      <c r="M54" s="80">
        <v>14.6</v>
      </c>
      <c r="N54" s="80">
        <v>14.6</v>
      </c>
      <c r="O54" s="80">
        <v>14.6</v>
      </c>
      <c r="P54" s="80">
        <v>14.6</v>
      </c>
      <c r="Q54" s="80">
        <v>14.6</v>
      </c>
      <c r="R54" s="80">
        <v>14.6</v>
      </c>
      <c r="S54" s="80">
        <v>14.6</v>
      </c>
      <c r="T54" s="80">
        <v>14.6</v>
      </c>
      <c r="U54" s="80">
        <v>14.6</v>
      </c>
      <c r="V54" s="80">
        <v>14.6</v>
      </c>
      <c r="W54" s="80">
        <v>14.6</v>
      </c>
      <c r="X54" s="80">
        <v>14.6</v>
      </c>
      <c r="Y54" s="80">
        <v>14.6</v>
      </c>
      <c r="Z54" s="80">
        <v>14.6</v>
      </c>
      <c r="AA54" s="80">
        <v>14.6</v>
      </c>
      <c r="AB54" s="80">
        <v>14</v>
      </c>
      <c r="AC54" s="80">
        <v>14</v>
      </c>
      <c r="AD54" s="80">
        <v>14</v>
      </c>
      <c r="AE54" s="80">
        <v>14</v>
      </c>
      <c r="AF54" s="80">
        <v>14</v>
      </c>
      <c r="AG54" s="94">
        <v>14</v>
      </c>
      <c r="AH54" s="20">
        <f t="shared" si="2"/>
        <v>14.6</v>
      </c>
      <c r="AI54" s="19">
        <f t="shared" si="3"/>
        <v>14</v>
      </c>
      <c r="AK54" s="41"/>
    </row>
    <row r="55" spans="1:41" x14ac:dyDescent="0.25">
      <c r="A55" s="95" t="s">
        <v>180</v>
      </c>
      <c r="B55" s="80">
        <v>9</v>
      </c>
      <c r="C55" s="80">
        <v>9</v>
      </c>
      <c r="D55" s="80">
        <v>9</v>
      </c>
      <c r="E55" s="80">
        <v>9</v>
      </c>
      <c r="F55" s="80">
        <v>9</v>
      </c>
      <c r="G55" s="80">
        <v>9</v>
      </c>
      <c r="H55" s="80">
        <v>9</v>
      </c>
      <c r="I55" s="80">
        <v>9</v>
      </c>
      <c r="J55" s="80">
        <v>9</v>
      </c>
      <c r="K55" s="80">
        <v>9</v>
      </c>
      <c r="L55" s="80">
        <v>9</v>
      </c>
      <c r="M55" s="80">
        <v>9</v>
      </c>
      <c r="N55" s="80">
        <v>9</v>
      </c>
      <c r="O55" s="80">
        <v>9</v>
      </c>
      <c r="P55" s="80">
        <v>9</v>
      </c>
      <c r="Q55" s="80">
        <v>9</v>
      </c>
      <c r="R55" s="80">
        <v>9</v>
      </c>
      <c r="S55" s="80">
        <v>9</v>
      </c>
      <c r="T55" s="80">
        <v>9</v>
      </c>
      <c r="U55" s="80">
        <v>9</v>
      </c>
      <c r="V55" s="80">
        <v>9</v>
      </c>
      <c r="W55" s="80">
        <v>9</v>
      </c>
      <c r="X55" s="80">
        <v>9</v>
      </c>
      <c r="Y55" s="80">
        <v>9</v>
      </c>
      <c r="Z55" s="80">
        <v>9</v>
      </c>
      <c r="AA55" s="80">
        <v>9</v>
      </c>
      <c r="AB55" s="80">
        <v>9</v>
      </c>
      <c r="AC55" s="80">
        <v>9</v>
      </c>
      <c r="AD55" s="80">
        <v>9</v>
      </c>
      <c r="AE55" s="80">
        <v>9</v>
      </c>
      <c r="AF55" s="80">
        <v>9</v>
      </c>
      <c r="AG55" s="94">
        <v>10.050000000000001</v>
      </c>
      <c r="AH55" s="20">
        <f t="shared" si="2"/>
        <v>9</v>
      </c>
      <c r="AI55" s="19">
        <f t="shared" si="3"/>
        <v>9</v>
      </c>
      <c r="AK55" s="41"/>
    </row>
    <row r="56" spans="1:41" x14ac:dyDescent="0.25">
      <c r="A56" s="95" t="s">
        <v>179</v>
      </c>
      <c r="B56" s="80">
        <v>6.2</v>
      </c>
      <c r="C56" s="80">
        <v>6.2</v>
      </c>
      <c r="D56" s="80">
        <v>6.2</v>
      </c>
      <c r="E56" s="80">
        <v>6.2</v>
      </c>
      <c r="F56" s="80">
        <v>6.2</v>
      </c>
      <c r="G56" s="80">
        <v>6.2</v>
      </c>
      <c r="H56" s="80">
        <v>3.1</v>
      </c>
      <c r="I56" s="80">
        <v>3.1</v>
      </c>
      <c r="J56" s="80">
        <v>3.1</v>
      </c>
      <c r="K56" s="80">
        <v>6.2</v>
      </c>
      <c r="L56" s="80">
        <v>6.2</v>
      </c>
      <c r="M56" s="80">
        <v>6.2</v>
      </c>
      <c r="N56" s="80">
        <v>6.2</v>
      </c>
      <c r="O56" s="80">
        <v>6.2</v>
      </c>
      <c r="P56" s="80">
        <v>6.2</v>
      </c>
      <c r="Q56" s="80">
        <v>6.2</v>
      </c>
      <c r="R56" s="80">
        <v>6.2</v>
      </c>
      <c r="S56" s="80">
        <v>6.2</v>
      </c>
      <c r="T56" s="80">
        <v>6.2</v>
      </c>
      <c r="U56" s="80">
        <v>6.2</v>
      </c>
      <c r="V56" s="80">
        <v>6.2</v>
      </c>
      <c r="W56" s="80">
        <v>6.2</v>
      </c>
      <c r="X56" s="80">
        <v>6.2</v>
      </c>
      <c r="Y56" s="80">
        <v>6.2</v>
      </c>
      <c r="Z56" s="80">
        <v>6.2</v>
      </c>
      <c r="AA56" s="80">
        <v>6.2</v>
      </c>
      <c r="AB56" s="80">
        <v>6.2</v>
      </c>
      <c r="AC56" s="80">
        <v>6.2</v>
      </c>
      <c r="AD56" s="80">
        <v>6.2</v>
      </c>
      <c r="AE56" s="80">
        <v>6.2</v>
      </c>
      <c r="AF56" s="80">
        <v>0</v>
      </c>
      <c r="AG56" s="94">
        <v>6.2</v>
      </c>
      <c r="AH56" s="20">
        <f t="shared" si="2"/>
        <v>6.2</v>
      </c>
      <c r="AI56" s="19">
        <f t="shared" si="3"/>
        <v>0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6">SUM(B45:B57)</f>
        <v>397.24</v>
      </c>
      <c r="C58" s="86">
        <f t="shared" si="6"/>
        <v>397.24</v>
      </c>
      <c r="D58" s="86">
        <f t="shared" si="6"/>
        <v>352.84000000000003</v>
      </c>
      <c r="E58" s="86">
        <f t="shared" si="6"/>
        <v>355.14000000000004</v>
      </c>
      <c r="F58" s="86">
        <f t="shared" si="6"/>
        <v>330.24</v>
      </c>
      <c r="G58" s="86">
        <f t="shared" si="6"/>
        <v>351.84000000000009</v>
      </c>
      <c r="H58" s="86">
        <f t="shared" si="6"/>
        <v>386.54000000000008</v>
      </c>
      <c r="I58" s="86">
        <f t="shared" si="6"/>
        <v>317.1400000000001</v>
      </c>
      <c r="J58" s="86">
        <f t="shared" si="6"/>
        <v>346.94000000000011</v>
      </c>
      <c r="K58" s="86">
        <f t="shared" si="6"/>
        <v>375.04000000000008</v>
      </c>
      <c r="L58" s="86">
        <f t="shared" si="6"/>
        <v>405.74000000000007</v>
      </c>
      <c r="M58" s="86">
        <f t="shared" si="6"/>
        <v>413.04000000000008</v>
      </c>
      <c r="N58" s="86">
        <f t="shared" si="6"/>
        <v>425.14000000000004</v>
      </c>
      <c r="O58" s="86">
        <f t="shared" si="6"/>
        <v>429.44000000000005</v>
      </c>
      <c r="P58" s="86">
        <f t="shared" si="6"/>
        <v>429.34000000000003</v>
      </c>
      <c r="Q58" s="86">
        <f t="shared" si="6"/>
        <v>429.34000000000003</v>
      </c>
      <c r="R58" s="86">
        <f t="shared" si="6"/>
        <v>378.44000000000005</v>
      </c>
      <c r="S58" s="86">
        <f t="shared" si="6"/>
        <v>417.6400000000001</v>
      </c>
      <c r="T58" s="86">
        <f t="shared" si="6"/>
        <v>418.64000000000004</v>
      </c>
      <c r="U58" s="86">
        <f t="shared" si="6"/>
        <v>418.64000000000004</v>
      </c>
      <c r="V58" s="86">
        <f t="shared" si="6"/>
        <v>418.04000000000008</v>
      </c>
      <c r="W58" s="86">
        <f t="shared" si="6"/>
        <v>418.64000000000004</v>
      </c>
      <c r="X58" s="86">
        <f t="shared" si="6"/>
        <v>418.54000000000008</v>
      </c>
      <c r="Y58" s="86">
        <f t="shared" si="6"/>
        <v>418.54000000000008</v>
      </c>
      <c r="Z58" s="86">
        <f t="shared" si="6"/>
        <v>417.74000000000007</v>
      </c>
      <c r="AA58" s="86">
        <f t="shared" si="6"/>
        <v>418.64000000000004</v>
      </c>
      <c r="AB58" s="86">
        <f t="shared" si="6"/>
        <v>410.94</v>
      </c>
      <c r="AC58" s="86">
        <f t="shared" si="6"/>
        <v>410.94</v>
      </c>
      <c r="AD58" s="86">
        <f t="shared" si="6"/>
        <v>395.64</v>
      </c>
      <c r="AE58" s="86">
        <f t="shared" si="6"/>
        <v>401.34</v>
      </c>
      <c r="AF58" s="86">
        <f t="shared" si="6"/>
        <v>388.34</v>
      </c>
      <c r="AG58" s="101">
        <f t="shared" si="6"/>
        <v>489.91</v>
      </c>
      <c r="AH58" s="20">
        <f t="shared" si="2"/>
        <v>429.44000000000005</v>
      </c>
      <c r="AI58" s="19">
        <f t="shared" si="3"/>
        <v>317.1400000000001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>
        <v>0</v>
      </c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>
        <v>0</v>
      </c>
      <c r="Z59" s="105">
        <v>10.9</v>
      </c>
      <c r="AA59" s="105">
        <v>0</v>
      </c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10.9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5.2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5.2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07">
        <v>0</v>
      </c>
      <c r="Y61" s="107">
        <v>0</v>
      </c>
      <c r="Z61" s="107">
        <v>1.9</v>
      </c>
      <c r="AA61" s="107">
        <v>0</v>
      </c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1.9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7">SUM(B59:B61)</f>
        <v>0</v>
      </c>
      <c r="C62" s="86">
        <f t="shared" si="7"/>
        <v>0</v>
      </c>
      <c r="D62" s="86">
        <f t="shared" si="7"/>
        <v>0</v>
      </c>
      <c r="E62" s="86">
        <f t="shared" si="7"/>
        <v>0</v>
      </c>
      <c r="F62" s="86">
        <f t="shared" si="7"/>
        <v>0</v>
      </c>
      <c r="G62" s="86">
        <f t="shared" si="7"/>
        <v>0</v>
      </c>
      <c r="H62" s="86">
        <f t="shared" si="7"/>
        <v>0</v>
      </c>
      <c r="I62" s="86">
        <f t="shared" si="7"/>
        <v>0</v>
      </c>
      <c r="J62" s="86">
        <f t="shared" si="7"/>
        <v>0</v>
      </c>
      <c r="K62" s="86">
        <f t="shared" si="7"/>
        <v>0</v>
      </c>
      <c r="L62" s="86">
        <f t="shared" si="7"/>
        <v>0</v>
      </c>
      <c r="M62" s="86">
        <f t="shared" si="7"/>
        <v>0</v>
      </c>
      <c r="N62" s="86">
        <f t="shared" si="7"/>
        <v>0</v>
      </c>
      <c r="O62" s="86">
        <f t="shared" si="7"/>
        <v>0</v>
      </c>
      <c r="P62" s="86">
        <f t="shared" si="7"/>
        <v>0</v>
      </c>
      <c r="Q62" s="86">
        <f t="shared" si="7"/>
        <v>0</v>
      </c>
      <c r="R62" s="86">
        <f t="shared" si="7"/>
        <v>0</v>
      </c>
      <c r="S62" s="86">
        <f t="shared" si="7"/>
        <v>0</v>
      </c>
      <c r="T62" s="86">
        <f t="shared" si="7"/>
        <v>0</v>
      </c>
      <c r="U62" s="86">
        <f t="shared" si="7"/>
        <v>0</v>
      </c>
      <c r="V62" s="86">
        <f t="shared" si="7"/>
        <v>0</v>
      </c>
      <c r="W62" s="86">
        <f t="shared" si="7"/>
        <v>0</v>
      </c>
      <c r="X62" s="86">
        <f t="shared" si="7"/>
        <v>0</v>
      </c>
      <c r="Y62" s="86">
        <f t="shared" si="7"/>
        <v>0</v>
      </c>
      <c r="Z62" s="86">
        <f t="shared" si="7"/>
        <v>18</v>
      </c>
      <c r="AA62" s="86">
        <f t="shared" si="7"/>
        <v>0</v>
      </c>
      <c r="AB62" s="86">
        <f t="shared" si="7"/>
        <v>0</v>
      </c>
      <c r="AC62" s="86">
        <f t="shared" si="7"/>
        <v>0</v>
      </c>
      <c r="AD62" s="86">
        <f t="shared" si="7"/>
        <v>0</v>
      </c>
      <c r="AE62" s="86">
        <f t="shared" si="7"/>
        <v>0</v>
      </c>
      <c r="AF62" s="86">
        <f t="shared" si="7"/>
        <v>0</v>
      </c>
      <c r="AG62" s="101">
        <f t="shared" si="7"/>
        <v>106</v>
      </c>
      <c r="AH62" s="20">
        <f t="shared" si="2"/>
        <v>18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>
        <v>0</v>
      </c>
      <c r="S63" s="105">
        <v>0</v>
      </c>
      <c r="T63" s="105">
        <v>0</v>
      </c>
      <c r="U63" s="105">
        <v>0</v>
      </c>
      <c r="V63" s="105">
        <v>0</v>
      </c>
      <c r="W63" s="105">
        <v>0</v>
      </c>
      <c r="X63" s="105">
        <v>0</v>
      </c>
      <c r="Y63" s="105">
        <v>0</v>
      </c>
      <c r="Z63" s="105">
        <v>26.4</v>
      </c>
      <c r="AA63" s="105">
        <v>27.8</v>
      </c>
      <c r="AB63" s="105">
        <v>21.7</v>
      </c>
      <c r="AC63" s="105">
        <v>16.899999999999999</v>
      </c>
      <c r="AD63" s="105">
        <v>13</v>
      </c>
      <c r="AE63" s="105">
        <v>0</v>
      </c>
      <c r="AF63" s="105">
        <v>0</v>
      </c>
      <c r="AG63" s="96"/>
      <c r="AH63" s="20">
        <f t="shared" si="2"/>
        <v>27.8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-377</v>
      </c>
      <c r="C65" s="80">
        <v>-369</v>
      </c>
      <c r="D65" s="80">
        <v>-348</v>
      </c>
      <c r="E65" s="80">
        <v>-378</v>
      </c>
      <c r="F65" s="80">
        <v>-379.8</v>
      </c>
      <c r="G65" s="80">
        <v>-418.8</v>
      </c>
      <c r="H65" s="80">
        <v>-425.6</v>
      </c>
      <c r="I65" s="80">
        <v>-386.1</v>
      </c>
      <c r="J65" s="80">
        <v>-407</v>
      </c>
      <c r="K65" s="80">
        <v>-385</v>
      </c>
      <c r="L65" s="80">
        <v>-393</v>
      </c>
      <c r="M65" s="80">
        <v>-425</v>
      </c>
      <c r="N65" s="80">
        <v>-365.4</v>
      </c>
      <c r="O65" s="80">
        <v>-388.8</v>
      </c>
      <c r="P65" s="80">
        <v>-384.6</v>
      </c>
      <c r="Q65" s="80">
        <v>-364.5</v>
      </c>
      <c r="R65" s="80">
        <v>-400.8</v>
      </c>
      <c r="S65" s="80">
        <v>-405</v>
      </c>
      <c r="T65" s="80">
        <v>-425</v>
      </c>
      <c r="U65" s="80">
        <v>-418.7</v>
      </c>
      <c r="V65" s="80">
        <v>-400</v>
      </c>
      <c r="W65" s="80">
        <v>-401.5</v>
      </c>
      <c r="X65" s="80">
        <v>-363</v>
      </c>
      <c r="Y65" s="80">
        <v>-202</v>
      </c>
      <c r="Z65" s="80">
        <v>-224.1</v>
      </c>
      <c r="AA65" s="80">
        <v>-288.39999999999998</v>
      </c>
      <c r="AB65" s="80">
        <v>-276</v>
      </c>
      <c r="AC65" s="80">
        <v>-319</v>
      </c>
      <c r="AD65" s="80">
        <v>-352.6</v>
      </c>
      <c r="AE65" s="80">
        <v>-405</v>
      </c>
      <c r="AF65" s="80">
        <v>-406</v>
      </c>
      <c r="AG65" s="102"/>
      <c r="AH65" s="20">
        <f t="shared" si="2"/>
        <v>-202</v>
      </c>
      <c r="AI65" s="19">
        <f t="shared" si="3"/>
        <v>-425.6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4.5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>
        <v>0</v>
      </c>
      <c r="AG68" s="102"/>
      <c r="AH68" s="20">
        <f t="shared" si="2"/>
        <v>4.5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8">SUMIF(B63:B73,"&gt;0")</f>
        <v>4.5</v>
      </c>
      <c r="C74" s="86">
        <f t="shared" si="8"/>
        <v>0</v>
      </c>
      <c r="D74" s="86">
        <f t="shared" si="8"/>
        <v>0</v>
      </c>
      <c r="E74" s="86">
        <f t="shared" si="8"/>
        <v>0</v>
      </c>
      <c r="F74" s="86">
        <f t="shared" si="8"/>
        <v>0</v>
      </c>
      <c r="G74" s="86">
        <f t="shared" si="8"/>
        <v>0</v>
      </c>
      <c r="H74" s="86">
        <f t="shared" si="8"/>
        <v>0</v>
      </c>
      <c r="I74" s="86">
        <f t="shared" si="8"/>
        <v>0</v>
      </c>
      <c r="J74" s="86">
        <f t="shared" si="8"/>
        <v>0</v>
      </c>
      <c r="K74" s="86">
        <f>SUMIF(K63:K73,"&gt;0")</f>
        <v>0</v>
      </c>
      <c r="L74" s="86">
        <f t="shared" si="8"/>
        <v>0</v>
      </c>
      <c r="M74" s="86">
        <f t="shared" si="8"/>
        <v>0</v>
      </c>
      <c r="N74" s="86">
        <f t="shared" si="8"/>
        <v>0</v>
      </c>
      <c r="O74" s="86">
        <f t="shared" si="8"/>
        <v>0</v>
      </c>
      <c r="P74" s="86">
        <f t="shared" si="8"/>
        <v>0</v>
      </c>
      <c r="Q74" s="86">
        <f t="shared" si="8"/>
        <v>0</v>
      </c>
      <c r="R74" s="86">
        <f t="shared" si="8"/>
        <v>0</v>
      </c>
      <c r="S74" s="86">
        <f t="shared" si="8"/>
        <v>0</v>
      </c>
      <c r="T74" s="86">
        <f t="shared" si="8"/>
        <v>0</v>
      </c>
      <c r="U74" s="86">
        <f t="shared" si="8"/>
        <v>0</v>
      </c>
      <c r="V74" s="86">
        <f t="shared" si="8"/>
        <v>0</v>
      </c>
      <c r="W74" s="86">
        <f t="shared" si="8"/>
        <v>0</v>
      </c>
      <c r="X74" s="86">
        <f t="shared" si="8"/>
        <v>0</v>
      </c>
      <c r="Y74" s="86">
        <f t="shared" si="8"/>
        <v>0</v>
      </c>
      <c r="Z74" s="86">
        <f t="shared" si="8"/>
        <v>26.4</v>
      </c>
      <c r="AA74" s="86">
        <f t="shared" si="8"/>
        <v>27.8</v>
      </c>
      <c r="AB74" s="86">
        <f t="shared" si="8"/>
        <v>21.7</v>
      </c>
      <c r="AC74" s="86">
        <f t="shared" si="8"/>
        <v>16.899999999999999</v>
      </c>
      <c r="AD74" s="86">
        <f t="shared" si="8"/>
        <v>13</v>
      </c>
      <c r="AE74" s="86">
        <f t="shared" si="8"/>
        <v>0</v>
      </c>
      <c r="AF74" s="86">
        <f t="shared" si="8"/>
        <v>0</v>
      </c>
      <c r="AG74" s="85">
        <f>SUM(AG63:AG73)</f>
        <v>0</v>
      </c>
      <c r="AH74" s="20">
        <f t="shared" si="2"/>
        <v>27.8</v>
      </c>
      <c r="AI74" s="19">
        <f t="shared" si="3"/>
        <v>0</v>
      </c>
      <c r="AK74" s="41"/>
    </row>
    <row r="75" spans="1:37" x14ac:dyDescent="0.25">
      <c r="A75" s="97" t="s">
        <v>164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2">
        <v>14.4</v>
      </c>
      <c r="AH76" s="20">
        <f t="shared" si="2"/>
        <v>0</v>
      </c>
      <c r="AI76" s="19">
        <f t="shared" si="3"/>
        <v>0</v>
      </c>
      <c r="AK76" s="41"/>
    </row>
    <row r="77" spans="1:37" ht="15.75" thickBot="1" x14ac:dyDescent="0.3">
      <c r="A77" s="91" t="s">
        <v>162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89">
        <v>2</v>
      </c>
      <c r="AH77" s="20">
        <f t="shared" ref="AH77:AH99" si="9">MAX(B77:AF77)</f>
        <v>0</v>
      </c>
      <c r="AI77" s="19">
        <f>MIN(B77:AF77)</f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9"/>
        <v>0</v>
      </c>
      <c r="AI78" s="19">
        <f>MIN(B78:AF78)</f>
        <v>0</v>
      </c>
    </row>
    <row r="79" spans="1:37" ht="15.75" thickBot="1" x14ac:dyDescent="0.3">
      <c r="A79" s="87" t="s">
        <v>160</v>
      </c>
      <c r="B79" s="98">
        <f t="shared" ref="B79:AG79" si="10">B40+B44+B62+B58+B74+B78</f>
        <v>1714.64</v>
      </c>
      <c r="C79" s="98">
        <f t="shared" si="10"/>
        <v>1710.14</v>
      </c>
      <c r="D79" s="98">
        <f t="shared" si="10"/>
        <v>1643.7400000000002</v>
      </c>
      <c r="E79" s="98">
        <f t="shared" si="10"/>
        <v>1642.0400000000002</v>
      </c>
      <c r="F79" s="98">
        <f t="shared" si="10"/>
        <v>1615.14</v>
      </c>
      <c r="G79" s="98">
        <f t="shared" si="10"/>
        <v>1658.7400000000002</v>
      </c>
      <c r="H79" s="98">
        <f t="shared" si="10"/>
        <v>1680.44</v>
      </c>
      <c r="I79" s="98">
        <f t="shared" si="10"/>
        <v>1611.0400000000002</v>
      </c>
      <c r="J79" s="98">
        <f t="shared" si="10"/>
        <v>1640.8400000000001</v>
      </c>
      <c r="K79" s="98">
        <f t="shared" si="10"/>
        <v>1668.94</v>
      </c>
      <c r="L79" s="98">
        <f t="shared" si="10"/>
        <v>1699.64</v>
      </c>
      <c r="M79" s="98">
        <f t="shared" si="10"/>
        <v>1754.94</v>
      </c>
      <c r="N79" s="98">
        <f t="shared" si="10"/>
        <v>1729.14</v>
      </c>
      <c r="O79" s="98">
        <f t="shared" si="10"/>
        <v>1743.44</v>
      </c>
      <c r="P79" s="98">
        <f t="shared" si="10"/>
        <v>1736.3400000000001</v>
      </c>
      <c r="Q79" s="98">
        <f t="shared" si="10"/>
        <v>1736.54</v>
      </c>
      <c r="R79" s="98">
        <f t="shared" si="10"/>
        <v>1716.8400000000001</v>
      </c>
      <c r="S79" s="98">
        <f t="shared" si="10"/>
        <v>1756.0400000000002</v>
      </c>
      <c r="T79" s="98">
        <f t="shared" si="10"/>
        <v>1757.0400000000002</v>
      </c>
      <c r="U79" s="98">
        <f t="shared" si="10"/>
        <v>1757.0400000000002</v>
      </c>
      <c r="V79" s="98">
        <f t="shared" si="10"/>
        <v>1756.44</v>
      </c>
      <c r="W79" s="98">
        <f t="shared" si="10"/>
        <v>1744.24</v>
      </c>
      <c r="X79" s="98">
        <f t="shared" si="10"/>
        <v>1754.1399999999999</v>
      </c>
      <c r="Y79" s="98">
        <f t="shared" si="10"/>
        <v>1754.1399999999999</v>
      </c>
      <c r="Z79" s="98">
        <f t="shared" si="10"/>
        <v>1803.5400000000002</v>
      </c>
      <c r="AA79" s="98">
        <f t="shared" si="10"/>
        <v>1780.04</v>
      </c>
      <c r="AB79" s="98">
        <f t="shared" si="10"/>
        <v>1766.24</v>
      </c>
      <c r="AC79" s="98">
        <f t="shared" si="10"/>
        <v>1761.44</v>
      </c>
      <c r="AD79" s="98">
        <f t="shared" si="10"/>
        <v>1737.2399999999998</v>
      </c>
      <c r="AE79" s="98">
        <f t="shared" si="10"/>
        <v>1716.9399999999998</v>
      </c>
      <c r="AF79" s="98">
        <f t="shared" si="10"/>
        <v>1698.9399999999998</v>
      </c>
      <c r="AG79" s="101">
        <f t="shared" si="10"/>
        <v>1897.1900000000003</v>
      </c>
      <c r="AH79" s="20">
        <f t="shared" si="9"/>
        <v>1803.5400000000002</v>
      </c>
      <c r="AI79" s="19">
        <f>MIN(B79:AF79)</f>
        <v>1611.0400000000002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9"/>
        <v>0</v>
      </c>
      <c r="AI80" s="19">
        <f>MIN(B80:AF80)</f>
        <v>0</v>
      </c>
    </row>
    <row r="81" spans="1:37" ht="15.75" thickBot="1" x14ac:dyDescent="0.3">
      <c r="A81" s="87" t="s">
        <v>158</v>
      </c>
      <c r="B81" s="98">
        <f t="shared" ref="B81:AF81" si="11">B79+B80</f>
        <v>1714.64</v>
      </c>
      <c r="C81" s="98">
        <f t="shared" si="11"/>
        <v>1710.14</v>
      </c>
      <c r="D81" s="98">
        <f t="shared" si="11"/>
        <v>1643.7400000000002</v>
      </c>
      <c r="E81" s="98">
        <f t="shared" si="11"/>
        <v>1642.0400000000002</v>
      </c>
      <c r="F81" s="98">
        <f t="shared" si="11"/>
        <v>1615.14</v>
      </c>
      <c r="G81" s="98">
        <f t="shared" si="11"/>
        <v>1658.7400000000002</v>
      </c>
      <c r="H81" s="98">
        <f t="shared" si="11"/>
        <v>1680.44</v>
      </c>
      <c r="I81" s="98">
        <f t="shared" si="11"/>
        <v>1611.0400000000002</v>
      </c>
      <c r="J81" s="98">
        <f t="shared" si="11"/>
        <v>1640.8400000000001</v>
      </c>
      <c r="K81" s="98">
        <f t="shared" si="11"/>
        <v>1668.94</v>
      </c>
      <c r="L81" s="98">
        <f t="shared" si="11"/>
        <v>1699.64</v>
      </c>
      <c r="M81" s="98">
        <f t="shared" si="11"/>
        <v>1754.94</v>
      </c>
      <c r="N81" s="98">
        <f t="shared" si="11"/>
        <v>1729.14</v>
      </c>
      <c r="O81" s="98">
        <f t="shared" si="11"/>
        <v>1743.44</v>
      </c>
      <c r="P81" s="98">
        <f t="shared" si="11"/>
        <v>1736.3400000000001</v>
      </c>
      <c r="Q81" s="98">
        <f t="shared" si="11"/>
        <v>1736.54</v>
      </c>
      <c r="R81" s="98">
        <f t="shared" si="11"/>
        <v>1716.8400000000001</v>
      </c>
      <c r="S81" s="98">
        <f t="shared" si="11"/>
        <v>1756.0400000000002</v>
      </c>
      <c r="T81" s="98">
        <f t="shared" si="11"/>
        <v>1757.0400000000002</v>
      </c>
      <c r="U81" s="98">
        <f t="shared" si="11"/>
        <v>1757.0400000000002</v>
      </c>
      <c r="V81" s="98">
        <f t="shared" si="11"/>
        <v>1756.44</v>
      </c>
      <c r="W81" s="98">
        <f t="shared" si="11"/>
        <v>1744.24</v>
      </c>
      <c r="X81" s="98">
        <f t="shared" si="11"/>
        <v>1754.1399999999999</v>
      </c>
      <c r="Y81" s="98">
        <f t="shared" si="11"/>
        <v>1754.1399999999999</v>
      </c>
      <c r="Z81" s="98">
        <f t="shared" si="11"/>
        <v>1803.5400000000002</v>
      </c>
      <c r="AA81" s="98">
        <f t="shared" si="11"/>
        <v>1780.04</v>
      </c>
      <c r="AB81" s="98">
        <f t="shared" si="11"/>
        <v>1766.24</v>
      </c>
      <c r="AC81" s="98">
        <f t="shared" si="11"/>
        <v>1761.44</v>
      </c>
      <c r="AD81" s="98">
        <f t="shared" si="11"/>
        <v>1737.2399999999998</v>
      </c>
      <c r="AE81" s="98">
        <f t="shared" si="11"/>
        <v>1716.9399999999998</v>
      </c>
      <c r="AF81" s="98">
        <f t="shared" si="11"/>
        <v>1698.9399999999998</v>
      </c>
      <c r="AG81" s="85">
        <f>AG78+AG74+AG62+AG58+AG40+AG80</f>
        <v>1359.0900000000001</v>
      </c>
      <c r="AH81" s="20">
        <f t="shared" si="9"/>
        <v>1803.5400000000002</v>
      </c>
      <c r="AI81" s="19">
        <f>MIN(B81:AF81)</f>
        <v>1611.0400000000002</v>
      </c>
    </row>
    <row r="82" spans="1:37" ht="15.75" thickBot="1" x14ac:dyDescent="0.3">
      <c r="A82" s="87" t="s">
        <v>157</v>
      </c>
      <c r="B82" s="98">
        <f t="shared" ref="B82:AF82" si="12">B81-B89</f>
        <v>1337.64</v>
      </c>
      <c r="C82" s="98">
        <f t="shared" si="12"/>
        <v>1341.14</v>
      </c>
      <c r="D82" s="98">
        <f t="shared" si="12"/>
        <v>1295.7400000000002</v>
      </c>
      <c r="E82" s="98">
        <f t="shared" si="12"/>
        <v>1264.0400000000002</v>
      </c>
      <c r="F82" s="98">
        <f t="shared" si="12"/>
        <v>1235.3400000000001</v>
      </c>
      <c r="G82" s="98">
        <f t="shared" si="12"/>
        <v>1239.9400000000003</v>
      </c>
      <c r="H82" s="98">
        <f t="shared" si="12"/>
        <v>1254.8400000000001</v>
      </c>
      <c r="I82" s="98">
        <f t="shared" si="12"/>
        <v>1224.94</v>
      </c>
      <c r="J82" s="98">
        <f t="shared" si="12"/>
        <v>1233.8400000000001</v>
      </c>
      <c r="K82" s="98">
        <f t="shared" si="12"/>
        <v>1283.94</v>
      </c>
      <c r="L82" s="98">
        <f t="shared" si="12"/>
        <v>1306.6400000000001</v>
      </c>
      <c r="M82" s="98">
        <f t="shared" si="12"/>
        <v>1329.94</v>
      </c>
      <c r="N82" s="98">
        <f t="shared" si="12"/>
        <v>1363.7400000000002</v>
      </c>
      <c r="O82" s="98">
        <f t="shared" si="12"/>
        <v>1354.64</v>
      </c>
      <c r="P82" s="98">
        <f t="shared" si="12"/>
        <v>1351.7400000000002</v>
      </c>
      <c r="Q82" s="98">
        <f t="shared" si="12"/>
        <v>1372.04</v>
      </c>
      <c r="R82" s="98">
        <f t="shared" si="12"/>
        <v>1316.0400000000002</v>
      </c>
      <c r="S82" s="98">
        <f t="shared" si="12"/>
        <v>1351.0400000000002</v>
      </c>
      <c r="T82" s="98">
        <f t="shared" si="12"/>
        <v>1332.0400000000002</v>
      </c>
      <c r="U82" s="98">
        <f t="shared" si="12"/>
        <v>1338.3400000000001</v>
      </c>
      <c r="V82" s="98">
        <f t="shared" si="12"/>
        <v>1356.44</v>
      </c>
      <c r="W82" s="98">
        <f t="shared" si="12"/>
        <v>1342.74</v>
      </c>
      <c r="X82" s="98">
        <f t="shared" si="12"/>
        <v>1391.1399999999999</v>
      </c>
      <c r="Y82" s="98">
        <f t="shared" si="12"/>
        <v>1552.1399999999999</v>
      </c>
      <c r="Z82" s="98">
        <f t="shared" si="12"/>
        <v>1579.4400000000003</v>
      </c>
      <c r="AA82" s="98">
        <f t="shared" si="12"/>
        <v>1491.6399999999999</v>
      </c>
      <c r="AB82" s="98">
        <f t="shared" si="12"/>
        <v>1490.24</v>
      </c>
      <c r="AC82" s="98">
        <f t="shared" si="12"/>
        <v>1442.44</v>
      </c>
      <c r="AD82" s="98">
        <f t="shared" si="12"/>
        <v>1384.6399999999999</v>
      </c>
      <c r="AE82" s="98">
        <f t="shared" si="12"/>
        <v>1311.9399999999998</v>
      </c>
      <c r="AF82" s="98">
        <f t="shared" si="12"/>
        <v>1292.9399999999998</v>
      </c>
      <c r="AG82" s="85"/>
      <c r="AH82" s="20">
        <f t="shared" si="9"/>
        <v>1579.4400000000003</v>
      </c>
      <c r="AI82" s="19"/>
    </row>
    <row r="83" spans="1:37" x14ac:dyDescent="0.25">
      <c r="A83" s="97" t="s">
        <v>156</v>
      </c>
      <c r="B83" s="93">
        <f t="shared" ref="B83:AF83" si="13">IF(B66&lt;0,B66*-1,0)</f>
        <v>0</v>
      </c>
      <c r="C83" s="93">
        <f t="shared" si="13"/>
        <v>0</v>
      </c>
      <c r="D83" s="93">
        <f t="shared" si="13"/>
        <v>0</v>
      </c>
      <c r="E83" s="93">
        <f t="shared" si="13"/>
        <v>0</v>
      </c>
      <c r="F83" s="93">
        <f t="shared" si="13"/>
        <v>0</v>
      </c>
      <c r="G83" s="93">
        <f t="shared" si="13"/>
        <v>0</v>
      </c>
      <c r="H83" s="93">
        <f t="shared" si="13"/>
        <v>0</v>
      </c>
      <c r="I83" s="93">
        <f t="shared" si="13"/>
        <v>0</v>
      </c>
      <c r="J83" s="93">
        <f>IF(J66&lt;0,J66*-1,0)</f>
        <v>0</v>
      </c>
      <c r="K83" s="93">
        <f>IF(K66&lt;0,K66*-1,0)</f>
        <v>0</v>
      </c>
      <c r="L83" s="93">
        <f t="shared" si="13"/>
        <v>0</v>
      </c>
      <c r="M83" s="93">
        <f t="shared" si="13"/>
        <v>0</v>
      </c>
      <c r="N83" s="93">
        <f t="shared" si="13"/>
        <v>0</v>
      </c>
      <c r="O83" s="93">
        <f t="shared" si="13"/>
        <v>0</v>
      </c>
      <c r="P83" s="93">
        <f t="shared" si="13"/>
        <v>0</v>
      </c>
      <c r="Q83" s="93">
        <f t="shared" si="13"/>
        <v>0</v>
      </c>
      <c r="R83" s="93">
        <f t="shared" si="13"/>
        <v>0</v>
      </c>
      <c r="S83" s="93">
        <f t="shared" si="13"/>
        <v>0</v>
      </c>
      <c r="T83" s="93">
        <f t="shared" si="13"/>
        <v>0</v>
      </c>
      <c r="U83" s="93">
        <f t="shared" si="13"/>
        <v>0</v>
      </c>
      <c r="V83" s="93">
        <f t="shared" si="13"/>
        <v>0</v>
      </c>
      <c r="W83" s="93">
        <f t="shared" si="13"/>
        <v>0</v>
      </c>
      <c r="X83" s="93">
        <f t="shared" si="13"/>
        <v>0</v>
      </c>
      <c r="Y83" s="93">
        <f t="shared" si="13"/>
        <v>0</v>
      </c>
      <c r="Z83" s="93">
        <f t="shared" si="13"/>
        <v>0</v>
      </c>
      <c r="AA83" s="93">
        <f t="shared" si="13"/>
        <v>0</v>
      </c>
      <c r="AB83" s="93">
        <f t="shared" si="13"/>
        <v>0</v>
      </c>
      <c r="AC83" s="93">
        <f t="shared" si="13"/>
        <v>0</v>
      </c>
      <c r="AD83" s="93">
        <f t="shared" si="13"/>
        <v>0</v>
      </c>
      <c r="AE83" s="93">
        <f t="shared" si="13"/>
        <v>0</v>
      </c>
      <c r="AF83" s="93">
        <f t="shared" si="13"/>
        <v>0</v>
      </c>
      <c r="AG83" s="96"/>
      <c r="AH83" s="20">
        <f t="shared" si="9"/>
        <v>0</v>
      </c>
      <c r="AI83" s="19">
        <f t="shared" ref="AI83:AI99" si="14">MIN(B83:AF83)</f>
        <v>0</v>
      </c>
    </row>
    <row r="84" spans="1:37" x14ac:dyDescent="0.25">
      <c r="A84" s="95" t="s">
        <v>155</v>
      </c>
      <c r="B84" s="93">
        <f t="shared" ref="B84:AF84" si="15">IF(B64&lt;0,B64*-1,0)</f>
        <v>0</v>
      </c>
      <c r="C84" s="93">
        <f t="shared" si="15"/>
        <v>0</v>
      </c>
      <c r="D84" s="93">
        <f t="shared" si="15"/>
        <v>0</v>
      </c>
      <c r="E84" s="93">
        <f t="shared" si="15"/>
        <v>0</v>
      </c>
      <c r="F84" s="93">
        <f t="shared" si="15"/>
        <v>0</v>
      </c>
      <c r="G84" s="93">
        <f t="shared" si="15"/>
        <v>0</v>
      </c>
      <c r="H84" s="93">
        <f t="shared" si="15"/>
        <v>0</v>
      </c>
      <c r="I84" s="93">
        <f t="shared" si="15"/>
        <v>0</v>
      </c>
      <c r="J84" s="93">
        <f t="shared" si="15"/>
        <v>0</v>
      </c>
      <c r="K84" s="93">
        <f t="shared" si="15"/>
        <v>0</v>
      </c>
      <c r="L84" s="93">
        <f t="shared" si="15"/>
        <v>0</v>
      </c>
      <c r="M84" s="93">
        <f t="shared" si="15"/>
        <v>0</v>
      </c>
      <c r="N84" s="93">
        <f t="shared" si="15"/>
        <v>0</v>
      </c>
      <c r="O84" s="93">
        <f t="shared" si="15"/>
        <v>0</v>
      </c>
      <c r="P84" s="93">
        <f t="shared" si="15"/>
        <v>0</v>
      </c>
      <c r="Q84" s="93">
        <f t="shared" si="15"/>
        <v>0</v>
      </c>
      <c r="R84" s="93">
        <f t="shared" si="15"/>
        <v>0</v>
      </c>
      <c r="S84" s="93">
        <f t="shared" si="15"/>
        <v>0</v>
      </c>
      <c r="T84" s="93">
        <f t="shared" si="15"/>
        <v>0</v>
      </c>
      <c r="U84" s="93">
        <f t="shared" si="15"/>
        <v>0</v>
      </c>
      <c r="V84" s="93">
        <f t="shared" si="15"/>
        <v>0</v>
      </c>
      <c r="W84" s="93">
        <f t="shared" si="15"/>
        <v>0</v>
      </c>
      <c r="X84" s="93">
        <f t="shared" si="15"/>
        <v>0</v>
      </c>
      <c r="Y84" s="93">
        <f t="shared" si="15"/>
        <v>0</v>
      </c>
      <c r="Z84" s="93">
        <f t="shared" si="15"/>
        <v>0</v>
      </c>
      <c r="AA84" s="93">
        <f t="shared" si="15"/>
        <v>0</v>
      </c>
      <c r="AB84" s="93">
        <f t="shared" si="15"/>
        <v>0</v>
      </c>
      <c r="AC84" s="93">
        <f t="shared" si="15"/>
        <v>0</v>
      </c>
      <c r="AD84" s="93">
        <f t="shared" si="15"/>
        <v>0</v>
      </c>
      <c r="AE84" s="93">
        <f t="shared" si="15"/>
        <v>0</v>
      </c>
      <c r="AF84" s="93">
        <f t="shared" si="15"/>
        <v>0</v>
      </c>
      <c r="AG84" s="94"/>
      <c r="AH84" s="20">
        <f t="shared" si="9"/>
        <v>0</v>
      </c>
      <c r="AI84" s="19">
        <f t="shared" si="14"/>
        <v>0</v>
      </c>
    </row>
    <row r="85" spans="1:37" x14ac:dyDescent="0.25">
      <c r="A85" s="91" t="s">
        <v>154</v>
      </c>
      <c r="B85" s="93">
        <f t="shared" ref="B85:AF85" si="16">IF(B67&lt;0,B67*-1,0)</f>
        <v>0</v>
      </c>
      <c r="C85" s="93">
        <f t="shared" si="16"/>
        <v>0</v>
      </c>
      <c r="D85" s="93">
        <f t="shared" si="16"/>
        <v>0</v>
      </c>
      <c r="E85" s="93">
        <f t="shared" si="16"/>
        <v>0</v>
      </c>
      <c r="F85" s="93">
        <f t="shared" si="16"/>
        <v>0</v>
      </c>
      <c r="G85" s="93">
        <f t="shared" si="16"/>
        <v>0</v>
      </c>
      <c r="H85" s="93">
        <f t="shared" si="16"/>
        <v>0</v>
      </c>
      <c r="I85" s="93">
        <f t="shared" si="16"/>
        <v>0</v>
      </c>
      <c r="J85" s="93">
        <f>IF(J67&lt;0,J67*-1,0)</f>
        <v>0</v>
      </c>
      <c r="K85" s="93">
        <f>IF(K67&lt;0,K67*-1,0)</f>
        <v>0</v>
      </c>
      <c r="L85" s="93">
        <f t="shared" si="16"/>
        <v>0</v>
      </c>
      <c r="M85" s="93">
        <f t="shared" si="16"/>
        <v>0</v>
      </c>
      <c r="N85" s="93">
        <f t="shared" si="16"/>
        <v>0</v>
      </c>
      <c r="O85" s="93">
        <f t="shared" si="16"/>
        <v>0</v>
      </c>
      <c r="P85" s="93">
        <f t="shared" si="16"/>
        <v>0</v>
      </c>
      <c r="Q85" s="93">
        <f t="shared" si="16"/>
        <v>0</v>
      </c>
      <c r="R85" s="93">
        <f t="shared" si="16"/>
        <v>0</v>
      </c>
      <c r="S85" s="93">
        <f t="shared" si="16"/>
        <v>0</v>
      </c>
      <c r="T85" s="93">
        <f t="shared" si="16"/>
        <v>0</v>
      </c>
      <c r="U85" s="93">
        <f t="shared" si="16"/>
        <v>0</v>
      </c>
      <c r="V85" s="93">
        <f t="shared" si="16"/>
        <v>0</v>
      </c>
      <c r="W85" s="93">
        <f t="shared" si="16"/>
        <v>0</v>
      </c>
      <c r="X85" s="93">
        <f t="shared" si="16"/>
        <v>0</v>
      </c>
      <c r="Y85" s="93">
        <f t="shared" si="16"/>
        <v>0</v>
      </c>
      <c r="Z85" s="93">
        <f t="shared" si="16"/>
        <v>0</v>
      </c>
      <c r="AA85" s="93">
        <f t="shared" si="16"/>
        <v>0</v>
      </c>
      <c r="AB85" s="93">
        <f t="shared" si="16"/>
        <v>0</v>
      </c>
      <c r="AC85" s="93">
        <f t="shared" si="16"/>
        <v>0</v>
      </c>
      <c r="AD85" s="93">
        <f t="shared" si="16"/>
        <v>0</v>
      </c>
      <c r="AE85" s="93">
        <f t="shared" si="16"/>
        <v>0</v>
      </c>
      <c r="AF85" s="93">
        <f t="shared" si="16"/>
        <v>0</v>
      </c>
      <c r="AG85" s="92"/>
      <c r="AH85" s="20">
        <f t="shared" si="9"/>
        <v>0</v>
      </c>
      <c r="AI85" s="19">
        <f t="shared" si="14"/>
        <v>0</v>
      </c>
    </row>
    <row r="86" spans="1:37" x14ac:dyDescent="0.25">
      <c r="A86" s="91" t="s">
        <v>153</v>
      </c>
      <c r="B86" s="93">
        <f t="shared" ref="B86:AF86" si="17">IF(B65&lt;0,B65*-1,0)</f>
        <v>377</v>
      </c>
      <c r="C86" s="93">
        <f t="shared" si="17"/>
        <v>369</v>
      </c>
      <c r="D86" s="93">
        <f t="shared" si="17"/>
        <v>348</v>
      </c>
      <c r="E86" s="93">
        <f t="shared" si="17"/>
        <v>378</v>
      </c>
      <c r="F86" s="93">
        <f t="shared" si="17"/>
        <v>379.8</v>
      </c>
      <c r="G86" s="93">
        <f t="shared" si="17"/>
        <v>418.8</v>
      </c>
      <c r="H86" s="93">
        <f t="shared" si="17"/>
        <v>425.6</v>
      </c>
      <c r="I86" s="93">
        <f t="shared" si="17"/>
        <v>386.1</v>
      </c>
      <c r="J86" s="93">
        <f t="shared" si="17"/>
        <v>407</v>
      </c>
      <c r="K86" s="93">
        <f t="shared" si="17"/>
        <v>385</v>
      </c>
      <c r="L86" s="93">
        <f t="shared" si="17"/>
        <v>393</v>
      </c>
      <c r="M86" s="93">
        <f t="shared" si="17"/>
        <v>425</v>
      </c>
      <c r="N86" s="93">
        <f t="shared" si="17"/>
        <v>365.4</v>
      </c>
      <c r="O86" s="93">
        <f t="shared" si="17"/>
        <v>388.8</v>
      </c>
      <c r="P86" s="93">
        <f t="shared" si="17"/>
        <v>384.6</v>
      </c>
      <c r="Q86" s="93">
        <f t="shared" si="17"/>
        <v>364.5</v>
      </c>
      <c r="R86" s="93">
        <f t="shared" si="17"/>
        <v>400.8</v>
      </c>
      <c r="S86" s="93">
        <f t="shared" si="17"/>
        <v>405</v>
      </c>
      <c r="T86" s="93">
        <f t="shared" si="17"/>
        <v>425</v>
      </c>
      <c r="U86" s="93">
        <f t="shared" si="17"/>
        <v>418.7</v>
      </c>
      <c r="V86" s="93">
        <f t="shared" si="17"/>
        <v>400</v>
      </c>
      <c r="W86" s="93">
        <f t="shared" si="17"/>
        <v>401.5</v>
      </c>
      <c r="X86" s="93">
        <f t="shared" si="17"/>
        <v>363</v>
      </c>
      <c r="Y86" s="93">
        <f t="shared" si="17"/>
        <v>202</v>
      </c>
      <c r="Z86" s="93">
        <f t="shared" si="17"/>
        <v>224.1</v>
      </c>
      <c r="AA86" s="93">
        <f t="shared" si="17"/>
        <v>288.39999999999998</v>
      </c>
      <c r="AB86" s="93">
        <f t="shared" si="17"/>
        <v>276</v>
      </c>
      <c r="AC86" s="93">
        <f t="shared" si="17"/>
        <v>319</v>
      </c>
      <c r="AD86" s="93">
        <f t="shared" si="17"/>
        <v>352.6</v>
      </c>
      <c r="AE86" s="93">
        <f t="shared" si="17"/>
        <v>405</v>
      </c>
      <c r="AF86" s="93">
        <f t="shared" si="17"/>
        <v>406</v>
      </c>
      <c r="AG86" s="92"/>
      <c r="AH86" s="20">
        <f t="shared" si="9"/>
        <v>425.6</v>
      </c>
      <c r="AI86" s="19">
        <f t="shared" si="14"/>
        <v>202</v>
      </c>
    </row>
    <row r="87" spans="1:37" x14ac:dyDescent="0.25">
      <c r="A87" s="91" t="s">
        <v>152</v>
      </c>
      <c r="B87" s="93">
        <f t="shared" ref="B87:AF87" si="18">IF(B63&lt;0,B63*-1,0)</f>
        <v>0</v>
      </c>
      <c r="C87" s="93">
        <f t="shared" si="18"/>
        <v>0</v>
      </c>
      <c r="D87" s="93">
        <f t="shared" si="18"/>
        <v>0</v>
      </c>
      <c r="E87" s="93">
        <f t="shared" si="18"/>
        <v>0</v>
      </c>
      <c r="F87" s="93">
        <f t="shared" si="18"/>
        <v>0</v>
      </c>
      <c r="G87" s="93">
        <f t="shared" si="18"/>
        <v>0</v>
      </c>
      <c r="H87" s="93">
        <f t="shared" si="18"/>
        <v>0</v>
      </c>
      <c r="I87" s="93">
        <f t="shared" si="18"/>
        <v>0</v>
      </c>
      <c r="J87" s="93">
        <f t="shared" si="18"/>
        <v>0</v>
      </c>
      <c r="K87" s="93">
        <f t="shared" si="18"/>
        <v>0</v>
      </c>
      <c r="L87" s="93">
        <f t="shared" si="18"/>
        <v>0</v>
      </c>
      <c r="M87" s="93">
        <f t="shared" si="18"/>
        <v>0</v>
      </c>
      <c r="N87" s="93">
        <f t="shared" si="18"/>
        <v>0</v>
      </c>
      <c r="O87" s="93">
        <f t="shared" si="18"/>
        <v>0</v>
      </c>
      <c r="P87" s="93">
        <f t="shared" si="18"/>
        <v>0</v>
      </c>
      <c r="Q87" s="93">
        <f t="shared" si="18"/>
        <v>0</v>
      </c>
      <c r="R87" s="93">
        <f t="shared" si="18"/>
        <v>0</v>
      </c>
      <c r="S87" s="93">
        <f t="shared" si="18"/>
        <v>0</v>
      </c>
      <c r="T87" s="93">
        <f t="shared" si="18"/>
        <v>0</v>
      </c>
      <c r="U87" s="93">
        <f t="shared" si="18"/>
        <v>0</v>
      </c>
      <c r="V87" s="93">
        <f t="shared" si="18"/>
        <v>0</v>
      </c>
      <c r="W87" s="93">
        <f t="shared" si="18"/>
        <v>0</v>
      </c>
      <c r="X87" s="93">
        <f t="shared" si="18"/>
        <v>0</v>
      </c>
      <c r="Y87" s="93">
        <f t="shared" si="18"/>
        <v>0</v>
      </c>
      <c r="Z87" s="93">
        <f t="shared" si="18"/>
        <v>0</v>
      </c>
      <c r="AA87" s="93">
        <f t="shared" si="18"/>
        <v>0</v>
      </c>
      <c r="AB87" s="93">
        <f t="shared" si="18"/>
        <v>0</v>
      </c>
      <c r="AC87" s="93">
        <f t="shared" si="18"/>
        <v>0</v>
      </c>
      <c r="AD87" s="93">
        <f t="shared" si="18"/>
        <v>0</v>
      </c>
      <c r="AE87" s="93">
        <f t="shared" si="18"/>
        <v>0</v>
      </c>
      <c r="AF87" s="93">
        <f t="shared" si="18"/>
        <v>0</v>
      </c>
      <c r="AG87" s="92"/>
      <c r="AH87" s="20">
        <f t="shared" si="9"/>
        <v>0</v>
      </c>
      <c r="AI87" s="19">
        <f t="shared" si="14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9"/>
        <v>0</v>
      </c>
      <c r="AI88" s="19">
        <f t="shared" si="14"/>
        <v>0</v>
      </c>
    </row>
    <row r="89" spans="1:37" ht="15.75" thickBot="1" x14ac:dyDescent="0.3">
      <c r="A89" s="88" t="s">
        <v>150</v>
      </c>
      <c r="B89" s="86">
        <f t="shared" ref="B89:AF89" si="19">SUM(B83:B88)</f>
        <v>377</v>
      </c>
      <c r="C89" s="86">
        <f t="shared" si="19"/>
        <v>369</v>
      </c>
      <c r="D89" s="86">
        <f t="shared" si="19"/>
        <v>348</v>
      </c>
      <c r="E89" s="86">
        <f t="shared" si="19"/>
        <v>378</v>
      </c>
      <c r="F89" s="86">
        <f t="shared" si="19"/>
        <v>379.8</v>
      </c>
      <c r="G89" s="86">
        <f t="shared" si="19"/>
        <v>418.8</v>
      </c>
      <c r="H89" s="86">
        <f t="shared" si="19"/>
        <v>425.6</v>
      </c>
      <c r="I89" s="86">
        <f t="shared" si="19"/>
        <v>386.1</v>
      </c>
      <c r="J89" s="86">
        <f t="shared" si="19"/>
        <v>407</v>
      </c>
      <c r="K89" s="86">
        <f t="shared" si="19"/>
        <v>385</v>
      </c>
      <c r="L89" s="86">
        <f t="shared" si="19"/>
        <v>393</v>
      </c>
      <c r="M89" s="86">
        <f t="shared" si="19"/>
        <v>425</v>
      </c>
      <c r="N89" s="86">
        <f t="shared" si="19"/>
        <v>365.4</v>
      </c>
      <c r="O89" s="86">
        <f t="shared" si="19"/>
        <v>388.8</v>
      </c>
      <c r="P89" s="86">
        <f t="shared" si="19"/>
        <v>384.6</v>
      </c>
      <c r="Q89" s="86">
        <f t="shared" si="19"/>
        <v>364.5</v>
      </c>
      <c r="R89" s="86">
        <f t="shared" si="19"/>
        <v>400.8</v>
      </c>
      <c r="S89" s="86">
        <f t="shared" si="19"/>
        <v>405</v>
      </c>
      <c r="T89" s="86">
        <f t="shared" si="19"/>
        <v>425</v>
      </c>
      <c r="U89" s="86">
        <f t="shared" si="19"/>
        <v>418.7</v>
      </c>
      <c r="V89" s="86">
        <f t="shared" si="19"/>
        <v>400</v>
      </c>
      <c r="W89" s="86">
        <f t="shared" si="19"/>
        <v>401.5</v>
      </c>
      <c r="X89" s="86">
        <f t="shared" si="19"/>
        <v>363</v>
      </c>
      <c r="Y89" s="86">
        <f t="shared" si="19"/>
        <v>202</v>
      </c>
      <c r="Z89" s="86">
        <f t="shared" si="19"/>
        <v>224.1</v>
      </c>
      <c r="AA89" s="86">
        <f t="shared" si="19"/>
        <v>288.39999999999998</v>
      </c>
      <c r="AB89" s="86">
        <f t="shared" si="19"/>
        <v>276</v>
      </c>
      <c r="AC89" s="86">
        <f t="shared" si="19"/>
        <v>319</v>
      </c>
      <c r="AD89" s="86">
        <f t="shared" si="19"/>
        <v>352.6</v>
      </c>
      <c r="AE89" s="86">
        <f t="shared" si="19"/>
        <v>405</v>
      </c>
      <c r="AF89" s="86">
        <f t="shared" si="19"/>
        <v>406</v>
      </c>
      <c r="AG89" s="85"/>
      <c r="AH89" s="20">
        <f t="shared" si="9"/>
        <v>425.6</v>
      </c>
      <c r="AI89" s="19">
        <f t="shared" si="14"/>
        <v>202</v>
      </c>
      <c r="AK89" s="41"/>
    </row>
    <row r="90" spans="1:37" ht="15.75" thickBot="1" x14ac:dyDescent="0.3">
      <c r="A90" s="87" t="s">
        <v>149</v>
      </c>
      <c r="B90" s="86">
        <f t="shared" ref="B90:AF90" si="20">B74-B89</f>
        <v>-372.5</v>
      </c>
      <c r="C90" s="86">
        <f t="shared" si="20"/>
        <v>-369</v>
      </c>
      <c r="D90" s="86">
        <f t="shared" si="20"/>
        <v>-348</v>
      </c>
      <c r="E90" s="86">
        <f t="shared" si="20"/>
        <v>-378</v>
      </c>
      <c r="F90" s="86">
        <f t="shared" si="20"/>
        <v>-379.8</v>
      </c>
      <c r="G90" s="86">
        <f t="shared" si="20"/>
        <v>-418.8</v>
      </c>
      <c r="H90" s="86">
        <f t="shared" si="20"/>
        <v>-425.6</v>
      </c>
      <c r="I90" s="86">
        <f t="shared" si="20"/>
        <v>-386.1</v>
      </c>
      <c r="J90" s="86">
        <f t="shared" si="20"/>
        <v>-407</v>
      </c>
      <c r="K90" s="86">
        <f t="shared" si="20"/>
        <v>-385</v>
      </c>
      <c r="L90" s="86">
        <f t="shared" si="20"/>
        <v>-393</v>
      </c>
      <c r="M90" s="86">
        <f t="shared" si="20"/>
        <v>-425</v>
      </c>
      <c r="N90" s="86">
        <f t="shared" si="20"/>
        <v>-365.4</v>
      </c>
      <c r="O90" s="86">
        <f t="shared" si="20"/>
        <v>-388.8</v>
      </c>
      <c r="P90" s="86">
        <f t="shared" si="20"/>
        <v>-384.6</v>
      </c>
      <c r="Q90" s="86">
        <f t="shared" si="20"/>
        <v>-364.5</v>
      </c>
      <c r="R90" s="86">
        <f t="shared" si="20"/>
        <v>-400.8</v>
      </c>
      <c r="S90" s="86">
        <f t="shared" si="20"/>
        <v>-405</v>
      </c>
      <c r="T90" s="86">
        <f t="shared" si="20"/>
        <v>-425</v>
      </c>
      <c r="U90" s="86">
        <f t="shared" si="20"/>
        <v>-418.7</v>
      </c>
      <c r="V90" s="86">
        <f t="shared" si="20"/>
        <v>-400</v>
      </c>
      <c r="W90" s="86">
        <f t="shared" si="20"/>
        <v>-401.5</v>
      </c>
      <c r="X90" s="86">
        <f t="shared" si="20"/>
        <v>-363</v>
      </c>
      <c r="Y90" s="86">
        <f t="shared" si="20"/>
        <v>-202</v>
      </c>
      <c r="Z90" s="86">
        <f t="shared" si="20"/>
        <v>-197.7</v>
      </c>
      <c r="AA90" s="86">
        <f t="shared" si="20"/>
        <v>-260.59999999999997</v>
      </c>
      <c r="AB90" s="86">
        <f t="shared" si="20"/>
        <v>-254.3</v>
      </c>
      <c r="AC90" s="86">
        <f t="shared" si="20"/>
        <v>-302.10000000000002</v>
      </c>
      <c r="AD90" s="86">
        <f t="shared" si="20"/>
        <v>-339.6</v>
      </c>
      <c r="AE90" s="86">
        <f t="shared" si="20"/>
        <v>-405</v>
      </c>
      <c r="AF90" s="86">
        <f t="shared" si="20"/>
        <v>-406</v>
      </c>
      <c r="AG90" s="85"/>
      <c r="AH90" s="20">
        <f t="shared" si="9"/>
        <v>-197.7</v>
      </c>
      <c r="AI90" s="19">
        <f t="shared" si="14"/>
        <v>-425.6</v>
      </c>
    </row>
    <row r="91" spans="1:37" x14ac:dyDescent="0.25">
      <c r="A91" s="47" t="s">
        <v>148</v>
      </c>
      <c r="B91" s="84">
        <v>50.027000000000001</v>
      </c>
      <c r="C91" s="84">
        <v>49.975999999999999</v>
      </c>
      <c r="D91" s="84">
        <v>50.011000000000003</v>
      </c>
      <c r="E91" s="84">
        <v>50.034999999999997</v>
      </c>
      <c r="F91" s="84">
        <v>50.011000000000003</v>
      </c>
      <c r="G91" s="84">
        <v>49.954000000000001</v>
      </c>
      <c r="H91" s="84">
        <v>49.972999999999999</v>
      </c>
      <c r="I91" s="84">
        <v>50.015999999999998</v>
      </c>
      <c r="J91" s="84">
        <v>49.936999999999998</v>
      </c>
      <c r="K91" s="84">
        <v>49.993000000000002</v>
      </c>
      <c r="L91" s="84">
        <v>49.978000000000002</v>
      </c>
      <c r="M91" s="84">
        <v>50.024999999999999</v>
      </c>
      <c r="N91" s="84">
        <v>50.052999999999997</v>
      </c>
      <c r="O91" s="84">
        <v>50.02</v>
      </c>
      <c r="P91" s="84">
        <v>49.97</v>
      </c>
      <c r="Q91" s="84">
        <v>50.036999999999999</v>
      </c>
      <c r="R91" s="84">
        <v>50.078000000000003</v>
      </c>
      <c r="S91" s="84">
        <v>49.936</v>
      </c>
      <c r="T91" s="84">
        <v>49.935000000000002</v>
      </c>
      <c r="U91" s="84">
        <v>49.991</v>
      </c>
      <c r="V91" s="84">
        <v>50.045000000000002</v>
      </c>
      <c r="W91" s="84">
        <v>49.914999999999999</v>
      </c>
      <c r="X91" s="84">
        <v>49.92</v>
      </c>
      <c r="Y91" s="84">
        <v>49.899000000000001</v>
      </c>
      <c r="Z91" s="84">
        <v>49.872999999999998</v>
      </c>
      <c r="AA91" s="84">
        <v>49.959000000000003</v>
      </c>
      <c r="AB91" s="84">
        <v>50.05</v>
      </c>
      <c r="AC91" s="84">
        <v>50</v>
      </c>
      <c r="AD91" s="84">
        <v>50.076999999999998</v>
      </c>
      <c r="AE91" s="84">
        <v>50.027000000000001</v>
      </c>
      <c r="AF91" s="84">
        <v>49.902999999999999</v>
      </c>
      <c r="AG91" s="83"/>
      <c r="AH91" s="20">
        <f t="shared" si="9"/>
        <v>50.078000000000003</v>
      </c>
      <c r="AI91" s="19">
        <f t="shared" si="14"/>
        <v>49.872999999999998</v>
      </c>
    </row>
    <row r="92" spans="1:37" x14ac:dyDescent="0.25">
      <c r="A92" s="44" t="s">
        <v>147</v>
      </c>
      <c r="B92" s="80">
        <v>123</v>
      </c>
      <c r="C92" s="80">
        <v>123</v>
      </c>
      <c r="D92" s="80">
        <v>123</v>
      </c>
      <c r="E92" s="80">
        <v>122.8</v>
      </c>
      <c r="F92" s="80">
        <v>122.9</v>
      </c>
      <c r="G92" s="80">
        <v>123.1</v>
      </c>
      <c r="H92" s="80">
        <v>123.6</v>
      </c>
      <c r="I92" s="80">
        <v>121.2</v>
      </c>
      <c r="J92" s="80">
        <v>121.2</v>
      </c>
      <c r="K92" s="80">
        <v>120.9</v>
      </c>
      <c r="L92" s="80">
        <v>125.6</v>
      </c>
      <c r="M92" s="80">
        <v>123</v>
      </c>
      <c r="N92" s="80">
        <v>122.5</v>
      </c>
      <c r="O92" s="80">
        <v>123.3</v>
      </c>
      <c r="P92" s="80">
        <v>122.5</v>
      </c>
      <c r="Q92" s="80">
        <v>124.4</v>
      </c>
      <c r="R92" s="80">
        <v>123.6</v>
      </c>
      <c r="S92" s="80">
        <v>123.6</v>
      </c>
      <c r="T92" s="80">
        <v>124.3</v>
      </c>
      <c r="U92" s="80">
        <v>125.2</v>
      </c>
      <c r="V92" s="80">
        <v>124.7</v>
      </c>
      <c r="W92" s="80">
        <v>124</v>
      </c>
      <c r="X92" s="80">
        <v>124.7</v>
      </c>
      <c r="Y92" s="80">
        <v>119</v>
      </c>
      <c r="Z92" s="80">
        <v>121.8</v>
      </c>
      <c r="AA92" s="80">
        <v>121.9</v>
      </c>
      <c r="AB92" s="80">
        <v>122.2</v>
      </c>
      <c r="AC92" s="80">
        <v>121.7</v>
      </c>
      <c r="AD92" s="80">
        <v>122</v>
      </c>
      <c r="AE92" s="80">
        <v>124</v>
      </c>
      <c r="AF92" s="80">
        <v>124</v>
      </c>
      <c r="AG92" s="79"/>
      <c r="AH92" s="20">
        <f t="shared" si="9"/>
        <v>125.6</v>
      </c>
      <c r="AI92" s="19">
        <f t="shared" si="14"/>
        <v>119</v>
      </c>
    </row>
    <row r="93" spans="1:37" x14ac:dyDescent="0.25">
      <c r="A93" s="44" t="s">
        <v>146</v>
      </c>
      <c r="B93" s="80">
        <v>128.30000000000001</v>
      </c>
      <c r="C93" s="80">
        <v>128.5</v>
      </c>
      <c r="D93" s="80">
        <v>128.6</v>
      </c>
      <c r="E93" s="80">
        <v>128.5</v>
      </c>
      <c r="F93" s="80">
        <v>128.69999999999999</v>
      </c>
      <c r="G93" s="80">
        <v>128.30000000000001</v>
      </c>
      <c r="H93" s="80">
        <v>129.5</v>
      </c>
      <c r="I93" s="80">
        <v>128.30000000000001</v>
      </c>
      <c r="J93" s="80">
        <v>127.7</v>
      </c>
      <c r="K93" s="80">
        <v>128.80000000000001</v>
      </c>
      <c r="L93" s="80">
        <v>128.6</v>
      </c>
      <c r="M93" s="80">
        <v>128</v>
      </c>
      <c r="N93" s="80">
        <v>127.1</v>
      </c>
      <c r="O93" s="80">
        <v>128.1</v>
      </c>
      <c r="P93" s="80">
        <v>128.30000000000001</v>
      </c>
      <c r="Q93" s="80">
        <v>129.4</v>
      </c>
      <c r="R93" s="80">
        <v>123.6</v>
      </c>
      <c r="S93" s="80">
        <v>129.1</v>
      </c>
      <c r="T93" s="80">
        <v>129.19999999999999</v>
      </c>
      <c r="U93" s="80">
        <v>129.4</v>
      </c>
      <c r="V93" s="80">
        <v>129.4</v>
      </c>
      <c r="W93" s="80">
        <v>129.1</v>
      </c>
      <c r="X93" s="80">
        <v>129.19999999999999</v>
      </c>
      <c r="Y93" s="80">
        <v>127</v>
      </c>
      <c r="Z93" s="80">
        <v>128</v>
      </c>
      <c r="AA93" s="80">
        <v>128.80000000000001</v>
      </c>
      <c r="AB93" s="80">
        <v>129.69999999999999</v>
      </c>
      <c r="AC93" s="80">
        <v>129.6</v>
      </c>
      <c r="AD93" s="80">
        <v>130</v>
      </c>
      <c r="AE93" s="80">
        <v>129</v>
      </c>
      <c r="AF93" s="80">
        <v>129</v>
      </c>
      <c r="AG93" s="79"/>
      <c r="AH93" s="20">
        <f t="shared" si="9"/>
        <v>130</v>
      </c>
      <c r="AI93" s="19">
        <f t="shared" si="14"/>
        <v>123.6</v>
      </c>
    </row>
    <row r="94" spans="1:37" x14ac:dyDescent="0.25">
      <c r="A94" s="44" t="s">
        <v>145</v>
      </c>
      <c r="B94" s="80">
        <v>128.19999999999999</v>
      </c>
      <c r="C94" s="80">
        <v>129.6</v>
      </c>
      <c r="D94" s="80">
        <v>129</v>
      </c>
      <c r="E94" s="80">
        <v>128</v>
      </c>
      <c r="F94" s="80">
        <v>128.5</v>
      </c>
      <c r="G94" s="80">
        <v>130.19999999999999</v>
      </c>
      <c r="H94" s="80">
        <v>130.69999999999999</v>
      </c>
      <c r="I94" s="80">
        <v>131.4</v>
      </c>
      <c r="J94" s="80">
        <v>129.69999999999999</v>
      </c>
      <c r="K94" s="80">
        <v>129.4</v>
      </c>
      <c r="L94" s="80">
        <v>129</v>
      </c>
      <c r="M94" s="80">
        <v>128</v>
      </c>
      <c r="N94" s="80">
        <v>129</v>
      </c>
      <c r="O94" s="80">
        <v>132.69999999999999</v>
      </c>
      <c r="P94" s="80">
        <v>130</v>
      </c>
      <c r="Q94" s="80">
        <v>129.4</v>
      </c>
      <c r="R94" s="80">
        <v>130.4</v>
      </c>
      <c r="S94" s="80">
        <v>126.6</v>
      </c>
      <c r="T94" s="80">
        <v>130.69999999999999</v>
      </c>
      <c r="U94" s="80">
        <v>129.19999999999999</v>
      </c>
      <c r="V94" s="80">
        <v>131.19999999999999</v>
      </c>
      <c r="W94" s="80">
        <v>129.6</v>
      </c>
      <c r="X94" s="80">
        <v>128.4</v>
      </c>
      <c r="Y94" s="80">
        <v>129.5</v>
      </c>
      <c r="Z94" s="80">
        <v>127</v>
      </c>
      <c r="AA94" s="80">
        <v>128</v>
      </c>
      <c r="AB94" s="80">
        <v>131.19999999999999</v>
      </c>
      <c r="AC94" s="80">
        <v>132.1</v>
      </c>
      <c r="AD94" s="80">
        <v>132</v>
      </c>
      <c r="AE94" s="80">
        <v>130</v>
      </c>
      <c r="AF94" s="80">
        <v>130</v>
      </c>
      <c r="AG94" s="79"/>
      <c r="AH94" s="20">
        <f t="shared" si="9"/>
        <v>132.69999999999999</v>
      </c>
      <c r="AI94" s="19">
        <f t="shared" si="14"/>
        <v>126.6</v>
      </c>
    </row>
    <row r="95" spans="1:37" x14ac:dyDescent="0.25">
      <c r="A95" s="82" t="s">
        <v>144</v>
      </c>
      <c r="B95" s="80">
        <v>130.80000000000001</v>
      </c>
      <c r="C95" s="80">
        <v>132.80000000000001</v>
      </c>
      <c r="D95" s="80">
        <v>131</v>
      </c>
      <c r="E95" s="80">
        <v>130.4</v>
      </c>
      <c r="F95" s="80">
        <v>130.9</v>
      </c>
      <c r="G95" s="80">
        <v>132.5</v>
      </c>
      <c r="H95" s="80">
        <v>133.1</v>
      </c>
      <c r="I95" s="80">
        <v>133.5</v>
      </c>
      <c r="J95" s="80">
        <v>131.69999999999999</v>
      </c>
      <c r="K95" s="80">
        <v>131.4</v>
      </c>
      <c r="L95" s="80">
        <v>130.4</v>
      </c>
      <c r="M95" s="80">
        <v>31</v>
      </c>
      <c r="N95" s="80">
        <v>130.19999999999999</v>
      </c>
      <c r="O95" s="80">
        <v>130.19999999999999</v>
      </c>
      <c r="P95" s="80">
        <v>131.6</v>
      </c>
      <c r="Q95" s="80">
        <v>131</v>
      </c>
      <c r="R95" s="80">
        <v>132.30000000000001</v>
      </c>
      <c r="S95" s="80">
        <v>129.69999999999999</v>
      </c>
      <c r="T95" s="80">
        <v>133.4</v>
      </c>
      <c r="U95" s="80">
        <v>129.5</v>
      </c>
      <c r="V95" s="80">
        <v>133.80000000000001</v>
      </c>
      <c r="W95" s="80">
        <v>133</v>
      </c>
      <c r="X95" s="80">
        <v>132</v>
      </c>
      <c r="Y95" s="80">
        <v>133.30000000000001</v>
      </c>
      <c r="Z95" s="80">
        <v>132.19999999999999</v>
      </c>
      <c r="AA95" s="80">
        <v>132.6</v>
      </c>
      <c r="AB95" s="80">
        <v>134.30000000000001</v>
      </c>
      <c r="AC95" s="80">
        <v>135</v>
      </c>
      <c r="AD95" s="80">
        <v>136</v>
      </c>
      <c r="AE95" s="80">
        <v>134</v>
      </c>
      <c r="AF95" s="80">
        <v>134</v>
      </c>
      <c r="AG95" s="79"/>
      <c r="AH95" s="20">
        <f t="shared" si="9"/>
        <v>136</v>
      </c>
      <c r="AI95" s="19">
        <f t="shared" si="14"/>
        <v>31</v>
      </c>
    </row>
    <row r="96" spans="1:37" x14ac:dyDescent="0.25">
      <c r="A96" s="82" t="s">
        <v>143</v>
      </c>
      <c r="B96" s="66">
        <v>131.4</v>
      </c>
      <c r="C96" s="66">
        <v>130</v>
      </c>
      <c r="D96" s="66">
        <v>130.19999999999999</v>
      </c>
      <c r="E96" s="66">
        <v>133.19999999999999</v>
      </c>
      <c r="F96" s="66">
        <v>132.1</v>
      </c>
      <c r="G96" s="66">
        <v>133.5</v>
      </c>
      <c r="H96" s="66">
        <v>130.9</v>
      </c>
      <c r="I96" s="66">
        <v>132.6</v>
      </c>
      <c r="J96" s="66">
        <v>132.80000000000001</v>
      </c>
      <c r="K96" s="66">
        <v>133.1</v>
      </c>
      <c r="L96" s="66">
        <v>132.5</v>
      </c>
      <c r="M96" s="66">
        <v>134</v>
      </c>
      <c r="N96" s="66">
        <v>130.19999999999999</v>
      </c>
      <c r="O96" s="66">
        <v>132.80000000000001</v>
      </c>
      <c r="P96" s="66">
        <v>132</v>
      </c>
      <c r="Q96" s="66">
        <v>131.1</v>
      </c>
      <c r="R96" s="66">
        <v>131.9</v>
      </c>
      <c r="S96" s="66">
        <v>131.19999999999999</v>
      </c>
      <c r="T96" s="66">
        <v>133.69999999999999</v>
      </c>
      <c r="U96" s="66">
        <v>132.80000000000001</v>
      </c>
      <c r="V96" s="66">
        <v>134.80000000000001</v>
      </c>
      <c r="W96" s="66">
        <v>133.4</v>
      </c>
      <c r="X96" s="66">
        <v>133.5</v>
      </c>
      <c r="Y96" s="66">
        <v>130.1</v>
      </c>
      <c r="Z96" s="66">
        <v>134.1</v>
      </c>
      <c r="AA96" s="66">
        <v>129.69999999999999</v>
      </c>
      <c r="AB96" s="66">
        <v>136</v>
      </c>
      <c r="AC96" s="66">
        <v>131.69999999999999</v>
      </c>
      <c r="AD96" s="66">
        <v>132.6</v>
      </c>
      <c r="AE96" s="66">
        <v>132</v>
      </c>
      <c r="AF96" s="66">
        <v>132</v>
      </c>
      <c r="AG96" s="81"/>
      <c r="AH96" s="20">
        <f t="shared" si="9"/>
        <v>136</v>
      </c>
      <c r="AI96" s="19">
        <f t="shared" si="14"/>
        <v>129.69999999999999</v>
      </c>
    </row>
    <row r="97" spans="1:37" x14ac:dyDescent="0.25">
      <c r="A97" s="44" t="s">
        <v>142</v>
      </c>
      <c r="B97" s="80">
        <v>130</v>
      </c>
      <c r="C97" s="80">
        <v>129.80000000000001</v>
      </c>
      <c r="D97" s="80">
        <v>129.5</v>
      </c>
      <c r="E97" s="80">
        <v>132.4</v>
      </c>
      <c r="F97" s="80">
        <v>129.19999999999999</v>
      </c>
      <c r="G97" s="80">
        <v>129.80000000000001</v>
      </c>
      <c r="H97" s="80">
        <v>127.9</v>
      </c>
      <c r="I97" s="80">
        <v>128.69999999999999</v>
      </c>
      <c r="J97" s="80">
        <v>128.19999999999999</v>
      </c>
      <c r="K97" s="80">
        <v>128.69999999999999</v>
      </c>
      <c r="L97" s="80">
        <v>127.3</v>
      </c>
      <c r="M97" s="80">
        <v>129</v>
      </c>
      <c r="N97" s="80">
        <v>125.2</v>
      </c>
      <c r="O97" s="80">
        <v>129.9</v>
      </c>
      <c r="P97" s="80">
        <v>129</v>
      </c>
      <c r="Q97" s="80">
        <v>125.9</v>
      </c>
      <c r="R97" s="80">
        <v>127.1</v>
      </c>
      <c r="S97" s="80">
        <v>129.80000000000001</v>
      </c>
      <c r="T97" s="80">
        <v>128.30000000000001</v>
      </c>
      <c r="U97" s="80">
        <v>128.6</v>
      </c>
      <c r="V97" s="80">
        <v>134.69999999999999</v>
      </c>
      <c r="W97" s="80">
        <v>132.9</v>
      </c>
      <c r="X97" s="80">
        <v>130.9</v>
      </c>
      <c r="Y97" s="80">
        <v>125.9</v>
      </c>
      <c r="Z97" s="80">
        <v>128.1</v>
      </c>
      <c r="AA97" s="80">
        <v>123.8</v>
      </c>
      <c r="AB97" s="80">
        <v>134.19999999999999</v>
      </c>
      <c r="AC97" s="80">
        <v>128.1</v>
      </c>
      <c r="AD97" s="80">
        <v>134</v>
      </c>
      <c r="AE97" s="80">
        <v>128</v>
      </c>
      <c r="AF97" s="80">
        <v>128</v>
      </c>
      <c r="AG97" s="79"/>
      <c r="AH97" s="20">
        <f t="shared" si="9"/>
        <v>134.69999999999999</v>
      </c>
      <c r="AI97" s="19">
        <f t="shared" si="14"/>
        <v>123.8</v>
      </c>
    </row>
    <row r="98" spans="1:37" ht="15.75" thickBot="1" x14ac:dyDescent="0.3">
      <c r="A98" s="44" t="s">
        <v>141</v>
      </c>
      <c r="B98" s="77">
        <v>64.599999999999994</v>
      </c>
      <c r="C98" s="77">
        <v>64.7</v>
      </c>
      <c r="D98" s="77">
        <v>64.8</v>
      </c>
      <c r="E98" s="77">
        <v>64.900000000000006</v>
      </c>
      <c r="F98" s="77">
        <v>64.8</v>
      </c>
      <c r="G98" s="77">
        <v>64.8</v>
      </c>
      <c r="H98" s="77">
        <v>65.099999999999994</v>
      </c>
      <c r="I98" s="77">
        <v>64.3</v>
      </c>
      <c r="J98" s="77">
        <v>64.2</v>
      </c>
      <c r="K98" s="77">
        <v>65.3</v>
      </c>
      <c r="L98" s="77">
        <v>65.099999999999994</v>
      </c>
      <c r="M98" s="77">
        <v>64.3</v>
      </c>
      <c r="N98" s="77">
        <v>64</v>
      </c>
      <c r="O98" s="77">
        <v>64.599999999999994</v>
      </c>
      <c r="P98" s="77">
        <v>64.7</v>
      </c>
      <c r="Q98" s="77">
        <v>65.2</v>
      </c>
      <c r="R98" s="77">
        <v>65.2</v>
      </c>
      <c r="S98" s="77">
        <v>64.900000000000006</v>
      </c>
      <c r="T98" s="77">
        <v>65.099999999999994</v>
      </c>
      <c r="U98" s="77">
        <v>64.900000000000006</v>
      </c>
      <c r="V98" s="77">
        <v>65</v>
      </c>
      <c r="W98" s="77">
        <v>64.900000000000006</v>
      </c>
      <c r="X98" s="77">
        <v>64.900000000000006</v>
      </c>
      <c r="Y98" s="77">
        <v>63.6</v>
      </c>
      <c r="Z98" s="77">
        <v>64.400000000000006</v>
      </c>
      <c r="AA98" s="77">
        <v>64.599999999999994</v>
      </c>
      <c r="AB98" s="77">
        <v>65.3</v>
      </c>
      <c r="AC98" s="77">
        <v>65.2</v>
      </c>
      <c r="AD98" s="77">
        <v>65.599999999999994</v>
      </c>
      <c r="AE98" s="77">
        <v>65</v>
      </c>
      <c r="AF98" s="77">
        <v>65</v>
      </c>
      <c r="AG98" s="76"/>
      <c r="AH98" s="20">
        <f t="shared" si="9"/>
        <v>65.599999999999994</v>
      </c>
      <c r="AI98" s="19">
        <f t="shared" si="14"/>
        <v>63.6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9"/>
        <v>0</v>
      </c>
      <c r="AI99" s="19">
        <f t="shared" si="14"/>
        <v>0</v>
      </c>
    </row>
    <row r="100" spans="1:37" ht="15.75" thickBot="1" x14ac:dyDescent="0.3">
      <c r="A100" s="75" t="s">
        <v>140</v>
      </c>
      <c r="B100" s="74">
        <f t="shared" ref="B100:AF100" si="21">SUM(B15,B19,B22:B23,B48,B50:B51,B53,B55,B101:B105,B127,B133,B139,B148,B150,B162,B169,B172:B173,B180,B182,B184,B188:B190,B192:B194,B199,B205:B206,B208:B210,B218,B223)</f>
        <v>56</v>
      </c>
      <c r="C100" s="74">
        <f t="shared" si="21"/>
        <v>42.139999999999993</v>
      </c>
      <c r="D100" s="74">
        <f t="shared" si="21"/>
        <v>36.04</v>
      </c>
      <c r="E100" s="74">
        <f t="shared" si="21"/>
        <v>28.939999999999991</v>
      </c>
      <c r="F100" s="74">
        <f t="shared" si="21"/>
        <v>29.13999999999999</v>
      </c>
      <c r="G100" s="74">
        <f t="shared" si="21"/>
        <v>47.239999999999981</v>
      </c>
      <c r="H100" s="74">
        <f t="shared" si="21"/>
        <v>61.04000000000002</v>
      </c>
      <c r="I100" s="74">
        <f t="shared" si="21"/>
        <v>73.14</v>
      </c>
      <c r="J100" s="74">
        <f t="shared" si="21"/>
        <v>114.84</v>
      </c>
      <c r="K100" s="74">
        <f t="shared" si="21"/>
        <v>144.84</v>
      </c>
      <c r="L100" s="74">
        <f t="shared" si="21"/>
        <v>180.54</v>
      </c>
      <c r="M100" s="74">
        <f t="shared" si="21"/>
        <v>194.44</v>
      </c>
      <c r="N100" s="74">
        <f t="shared" si="21"/>
        <v>201.94000000000003</v>
      </c>
      <c r="O100" s="74">
        <f t="shared" si="21"/>
        <v>210.84000000000003</v>
      </c>
      <c r="P100" s="74">
        <f t="shared" si="21"/>
        <v>169.14</v>
      </c>
      <c r="Q100" s="74">
        <f t="shared" si="21"/>
        <v>166.3</v>
      </c>
      <c r="R100" s="74">
        <f t="shared" si="21"/>
        <v>154.69999999999999</v>
      </c>
      <c r="S100" s="74">
        <f t="shared" si="21"/>
        <v>153.19999999999999</v>
      </c>
      <c r="T100" s="74">
        <f t="shared" si="21"/>
        <v>145.69999999999999</v>
      </c>
      <c r="U100" s="74">
        <f t="shared" si="21"/>
        <v>118.19999999999999</v>
      </c>
      <c r="V100" s="74">
        <f t="shared" si="21"/>
        <v>165.7</v>
      </c>
      <c r="W100" s="74">
        <f t="shared" si="21"/>
        <v>154.9</v>
      </c>
      <c r="X100" s="74">
        <f t="shared" si="21"/>
        <v>280.5</v>
      </c>
      <c r="Y100" s="74">
        <f t="shared" si="21"/>
        <v>290.8</v>
      </c>
      <c r="Z100" s="74">
        <f t="shared" si="21"/>
        <v>241.79999999999998</v>
      </c>
      <c r="AA100" s="74">
        <f t="shared" si="21"/>
        <v>222.1</v>
      </c>
      <c r="AB100" s="74">
        <f t="shared" si="21"/>
        <v>194.7</v>
      </c>
      <c r="AC100" s="74">
        <f t="shared" si="21"/>
        <v>153.30000000000001</v>
      </c>
      <c r="AD100" s="74">
        <f t="shared" si="21"/>
        <v>131.89999999999998</v>
      </c>
      <c r="AE100" s="74">
        <f t="shared" si="21"/>
        <v>177.8</v>
      </c>
      <c r="AF100" s="74">
        <f t="shared" si="21"/>
        <v>55.3</v>
      </c>
      <c r="AG100" s="73"/>
      <c r="AH100" s="20">
        <f>MAX(C100:AF100)</f>
        <v>290.8</v>
      </c>
      <c r="AI100" s="19">
        <f>MIN(C100:AF100)</f>
        <v>28.939999999999991</v>
      </c>
    </row>
    <row r="101" spans="1:37" x14ac:dyDescent="0.25">
      <c r="A101" s="47" t="s">
        <v>139</v>
      </c>
      <c r="B101" s="72">
        <v>6.5</v>
      </c>
      <c r="C101" s="72">
        <v>5.9</v>
      </c>
      <c r="D101" s="72">
        <v>8.5</v>
      </c>
      <c r="E101" s="72">
        <v>16</v>
      </c>
      <c r="F101" s="72">
        <v>15.9</v>
      </c>
      <c r="G101" s="72">
        <v>18.100000000000001</v>
      </c>
      <c r="H101" s="72">
        <v>22.2</v>
      </c>
      <c r="I101" s="72">
        <v>5</v>
      </c>
      <c r="J101" s="72">
        <v>19.8</v>
      </c>
      <c r="K101" s="72">
        <v>17.8</v>
      </c>
      <c r="L101" s="72">
        <v>20.100000000000001</v>
      </c>
      <c r="M101" s="72">
        <v>33</v>
      </c>
      <c r="N101" s="72">
        <v>27</v>
      </c>
      <c r="O101" s="72">
        <v>28.4</v>
      </c>
      <c r="P101" s="72">
        <v>27.9</v>
      </c>
      <c r="Q101" s="72">
        <v>30.8</v>
      </c>
      <c r="R101" s="72">
        <v>28</v>
      </c>
      <c r="S101" s="72">
        <v>25.7</v>
      </c>
      <c r="T101" s="72">
        <v>23.4</v>
      </c>
      <c r="U101" s="72">
        <v>17.600000000000001</v>
      </c>
      <c r="V101" s="72">
        <v>20.6</v>
      </c>
      <c r="W101" s="72">
        <v>14.9</v>
      </c>
      <c r="X101" s="72">
        <v>20.6</v>
      </c>
      <c r="Y101" s="72">
        <v>17.600000000000001</v>
      </c>
      <c r="Z101" s="72">
        <v>4.2</v>
      </c>
      <c r="AA101" s="72">
        <v>6.6</v>
      </c>
      <c r="AB101" s="72">
        <v>2.7</v>
      </c>
      <c r="AC101" s="72">
        <v>8.3000000000000007</v>
      </c>
      <c r="AD101" s="72">
        <v>2</v>
      </c>
      <c r="AE101" s="72">
        <v>12.8</v>
      </c>
      <c r="AF101" s="72">
        <v>6.6</v>
      </c>
      <c r="AG101" s="70">
        <v>75</v>
      </c>
      <c r="AH101" s="20">
        <f t="shared" ref="AH101:AH109" si="22">IF(ABS(MAX(C101:AF101))&gt;ABS(MIN(C101:AF101)),MAX(C101:AF101),MIN(C101:AF101))</f>
        <v>33</v>
      </c>
      <c r="AI101" s="65">
        <f t="shared" ref="AI101:AI109" si="23">INDEX($C$9:$AF$9,1,MATCH(AH101,C101:AF101,0))</f>
        <v>0.33333333333333331</v>
      </c>
    </row>
    <row r="102" spans="1:37" x14ac:dyDescent="0.25">
      <c r="A102" s="44" t="s">
        <v>138</v>
      </c>
      <c r="B102" s="71">
        <v>18</v>
      </c>
      <c r="C102" s="71">
        <v>21.2</v>
      </c>
      <c r="D102" s="71">
        <v>24</v>
      </c>
      <c r="E102" s="71">
        <v>35.6</v>
      </c>
      <c r="F102" s="71">
        <v>33.700000000000003</v>
      </c>
      <c r="G102" s="71">
        <v>37.5</v>
      </c>
      <c r="H102" s="71">
        <v>42</v>
      </c>
      <c r="I102" s="71">
        <v>13.9</v>
      </c>
      <c r="J102" s="71">
        <v>32.6</v>
      </c>
      <c r="K102" s="71">
        <v>31.2</v>
      </c>
      <c r="L102" s="71">
        <v>36.9</v>
      </c>
      <c r="M102" s="71">
        <v>58</v>
      </c>
      <c r="N102" s="71">
        <v>50.4</v>
      </c>
      <c r="O102" s="71">
        <v>51.8</v>
      </c>
      <c r="P102" s="71">
        <v>49.1</v>
      </c>
      <c r="Q102" s="71">
        <v>50.2</v>
      </c>
      <c r="R102" s="71">
        <v>47.4</v>
      </c>
      <c r="S102" s="71">
        <v>45.9</v>
      </c>
      <c r="T102" s="71">
        <v>43.2</v>
      </c>
      <c r="U102" s="71">
        <v>-82</v>
      </c>
      <c r="V102" s="71">
        <v>36.5</v>
      </c>
      <c r="W102" s="71">
        <v>28.9</v>
      </c>
      <c r="X102" s="71">
        <v>35</v>
      </c>
      <c r="Y102" s="71">
        <v>28</v>
      </c>
      <c r="Z102" s="71">
        <v>8.8000000000000007</v>
      </c>
      <c r="AA102" s="71">
        <v>12.3</v>
      </c>
      <c r="AB102" s="71">
        <v>5.7</v>
      </c>
      <c r="AC102" s="71">
        <v>15.5</v>
      </c>
      <c r="AD102" s="71">
        <v>7.7</v>
      </c>
      <c r="AE102" s="71">
        <v>25</v>
      </c>
      <c r="AF102" s="71">
        <v>19.3</v>
      </c>
      <c r="AG102" s="70">
        <v>240</v>
      </c>
      <c r="AH102" s="20">
        <f t="shared" si="22"/>
        <v>-82</v>
      </c>
      <c r="AI102" s="65">
        <f t="shared" si="23"/>
        <v>0.66666666666666696</v>
      </c>
    </row>
    <row r="103" spans="1:37" x14ac:dyDescent="0.25">
      <c r="A103" s="44" t="s">
        <v>137</v>
      </c>
      <c r="B103" s="71">
        <v>-80</v>
      </c>
      <c r="C103" s="71">
        <v>-93</v>
      </c>
      <c r="D103" s="71">
        <v>-90</v>
      </c>
      <c r="E103" s="71">
        <v>-97</v>
      </c>
      <c r="F103" s="71">
        <v>-94.5</v>
      </c>
      <c r="G103" s="71">
        <v>-94.4</v>
      </c>
      <c r="H103" s="71">
        <v>-93.3</v>
      </c>
      <c r="I103" s="71">
        <v>0</v>
      </c>
      <c r="J103" s="71">
        <v>0</v>
      </c>
      <c r="K103" s="71">
        <v>0</v>
      </c>
      <c r="L103" s="71">
        <v>-66.8</v>
      </c>
      <c r="M103" s="71">
        <v>-80</v>
      </c>
      <c r="N103" s="71">
        <v>-95.3</v>
      </c>
      <c r="O103" s="71">
        <v>-100.9</v>
      </c>
      <c r="P103" s="71">
        <v>-89</v>
      </c>
      <c r="Q103" s="71">
        <v>-91.1</v>
      </c>
      <c r="R103" s="71">
        <v>-94.9</v>
      </c>
      <c r="S103" s="71">
        <v>-95</v>
      </c>
      <c r="T103" s="71">
        <v>-95.1</v>
      </c>
      <c r="U103" s="71">
        <v>1.9</v>
      </c>
      <c r="V103" s="71">
        <v>-80</v>
      </c>
      <c r="W103" s="71">
        <v>-80.099999999999994</v>
      </c>
      <c r="X103" s="71">
        <v>4.8</v>
      </c>
      <c r="Y103" s="71">
        <v>0.8</v>
      </c>
      <c r="Z103" s="71">
        <v>0</v>
      </c>
      <c r="AA103" s="71">
        <v>0</v>
      </c>
      <c r="AB103" s="71">
        <v>6.3</v>
      </c>
      <c r="AC103" s="71">
        <v>0</v>
      </c>
      <c r="AD103" s="71">
        <v>0</v>
      </c>
      <c r="AE103" s="71">
        <v>0</v>
      </c>
      <c r="AF103" s="71">
        <v>-116</v>
      </c>
      <c r="AG103" s="70">
        <v>240</v>
      </c>
      <c r="AH103" s="20">
        <f t="shared" si="22"/>
        <v>-116</v>
      </c>
      <c r="AI103" s="65">
        <f t="shared" si="23"/>
        <v>0.95833333333333304</v>
      </c>
    </row>
    <row r="104" spans="1:37" x14ac:dyDescent="0.25">
      <c r="A104" s="44" t="s">
        <v>136</v>
      </c>
      <c r="B104" s="71">
        <v>-5</v>
      </c>
      <c r="C104" s="71">
        <v>-9.4</v>
      </c>
      <c r="D104" s="71">
        <v>-21.9</v>
      </c>
      <c r="E104" s="71">
        <v>-22.7</v>
      </c>
      <c r="F104" s="71">
        <v>-22.5</v>
      </c>
      <c r="G104" s="71">
        <v>-10.5</v>
      </c>
      <c r="H104" s="71">
        <v>-6.2</v>
      </c>
      <c r="I104" s="71">
        <v>-16.2</v>
      </c>
      <c r="J104" s="71">
        <v>-8</v>
      </c>
      <c r="K104" s="71">
        <v>-4.5999999999999996</v>
      </c>
      <c r="L104" s="71">
        <v>6.2</v>
      </c>
      <c r="M104" s="71">
        <v>4</v>
      </c>
      <c r="N104" s="71">
        <v>1.8</v>
      </c>
      <c r="O104" s="71">
        <v>0.5</v>
      </c>
      <c r="P104" s="71">
        <v>0</v>
      </c>
      <c r="Q104" s="71">
        <v>-3.1</v>
      </c>
      <c r="R104" s="71">
        <v>-1.4</v>
      </c>
      <c r="S104" s="71">
        <v>0.5</v>
      </c>
      <c r="T104" s="71">
        <v>0.8</v>
      </c>
      <c r="U104" s="71">
        <v>1.5</v>
      </c>
      <c r="V104" s="71">
        <v>4</v>
      </c>
      <c r="W104" s="71">
        <v>3.1</v>
      </c>
      <c r="X104" s="71">
        <v>5.5</v>
      </c>
      <c r="Y104" s="71">
        <v>-1.2</v>
      </c>
      <c r="Z104" s="71">
        <v>0.6</v>
      </c>
      <c r="AA104" s="71">
        <v>-9</v>
      </c>
      <c r="AB104" s="71">
        <v>-15.7</v>
      </c>
      <c r="AC104" s="71">
        <v>-14.7</v>
      </c>
      <c r="AD104" s="71">
        <v>-22</v>
      </c>
      <c r="AE104" s="71">
        <v>-5.6</v>
      </c>
      <c r="AF104" s="71">
        <v>-1.3</v>
      </c>
      <c r="AG104" s="70">
        <v>60</v>
      </c>
      <c r="AH104" s="20">
        <f t="shared" si="22"/>
        <v>-22.7</v>
      </c>
      <c r="AI104" s="65">
        <f t="shared" si="23"/>
        <v>0.125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53</v>
      </c>
      <c r="M105" s="68">
        <v>31</v>
      </c>
      <c r="N105" s="68">
        <v>63.4</v>
      </c>
      <c r="O105" s="68">
        <v>63.7</v>
      </c>
      <c r="P105" s="68">
        <v>18.399999999999999</v>
      </c>
      <c r="Q105" s="68">
        <v>17.7</v>
      </c>
      <c r="R105" s="68">
        <v>24.2</v>
      </c>
      <c r="S105" s="68">
        <v>24.7</v>
      </c>
      <c r="T105" s="68">
        <v>21.8</v>
      </c>
      <c r="U105" s="68">
        <v>27.6</v>
      </c>
      <c r="V105" s="68">
        <v>33</v>
      </c>
      <c r="W105" s="68">
        <v>36.5</v>
      </c>
      <c r="X105" s="68">
        <v>53</v>
      </c>
      <c r="Y105" s="68">
        <v>84</v>
      </c>
      <c r="Z105" s="68">
        <v>70.5</v>
      </c>
      <c r="AA105" s="68">
        <v>60.1</v>
      </c>
      <c r="AB105" s="68">
        <v>51.5</v>
      </c>
      <c r="AC105" s="68">
        <v>0</v>
      </c>
      <c r="AD105" s="68">
        <v>0</v>
      </c>
      <c r="AE105" s="68">
        <v>0</v>
      </c>
      <c r="AF105" s="68">
        <v>0</v>
      </c>
      <c r="AG105" s="69">
        <v>120</v>
      </c>
      <c r="AH105" s="20">
        <f t="shared" si="22"/>
        <v>84</v>
      </c>
      <c r="AI105" s="65">
        <f t="shared" si="23"/>
        <v>0.77083333333333337</v>
      </c>
    </row>
    <row r="106" spans="1:37" x14ac:dyDescent="0.25">
      <c r="A106" s="40" t="s">
        <v>134</v>
      </c>
      <c r="B106" s="68">
        <v>67.099999999999994</v>
      </c>
      <c r="C106" s="68">
        <v>52.2</v>
      </c>
      <c r="D106" s="68">
        <v>61</v>
      </c>
      <c r="E106" s="68">
        <v>54.1</v>
      </c>
      <c r="F106" s="68">
        <v>51.6</v>
      </c>
      <c r="G106" s="68">
        <v>41.4</v>
      </c>
      <c r="H106" s="68">
        <v>39.9</v>
      </c>
      <c r="I106" s="68">
        <v>64.599999999999994</v>
      </c>
      <c r="J106" s="68">
        <v>62.4</v>
      </c>
      <c r="K106" s="68">
        <v>72</v>
      </c>
      <c r="L106" s="68">
        <v>48</v>
      </c>
      <c r="M106" s="68">
        <v>33</v>
      </c>
      <c r="N106" s="68">
        <v>29.7</v>
      </c>
      <c r="O106" s="68">
        <v>20.100000000000001</v>
      </c>
      <c r="P106" s="68">
        <v>41.4</v>
      </c>
      <c r="Q106" s="68">
        <v>37.200000000000003</v>
      </c>
      <c r="R106" s="68">
        <v>35.6</v>
      </c>
      <c r="S106" s="68">
        <v>35.4</v>
      </c>
      <c r="T106" s="68">
        <v>32.9</v>
      </c>
      <c r="U106" s="68">
        <v>30.9</v>
      </c>
      <c r="V106" s="68">
        <v>32</v>
      </c>
      <c r="W106" s="68">
        <v>36.299999999999997</v>
      </c>
      <c r="X106" s="68">
        <v>48.9</v>
      </c>
      <c r="Y106" s="68">
        <v>83.9</v>
      </c>
      <c r="Z106" s="68">
        <v>79.2</v>
      </c>
      <c r="AA106" s="68">
        <v>72</v>
      </c>
      <c r="AB106" s="68">
        <v>76.8</v>
      </c>
      <c r="AC106" s="68">
        <v>76.8</v>
      </c>
      <c r="AD106" s="68">
        <v>69</v>
      </c>
      <c r="AE106" s="68">
        <v>54.5</v>
      </c>
      <c r="AF106" s="68">
        <v>53</v>
      </c>
      <c r="AG106" s="69"/>
      <c r="AH106" s="20">
        <f t="shared" si="22"/>
        <v>83.9</v>
      </c>
      <c r="AI106" s="65">
        <f t="shared" si="23"/>
        <v>0.77083333333333337</v>
      </c>
    </row>
    <row r="107" spans="1:37" x14ac:dyDescent="0.25">
      <c r="A107" s="40" t="s">
        <v>133</v>
      </c>
      <c r="B107" s="68">
        <v>48</v>
      </c>
      <c r="C107" s="68">
        <v>46.5</v>
      </c>
      <c r="D107" s="68">
        <v>43.2</v>
      </c>
      <c r="E107" s="68">
        <v>13.6</v>
      </c>
      <c r="F107" s="68">
        <v>0</v>
      </c>
      <c r="G107" s="68">
        <v>0</v>
      </c>
      <c r="H107" s="68">
        <v>0</v>
      </c>
      <c r="I107" s="68">
        <v>-7.4</v>
      </c>
      <c r="J107" s="68">
        <v>-20.7</v>
      </c>
      <c r="K107" s="68">
        <v>-21.7</v>
      </c>
      <c r="L107" s="68">
        <v>-15.1</v>
      </c>
      <c r="M107" s="68">
        <v>-11</v>
      </c>
      <c r="N107" s="68">
        <v>-4.9000000000000004</v>
      </c>
      <c r="O107" s="68">
        <v>-21.5</v>
      </c>
      <c r="P107" s="68">
        <v>-16.5</v>
      </c>
      <c r="Q107" s="68">
        <v>-9.4</v>
      </c>
      <c r="R107" s="68">
        <v>-2.4</v>
      </c>
      <c r="S107" s="68">
        <v>2.9</v>
      </c>
      <c r="T107" s="68">
        <v>15.8</v>
      </c>
      <c r="U107" s="68">
        <v>28.1</v>
      </c>
      <c r="V107" s="68">
        <v>15</v>
      </c>
      <c r="W107" s="68">
        <v>35.4</v>
      </c>
      <c r="X107" s="68">
        <v>36.200000000000003</v>
      </c>
      <c r="Y107" s="68">
        <v>19.8</v>
      </c>
      <c r="Z107" s="68">
        <v>44</v>
      </c>
      <c r="AA107" s="68">
        <v>28.4</v>
      </c>
      <c r="AB107" s="68">
        <v>16.7</v>
      </c>
      <c r="AC107" s="68">
        <v>9</v>
      </c>
      <c r="AD107" s="68">
        <v>7.5</v>
      </c>
      <c r="AE107" s="68">
        <v>36</v>
      </c>
      <c r="AF107" s="68">
        <v>68.3</v>
      </c>
      <c r="AG107" s="48"/>
      <c r="AH107" s="20">
        <f t="shared" si="22"/>
        <v>68.3</v>
      </c>
      <c r="AI107" s="65">
        <f t="shared" si="23"/>
        <v>0.95833333333333304</v>
      </c>
    </row>
    <row r="108" spans="1:37" x14ac:dyDescent="0.25">
      <c r="A108" s="67" t="s">
        <v>132</v>
      </c>
      <c r="B108" s="66">
        <v>113</v>
      </c>
      <c r="C108" s="66">
        <v>116.5</v>
      </c>
      <c r="D108" s="66">
        <v>113.4</v>
      </c>
      <c r="E108" s="66">
        <v>117.1</v>
      </c>
      <c r="F108" s="66">
        <v>120.6</v>
      </c>
      <c r="G108" s="66">
        <v>122</v>
      </c>
      <c r="H108" s="66">
        <v>123.3</v>
      </c>
      <c r="I108" s="66">
        <v>122.8</v>
      </c>
      <c r="J108" s="66">
        <v>118.1</v>
      </c>
      <c r="K108" s="66">
        <v>119.4</v>
      </c>
      <c r="L108" s="66">
        <v>117</v>
      </c>
      <c r="M108" s="66">
        <v>114</v>
      </c>
      <c r="N108" s="66">
        <v>111.5</v>
      </c>
      <c r="O108" s="66">
        <v>113</v>
      </c>
      <c r="P108" s="66">
        <v>104.7</v>
      </c>
      <c r="Q108" s="66">
        <v>105.3</v>
      </c>
      <c r="R108" s="66">
        <v>106.7</v>
      </c>
      <c r="S108" s="66">
        <v>105.6</v>
      </c>
      <c r="T108" s="66">
        <v>107.9</v>
      </c>
      <c r="U108" s="66">
        <v>109.8</v>
      </c>
      <c r="V108" s="66">
        <v>110</v>
      </c>
      <c r="W108" s="66">
        <v>105.2</v>
      </c>
      <c r="X108" s="66">
        <v>97.5</v>
      </c>
      <c r="Y108" s="66">
        <v>81.3</v>
      </c>
      <c r="Z108" s="66">
        <v>84.1</v>
      </c>
      <c r="AA108" s="66">
        <v>100.3</v>
      </c>
      <c r="AB108" s="66">
        <v>100.2</v>
      </c>
      <c r="AC108" s="66">
        <v>103.7</v>
      </c>
      <c r="AD108" s="66">
        <v>108.9</v>
      </c>
      <c r="AE108" s="66">
        <v>121.6</v>
      </c>
      <c r="AF108" s="66">
        <v>115</v>
      </c>
      <c r="AG108" s="48"/>
      <c r="AH108" s="20">
        <f t="shared" si="22"/>
        <v>123.3</v>
      </c>
      <c r="AI108" s="65">
        <f t="shared" si="23"/>
        <v>0.22916666666666666</v>
      </c>
    </row>
    <row r="109" spans="1:37" ht="15.75" thickBot="1" x14ac:dyDescent="0.3">
      <c r="A109" s="67" t="s">
        <v>131</v>
      </c>
      <c r="B109" s="66">
        <v>56</v>
      </c>
      <c r="C109" s="66">
        <v>69.2</v>
      </c>
      <c r="D109" s="66">
        <v>62.7</v>
      </c>
      <c r="E109" s="66">
        <v>72</v>
      </c>
      <c r="F109" s="66">
        <v>68.099999999999994</v>
      </c>
      <c r="G109" s="66">
        <v>79.099999999999994</v>
      </c>
      <c r="H109" s="66">
        <v>75.3</v>
      </c>
      <c r="I109" s="66">
        <v>41.1</v>
      </c>
      <c r="J109" s="66">
        <v>39.9</v>
      </c>
      <c r="K109" s="66">
        <v>36.200000000000003</v>
      </c>
      <c r="L109" s="66">
        <v>57</v>
      </c>
      <c r="M109" s="66">
        <v>68</v>
      </c>
      <c r="N109" s="66">
        <v>77.8</v>
      </c>
      <c r="O109" s="66">
        <v>77.3</v>
      </c>
      <c r="P109" s="66">
        <v>72.099999999999994</v>
      </c>
      <c r="Q109" s="66">
        <v>71.5</v>
      </c>
      <c r="R109" s="66">
        <v>76.099999999999994</v>
      </c>
      <c r="S109" s="66">
        <v>72.7</v>
      </c>
      <c r="T109" s="66">
        <v>70.099999999999994</v>
      </c>
      <c r="U109" s="66">
        <v>57</v>
      </c>
      <c r="V109" s="66">
        <v>59</v>
      </c>
      <c r="W109" s="66">
        <v>52</v>
      </c>
      <c r="X109" s="66">
        <v>43.3</v>
      </c>
      <c r="Y109" s="66">
        <v>22.7</v>
      </c>
      <c r="Z109" s="66">
        <v>25.7</v>
      </c>
      <c r="AA109" s="66">
        <v>28.4</v>
      </c>
      <c r="AB109" s="66">
        <v>35.1</v>
      </c>
      <c r="AC109" s="66">
        <v>37.799999999999997</v>
      </c>
      <c r="AD109" s="66">
        <v>41.5</v>
      </c>
      <c r="AE109" s="66">
        <v>66.400000000000006</v>
      </c>
      <c r="AF109" s="66">
        <v>66.400000000000006</v>
      </c>
      <c r="AG109" s="48"/>
      <c r="AH109" s="20">
        <f t="shared" si="22"/>
        <v>79.099999999999994</v>
      </c>
      <c r="AI109" s="65">
        <f t="shared" si="23"/>
        <v>0.20833333333333301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4">SUM(B111:B215)</f>
        <v>0</v>
      </c>
      <c r="C216" s="36">
        <f t="shared" si="24"/>
        <v>0</v>
      </c>
      <c r="D216" s="36">
        <f t="shared" si="24"/>
        <v>0</v>
      </c>
      <c r="E216" s="36">
        <f t="shared" si="24"/>
        <v>0</v>
      </c>
      <c r="F216" s="36">
        <f t="shared" si="24"/>
        <v>0</v>
      </c>
      <c r="G216" s="36">
        <f t="shared" si="24"/>
        <v>0</v>
      </c>
      <c r="H216" s="36">
        <f t="shared" si="24"/>
        <v>0</v>
      </c>
      <c r="I216" s="36">
        <f t="shared" si="24"/>
        <v>0</v>
      </c>
      <c r="J216" s="36">
        <f t="shared" si="24"/>
        <v>0</v>
      </c>
      <c r="K216" s="36">
        <f t="shared" si="24"/>
        <v>0</v>
      </c>
      <c r="L216" s="36">
        <f t="shared" si="24"/>
        <v>0</v>
      </c>
      <c r="M216" s="36">
        <f t="shared" si="24"/>
        <v>0</v>
      </c>
      <c r="N216" s="36">
        <f t="shared" si="24"/>
        <v>0</v>
      </c>
      <c r="O216" s="36">
        <f t="shared" si="24"/>
        <v>0</v>
      </c>
      <c r="P216" s="36">
        <f t="shared" si="24"/>
        <v>0</v>
      </c>
      <c r="Q216" s="36">
        <f t="shared" si="24"/>
        <v>0</v>
      </c>
      <c r="R216" s="36">
        <f t="shared" si="24"/>
        <v>0</v>
      </c>
      <c r="S216" s="36">
        <f t="shared" si="24"/>
        <v>0</v>
      </c>
      <c r="T216" s="36">
        <f t="shared" si="24"/>
        <v>0</v>
      </c>
      <c r="U216" s="36">
        <f t="shared" si="24"/>
        <v>0</v>
      </c>
      <c r="V216" s="36">
        <f t="shared" si="24"/>
        <v>0</v>
      </c>
      <c r="W216" s="36">
        <f t="shared" si="24"/>
        <v>0</v>
      </c>
      <c r="X216" s="36">
        <f t="shared" si="24"/>
        <v>0</v>
      </c>
      <c r="Y216" s="36">
        <f t="shared" si="24"/>
        <v>0</v>
      </c>
      <c r="Z216" s="36">
        <f t="shared" si="24"/>
        <v>0</v>
      </c>
      <c r="AA216" s="36">
        <f t="shared" si="24"/>
        <v>0</v>
      </c>
      <c r="AB216" s="36">
        <f t="shared" si="24"/>
        <v>0</v>
      </c>
      <c r="AC216" s="36">
        <f t="shared" si="24"/>
        <v>0</v>
      </c>
      <c r="AD216" s="36">
        <f t="shared" si="24"/>
        <v>0</v>
      </c>
      <c r="AE216" s="36">
        <f t="shared" si="24"/>
        <v>0</v>
      </c>
      <c r="AF216" s="51">
        <f t="shared" si="24"/>
        <v>0</v>
      </c>
      <c r="AG216" s="50">
        <f t="shared" si="24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5">AF218</f>
        <v>0</v>
      </c>
      <c r="C218" s="46">
        <v>0.3</v>
      </c>
      <c r="D218" s="46">
        <f t="shared" ref="D218:P223" si="26">C218</f>
        <v>0.3</v>
      </c>
      <c r="E218" s="46">
        <f t="shared" si="26"/>
        <v>0.3</v>
      </c>
      <c r="F218" s="46">
        <f t="shared" si="26"/>
        <v>0.3</v>
      </c>
      <c r="G218" s="46">
        <f t="shared" si="26"/>
        <v>0.3</v>
      </c>
      <c r="H218" s="46">
        <f t="shared" si="26"/>
        <v>0.3</v>
      </c>
      <c r="I218" s="46">
        <f t="shared" si="26"/>
        <v>0.3</v>
      </c>
      <c r="J218" s="46">
        <f t="shared" si="26"/>
        <v>0.3</v>
      </c>
      <c r="K218" s="46">
        <f t="shared" si="26"/>
        <v>0.3</v>
      </c>
      <c r="L218" s="46">
        <f t="shared" si="26"/>
        <v>0.3</v>
      </c>
      <c r="M218" s="46">
        <f t="shared" si="26"/>
        <v>0.3</v>
      </c>
      <c r="N218" s="46">
        <f t="shared" si="26"/>
        <v>0.3</v>
      </c>
      <c r="O218" s="46">
        <f t="shared" si="26"/>
        <v>0.3</v>
      </c>
      <c r="P218" s="46">
        <f t="shared" si="26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5"/>
        <v>0</v>
      </c>
      <c r="C219" s="43">
        <v>0.4</v>
      </c>
      <c r="D219" s="43">
        <f t="shared" si="26"/>
        <v>0.4</v>
      </c>
      <c r="E219" s="43">
        <f t="shared" si="26"/>
        <v>0.4</v>
      </c>
      <c r="F219" s="43">
        <f t="shared" si="26"/>
        <v>0.4</v>
      </c>
      <c r="G219" s="43">
        <f t="shared" si="26"/>
        <v>0.4</v>
      </c>
      <c r="H219" s="43">
        <f t="shared" si="26"/>
        <v>0.4</v>
      </c>
      <c r="I219" s="43">
        <f t="shared" si="26"/>
        <v>0.4</v>
      </c>
      <c r="J219" s="43">
        <f t="shared" si="26"/>
        <v>0.4</v>
      </c>
      <c r="K219" s="43">
        <f t="shared" si="26"/>
        <v>0.4</v>
      </c>
      <c r="L219" s="43">
        <f t="shared" si="26"/>
        <v>0.4</v>
      </c>
      <c r="M219" s="43">
        <f t="shared" si="26"/>
        <v>0.4</v>
      </c>
      <c r="N219" s="43">
        <f t="shared" si="26"/>
        <v>0.4</v>
      </c>
      <c r="O219" s="43">
        <f t="shared" si="26"/>
        <v>0.4</v>
      </c>
      <c r="P219" s="43">
        <f t="shared" si="26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5"/>
        <v>0</v>
      </c>
      <c r="C220" s="43">
        <v>1.5</v>
      </c>
      <c r="D220" s="43">
        <f t="shared" si="26"/>
        <v>1.5</v>
      </c>
      <c r="E220" s="43">
        <f t="shared" si="26"/>
        <v>1.5</v>
      </c>
      <c r="F220" s="43">
        <f t="shared" si="26"/>
        <v>1.5</v>
      </c>
      <c r="G220" s="43">
        <f t="shared" si="26"/>
        <v>1.5</v>
      </c>
      <c r="H220" s="43">
        <f t="shared" si="26"/>
        <v>1.5</v>
      </c>
      <c r="I220" s="43">
        <f t="shared" si="26"/>
        <v>1.5</v>
      </c>
      <c r="J220" s="43">
        <f t="shared" si="26"/>
        <v>1.5</v>
      </c>
      <c r="K220" s="43">
        <f t="shared" si="26"/>
        <v>1.5</v>
      </c>
      <c r="L220" s="43">
        <f t="shared" si="26"/>
        <v>1.5</v>
      </c>
      <c r="M220" s="43">
        <f t="shared" si="26"/>
        <v>1.5</v>
      </c>
      <c r="N220" s="43">
        <f t="shared" si="26"/>
        <v>1.5</v>
      </c>
      <c r="O220" s="43">
        <f t="shared" si="26"/>
        <v>1.5</v>
      </c>
      <c r="P220" s="43">
        <f t="shared" si="26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5"/>
        <v>0</v>
      </c>
      <c r="C221" s="43">
        <v>0.3</v>
      </c>
      <c r="D221" s="43">
        <f t="shared" si="26"/>
        <v>0.3</v>
      </c>
      <c r="E221" s="43">
        <f t="shared" si="26"/>
        <v>0.3</v>
      </c>
      <c r="F221" s="43">
        <f t="shared" si="26"/>
        <v>0.3</v>
      </c>
      <c r="G221" s="43">
        <f t="shared" si="26"/>
        <v>0.3</v>
      </c>
      <c r="H221" s="43">
        <f t="shared" si="26"/>
        <v>0.3</v>
      </c>
      <c r="I221" s="43">
        <f t="shared" si="26"/>
        <v>0.3</v>
      </c>
      <c r="J221" s="43">
        <f t="shared" si="26"/>
        <v>0.3</v>
      </c>
      <c r="K221" s="43">
        <f t="shared" si="26"/>
        <v>0.3</v>
      </c>
      <c r="L221" s="43">
        <f t="shared" si="26"/>
        <v>0.3</v>
      </c>
      <c r="M221" s="43">
        <f t="shared" si="26"/>
        <v>0.3</v>
      </c>
      <c r="N221" s="43">
        <f t="shared" si="26"/>
        <v>0.3</v>
      </c>
      <c r="O221" s="43">
        <f t="shared" si="26"/>
        <v>0.3</v>
      </c>
      <c r="P221" s="43">
        <f t="shared" si="26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5"/>
        <v>0</v>
      </c>
      <c r="C222" s="43">
        <v>0.4</v>
      </c>
      <c r="D222" s="43">
        <f t="shared" si="26"/>
        <v>0.4</v>
      </c>
      <c r="E222" s="43">
        <f t="shared" si="26"/>
        <v>0.4</v>
      </c>
      <c r="F222" s="43">
        <f t="shared" si="26"/>
        <v>0.4</v>
      </c>
      <c r="G222" s="43">
        <f t="shared" si="26"/>
        <v>0.4</v>
      </c>
      <c r="H222" s="43">
        <f t="shared" si="26"/>
        <v>0.4</v>
      </c>
      <c r="I222" s="43">
        <f t="shared" si="26"/>
        <v>0.4</v>
      </c>
      <c r="J222" s="43">
        <f t="shared" si="26"/>
        <v>0.4</v>
      </c>
      <c r="K222" s="43">
        <f t="shared" si="26"/>
        <v>0.4</v>
      </c>
      <c r="L222" s="43">
        <f t="shared" si="26"/>
        <v>0.4</v>
      </c>
      <c r="M222" s="43">
        <f t="shared" si="26"/>
        <v>0.4</v>
      </c>
      <c r="N222" s="43">
        <f t="shared" si="26"/>
        <v>0.4</v>
      </c>
      <c r="O222" s="43">
        <f t="shared" si="26"/>
        <v>0.4</v>
      </c>
      <c r="P222" s="43">
        <f t="shared" si="26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5"/>
        <v>0</v>
      </c>
      <c r="C223" s="39">
        <v>0.64</v>
      </c>
      <c r="D223" s="39">
        <f t="shared" si="26"/>
        <v>0.64</v>
      </c>
      <c r="E223" s="39">
        <f t="shared" si="26"/>
        <v>0.64</v>
      </c>
      <c r="F223" s="39">
        <f t="shared" si="26"/>
        <v>0.64</v>
      </c>
      <c r="G223" s="39">
        <f t="shared" si="26"/>
        <v>0.64</v>
      </c>
      <c r="H223" s="39">
        <f t="shared" si="26"/>
        <v>0.64</v>
      </c>
      <c r="I223" s="39">
        <f t="shared" si="26"/>
        <v>0.64</v>
      </c>
      <c r="J223" s="39">
        <f t="shared" si="26"/>
        <v>0.64</v>
      </c>
      <c r="K223" s="39">
        <f t="shared" si="26"/>
        <v>0.64</v>
      </c>
      <c r="L223" s="39">
        <f t="shared" si="26"/>
        <v>0.64</v>
      </c>
      <c r="M223" s="39">
        <f t="shared" si="26"/>
        <v>0.64</v>
      </c>
      <c r="N223" s="39">
        <f t="shared" si="26"/>
        <v>0.64</v>
      </c>
      <c r="O223" s="39">
        <f t="shared" si="26"/>
        <v>0.64</v>
      </c>
      <c r="P223" s="39">
        <f t="shared" si="26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7">SUM(B218:B223)</f>
        <v>0</v>
      </c>
      <c r="C224" s="36">
        <f t="shared" si="27"/>
        <v>3.54</v>
      </c>
      <c r="D224" s="36">
        <f t="shared" si="27"/>
        <v>3.54</v>
      </c>
      <c r="E224" s="36">
        <f t="shared" si="27"/>
        <v>3.54</v>
      </c>
      <c r="F224" s="36">
        <f t="shared" si="27"/>
        <v>3.54</v>
      </c>
      <c r="G224" s="36">
        <f t="shared" si="27"/>
        <v>3.54</v>
      </c>
      <c r="H224" s="36">
        <f t="shared" si="27"/>
        <v>3.54</v>
      </c>
      <c r="I224" s="36">
        <f t="shared" si="27"/>
        <v>3.54</v>
      </c>
      <c r="J224" s="36">
        <f t="shared" si="27"/>
        <v>3.54</v>
      </c>
      <c r="K224" s="36">
        <f t="shared" si="27"/>
        <v>3.54</v>
      </c>
      <c r="L224" s="36">
        <f t="shared" si="27"/>
        <v>3.54</v>
      </c>
      <c r="M224" s="36">
        <f t="shared" si="27"/>
        <v>3.54</v>
      </c>
      <c r="N224" s="36">
        <f t="shared" si="27"/>
        <v>3.54</v>
      </c>
      <c r="O224" s="36">
        <f t="shared" si="27"/>
        <v>3.54</v>
      </c>
      <c r="P224" s="36">
        <f t="shared" si="27"/>
        <v>3.54</v>
      </c>
      <c r="Q224" s="36">
        <f t="shared" si="27"/>
        <v>0</v>
      </c>
      <c r="R224" s="36">
        <f t="shared" si="27"/>
        <v>0</v>
      </c>
      <c r="S224" s="36">
        <f t="shared" si="27"/>
        <v>0</v>
      </c>
      <c r="T224" s="36">
        <f t="shared" si="27"/>
        <v>0</v>
      </c>
      <c r="U224" s="36">
        <f t="shared" si="27"/>
        <v>0</v>
      </c>
      <c r="V224" s="36">
        <f t="shared" si="27"/>
        <v>0</v>
      </c>
      <c r="W224" s="36">
        <f t="shared" si="27"/>
        <v>0</v>
      </c>
      <c r="X224" s="36">
        <f t="shared" si="27"/>
        <v>0</v>
      </c>
      <c r="Y224" s="36">
        <f t="shared" si="27"/>
        <v>0</v>
      </c>
      <c r="Z224" s="36">
        <f t="shared" si="27"/>
        <v>0</v>
      </c>
      <c r="AA224" s="36">
        <f t="shared" si="27"/>
        <v>0</v>
      </c>
      <c r="AB224" s="36">
        <f t="shared" si="27"/>
        <v>0</v>
      </c>
      <c r="AC224" s="36">
        <f t="shared" si="27"/>
        <v>0</v>
      </c>
      <c r="AD224" s="36">
        <f t="shared" si="27"/>
        <v>0</v>
      </c>
      <c r="AE224" s="36">
        <f t="shared" si="27"/>
        <v>0</v>
      </c>
      <c r="AF224" s="36">
        <f t="shared" si="27"/>
        <v>0</v>
      </c>
      <c r="AG224" s="35">
        <f t="shared" si="27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1754.94</v>
      </c>
      <c r="C233" s="16">
        <f>INDEX(G9:N9,1,MATCH(MAX(G81:N81),G81:N81,0))</f>
        <v>0.33333333333333331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8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2079/06/8)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2079/06/8)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8">B81</f>
        <v>1714.64</v>
      </c>
      <c r="U238" s="9">
        <f t="shared" si="28"/>
        <v>1710.14</v>
      </c>
      <c r="V238" s="9">
        <f t="shared" si="28"/>
        <v>1643.7400000000002</v>
      </c>
      <c r="W238" s="9">
        <f t="shared" si="28"/>
        <v>1642.0400000000002</v>
      </c>
      <c r="X238" s="9">
        <f t="shared" si="28"/>
        <v>1615.14</v>
      </c>
      <c r="Y238" s="9">
        <f t="shared" si="28"/>
        <v>1658.7400000000002</v>
      </c>
      <c r="Z238" s="9">
        <f t="shared" si="28"/>
        <v>1680.44</v>
      </c>
      <c r="AA238" s="9">
        <f t="shared" si="28"/>
        <v>1611.0400000000002</v>
      </c>
      <c r="AB238" s="9">
        <f t="shared" si="28"/>
        <v>1640.8400000000001</v>
      </c>
      <c r="AC238" s="9">
        <f t="shared" si="28"/>
        <v>1668.94</v>
      </c>
      <c r="AD238" s="9">
        <f t="shared" si="28"/>
        <v>1699.64</v>
      </c>
      <c r="AE238" s="9">
        <f t="shared" si="28"/>
        <v>1754.94</v>
      </c>
      <c r="AF238" s="9">
        <f t="shared" si="28"/>
        <v>1729.14</v>
      </c>
      <c r="AG238" s="9">
        <f t="shared" si="28"/>
        <v>1743.44</v>
      </c>
      <c r="AH238" s="9">
        <f t="shared" si="28"/>
        <v>1736.3400000000001</v>
      </c>
      <c r="AI238" s="9">
        <f t="shared" si="28"/>
        <v>1736.54</v>
      </c>
      <c r="AJ238" s="9">
        <f t="shared" si="28"/>
        <v>1716.8400000000001</v>
      </c>
      <c r="AK238" s="9">
        <f t="shared" si="28"/>
        <v>1756.0400000000002</v>
      </c>
      <c r="AL238" s="9">
        <f t="shared" si="28"/>
        <v>1757.0400000000002</v>
      </c>
      <c r="AM238" s="9">
        <f t="shared" si="28"/>
        <v>1757.0400000000002</v>
      </c>
      <c r="AN238" s="9">
        <f t="shared" si="28"/>
        <v>1756.44</v>
      </c>
      <c r="AO238" s="9">
        <f t="shared" si="28"/>
        <v>1744.24</v>
      </c>
      <c r="AP238" s="9">
        <f t="shared" si="28"/>
        <v>1754.1399999999999</v>
      </c>
      <c r="AQ238" s="9">
        <f t="shared" si="28"/>
        <v>1754.1399999999999</v>
      </c>
      <c r="AR238" s="9">
        <f t="shared" si="28"/>
        <v>1803.5400000000002</v>
      </c>
      <c r="AS238" s="9">
        <f t="shared" si="28"/>
        <v>1780.04</v>
      </c>
      <c r="AT238" s="9">
        <f t="shared" si="28"/>
        <v>1766.24</v>
      </c>
      <c r="AU238" s="9">
        <f t="shared" si="28"/>
        <v>1761.44</v>
      </c>
      <c r="AV238" s="9">
        <f t="shared" si="28"/>
        <v>1737.2399999999998</v>
      </c>
      <c r="AW238" s="9">
        <f t="shared" si="28"/>
        <v>1716.9399999999998</v>
      </c>
      <c r="AX238" s="9">
        <f t="shared" si="28"/>
        <v>1698.9399999999998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9">C223</f>
        <v>0.64</v>
      </c>
      <c r="C259" s="4">
        <f t="shared" si="29"/>
        <v>0.64</v>
      </c>
      <c r="D259" s="4">
        <f t="shared" si="29"/>
        <v>0.64</v>
      </c>
      <c r="E259" s="4">
        <f t="shared" si="29"/>
        <v>0.64</v>
      </c>
      <c r="F259" s="4">
        <f t="shared" si="29"/>
        <v>0.64</v>
      </c>
      <c r="G259" s="4">
        <f t="shared" si="29"/>
        <v>0.64</v>
      </c>
      <c r="H259" s="4">
        <f t="shared" si="29"/>
        <v>0.64</v>
      </c>
      <c r="I259" s="4">
        <f t="shared" si="29"/>
        <v>0.64</v>
      </c>
      <c r="J259" s="4">
        <f t="shared" si="29"/>
        <v>0.64</v>
      </c>
      <c r="K259" s="4">
        <f t="shared" si="29"/>
        <v>0.64</v>
      </c>
      <c r="L259" s="4">
        <f t="shared" si="29"/>
        <v>0.64</v>
      </c>
      <c r="M259" s="4">
        <f t="shared" si="29"/>
        <v>0.64</v>
      </c>
      <c r="N259" s="4">
        <f t="shared" si="29"/>
        <v>0.64</v>
      </c>
      <c r="O259" s="4">
        <f t="shared" si="29"/>
        <v>0.64</v>
      </c>
      <c r="P259" s="4">
        <f t="shared" si="29"/>
        <v>0</v>
      </c>
      <c r="Q259" s="4">
        <f t="shared" si="29"/>
        <v>0</v>
      </c>
      <c r="R259" s="4">
        <f t="shared" si="29"/>
        <v>0</v>
      </c>
      <c r="S259" s="4">
        <f t="shared" si="29"/>
        <v>0</v>
      </c>
      <c r="T259" s="4">
        <f t="shared" si="29"/>
        <v>0</v>
      </c>
      <c r="U259" s="4">
        <f t="shared" si="29"/>
        <v>0</v>
      </c>
      <c r="V259" s="4">
        <f t="shared" si="29"/>
        <v>0</v>
      </c>
      <c r="W259" s="4">
        <f t="shared" si="29"/>
        <v>0</v>
      </c>
      <c r="X259" s="4">
        <f t="shared" si="29"/>
        <v>0</v>
      </c>
      <c r="Y259" s="4">
        <f t="shared" si="29"/>
        <v>0</v>
      </c>
      <c r="Z259" s="4">
        <f t="shared" si="29"/>
        <v>0</v>
      </c>
      <c r="AA259" s="4">
        <f t="shared" si="29"/>
        <v>0</v>
      </c>
      <c r="AB259" s="4">
        <f t="shared" si="29"/>
        <v>0</v>
      </c>
      <c r="AC259" s="4">
        <f t="shared" si="29"/>
        <v>0</v>
      </c>
      <c r="AD259" s="4">
        <f t="shared" si="29"/>
        <v>0</v>
      </c>
      <c r="AE259" s="4">
        <f t="shared" si="29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30">IF(B227&lt;100,"",B227-520)</f>
        <v/>
      </c>
      <c r="C260" s="3" t="str">
        <f t="shared" si="30"/>
        <v/>
      </c>
      <c r="D260" s="3" t="str">
        <f t="shared" si="30"/>
        <v/>
      </c>
      <c r="E260" s="3" t="str">
        <f t="shared" si="30"/>
        <v/>
      </c>
      <c r="F260" s="3" t="str">
        <f t="shared" si="30"/>
        <v/>
      </c>
      <c r="G260" s="3" t="str">
        <f t="shared" si="30"/>
        <v/>
      </c>
      <c r="H260" s="3" t="str">
        <f t="shared" si="30"/>
        <v/>
      </c>
      <c r="I260" s="3" t="str">
        <f t="shared" si="30"/>
        <v/>
      </c>
      <c r="J260" s="3" t="str">
        <f t="shared" si="30"/>
        <v/>
      </c>
      <c r="K260" s="3" t="str">
        <f t="shared" si="30"/>
        <v/>
      </c>
      <c r="L260" s="3" t="str">
        <f t="shared" si="30"/>
        <v/>
      </c>
      <c r="M260" s="3" t="str">
        <f t="shared" si="30"/>
        <v/>
      </c>
      <c r="N260" s="3" t="str">
        <f t="shared" si="30"/>
        <v/>
      </c>
      <c r="O260" s="3" t="str">
        <f t="shared" si="30"/>
        <v/>
      </c>
      <c r="P260" s="3" t="str">
        <f t="shared" si="30"/>
        <v/>
      </c>
      <c r="Q260" s="3" t="str">
        <f t="shared" si="30"/>
        <v/>
      </c>
      <c r="R260" s="3" t="str">
        <f t="shared" si="30"/>
        <v/>
      </c>
      <c r="S260" s="3" t="str">
        <f t="shared" si="30"/>
        <v/>
      </c>
      <c r="T260" s="3" t="str">
        <f t="shared" si="30"/>
        <v/>
      </c>
      <c r="U260" s="3" t="str">
        <f t="shared" si="30"/>
        <v/>
      </c>
      <c r="V260" s="3" t="str">
        <f t="shared" si="30"/>
        <v/>
      </c>
      <c r="W260" s="3" t="str">
        <f t="shared" si="30"/>
        <v/>
      </c>
      <c r="X260" s="3" t="str">
        <f t="shared" si="30"/>
        <v/>
      </c>
      <c r="Y260" s="3" t="str">
        <f t="shared" si="30"/>
        <v/>
      </c>
      <c r="Z260" s="3" t="str">
        <f t="shared" si="30"/>
        <v/>
      </c>
      <c r="AA260" s="3" t="str">
        <f t="shared" si="30"/>
        <v/>
      </c>
      <c r="AB260" s="3" t="str">
        <f t="shared" si="30"/>
        <v/>
      </c>
      <c r="AC260" s="3" t="str">
        <f t="shared" si="30"/>
        <v/>
      </c>
      <c r="AD260" s="3" t="str">
        <f t="shared" si="30"/>
        <v/>
      </c>
      <c r="AE260" s="3" t="str">
        <f t="shared" si="30"/>
        <v/>
      </c>
      <c r="AF260" s="3" t="str">
        <f t="shared" si="30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31">IF(B228&lt;100,"",B228-620)</f>
        <v/>
      </c>
      <c r="C261" s="3" t="str">
        <f t="shared" si="31"/>
        <v/>
      </c>
      <c r="D261" s="3" t="str">
        <f t="shared" si="31"/>
        <v/>
      </c>
      <c r="E261" s="3" t="str">
        <f t="shared" si="31"/>
        <v/>
      </c>
      <c r="F261" s="3" t="str">
        <f t="shared" si="31"/>
        <v/>
      </c>
      <c r="G261" s="3" t="str">
        <f t="shared" si="31"/>
        <v/>
      </c>
      <c r="H261" s="3" t="str">
        <f t="shared" si="31"/>
        <v/>
      </c>
      <c r="I261" s="3" t="str">
        <f t="shared" si="31"/>
        <v/>
      </c>
      <c r="J261" s="3" t="str">
        <f t="shared" si="31"/>
        <v/>
      </c>
      <c r="K261" s="3" t="str">
        <f t="shared" si="31"/>
        <v/>
      </c>
      <c r="L261" s="3" t="str">
        <f t="shared" si="31"/>
        <v/>
      </c>
      <c r="M261" s="3" t="str">
        <f t="shared" si="31"/>
        <v/>
      </c>
      <c r="N261" s="3" t="str">
        <f t="shared" si="31"/>
        <v/>
      </c>
      <c r="O261" s="3" t="str">
        <f t="shared" si="31"/>
        <v/>
      </c>
      <c r="P261" s="3" t="str">
        <f t="shared" si="31"/>
        <v/>
      </c>
      <c r="Q261" s="3" t="str">
        <f t="shared" si="31"/>
        <v/>
      </c>
      <c r="R261" s="3" t="str">
        <f t="shared" si="31"/>
        <v/>
      </c>
      <c r="S261" s="3" t="str">
        <f t="shared" si="31"/>
        <v/>
      </c>
      <c r="T261" s="3" t="str">
        <f t="shared" si="31"/>
        <v/>
      </c>
      <c r="U261" s="3" t="str">
        <f t="shared" si="31"/>
        <v/>
      </c>
      <c r="V261" s="3" t="str">
        <f t="shared" si="31"/>
        <v/>
      </c>
      <c r="W261" s="3" t="str">
        <f t="shared" si="31"/>
        <v/>
      </c>
      <c r="X261" s="3" t="str">
        <f t="shared" si="31"/>
        <v/>
      </c>
      <c r="Y261" s="3" t="str">
        <f t="shared" si="31"/>
        <v/>
      </c>
      <c r="Z261" s="3" t="str">
        <f t="shared" si="31"/>
        <v/>
      </c>
      <c r="AA261" s="3" t="str">
        <f t="shared" si="31"/>
        <v/>
      </c>
      <c r="AB261" s="3" t="str">
        <f t="shared" si="31"/>
        <v/>
      </c>
      <c r="AC261" s="3" t="str">
        <f t="shared" si="31"/>
        <v/>
      </c>
      <c r="AD261" s="3" t="str">
        <f t="shared" si="31"/>
        <v/>
      </c>
      <c r="AE261" s="3" t="str">
        <f t="shared" si="31"/>
        <v/>
      </c>
      <c r="AF261" s="3" t="str">
        <f t="shared" si="31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2">IF(B229&lt;100,"",B229-330)</f>
        <v/>
      </c>
      <c r="C262" s="3" t="str">
        <f t="shared" si="32"/>
        <v/>
      </c>
      <c r="D262" s="3" t="str">
        <f t="shared" si="32"/>
        <v/>
      </c>
      <c r="E262" s="3" t="str">
        <f t="shared" si="32"/>
        <v/>
      </c>
      <c r="F262" s="3" t="str">
        <f t="shared" si="32"/>
        <v/>
      </c>
      <c r="G262" s="3" t="str">
        <f t="shared" si="32"/>
        <v/>
      </c>
      <c r="H262" s="3" t="str">
        <f t="shared" si="32"/>
        <v/>
      </c>
      <c r="I262" s="3" t="str">
        <f t="shared" si="32"/>
        <v/>
      </c>
      <c r="J262" s="3" t="str">
        <f t="shared" si="32"/>
        <v/>
      </c>
      <c r="K262" s="3" t="str">
        <f t="shared" si="32"/>
        <v/>
      </c>
      <c r="L262" s="3" t="str">
        <f t="shared" si="32"/>
        <v/>
      </c>
      <c r="M262" s="3" t="str">
        <f t="shared" si="32"/>
        <v/>
      </c>
      <c r="N262" s="3" t="str">
        <f t="shared" si="32"/>
        <v/>
      </c>
      <c r="O262" s="3" t="str">
        <f t="shared" si="32"/>
        <v/>
      </c>
      <c r="P262" s="3" t="str">
        <f t="shared" si="32"/>
        <v/>
      </c>
      <c r="Q262" s="3" t="str">
        <f t="shared" si="32"/>
        <v/>
      </c>
      <c r="R262" s="3" t="str">
        <f t="shared" si="32"/>
        <v/>
      </c>
      <c r="S262" s="3" t="str">
        <f t="shared" si="32"/>
        <v/>
      </c>
      <c r="T262" s="3" t="str">
        <f t="shared" si="32"/>
        <v/>
      </c>
      <c r="U262" s="3" t="str">
        <f t="shared" si="32"/>
        <v/>
      </c>
      <c r="V262" s="3" t="str">
        <f t="shared" si="32"/>
        <v/>
      </c>
      <c r="W262" s="3" t="str">
        <f t="shared" si="32"/>
        <v/>
      </c>
      <c r="X262" s="3" t="str">
        <f t="shared" si="32"/>
        <v/>
      </c>
      <c r="Y262" s="3" t="str">
        <f t="shared" si="32"/>
        <v/>
      </c>
      <c r="Z262" s="3" t="str">
        <f t="shared" si="32"/>
        <v/>
      </c>
      <c r="AA262" s="3" t="str">
        <f t="shared" si="32"/>
        <v/>
      </c>
      <c r="AB262" s="3" t="str">
        <f t="shared" si="32"/>
        <v/>
      </c>
      <c r="AC262" s="3" t="str">
        <f t="shared" si="32"/>
        <v/>
      </c>
      <c r="AD262" s="3" t="str">
        <f t="shared" si="32"/>
        <v/>
      </c>
      <c r="AE262" s="3" t="str">
        <f t="shared" si="32"/>
        <v/>
      </c>
      <c r="AF262" s="3" t="str">
        <f t="shared" si="32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3">IF(B230&lt;100,"",B230-1500)</f>
        <v/>
      </c>
      <c r="C263" s="3" t="str">
        <f t="shared" si="33"/>
        <v/>
      </c>
      <c r="D263" s="3" t="str">
        <f t="shared" si="33"/>
        <v/>
      </c>
      <c r="E263" s="3" t="str">
        <f t="shared" si="33"/>
        <v/>
      </c>
      <c r="F263" s="3" t="str">
        <f t="shared" si="33"/>
        <v/>
      </c>
      <c r="G263" s="3" t="str">
        <f t="shared" si="33"/>
        <v/>
      </c>
      <c r="H263" s="3" t="str">
        <f t="shared" si="33"/>
        <v/>
      </c>
      <c r="I263" s="3" t="str">
        <f t="shared" si="33"/>
        <v/>
      </c>
      <c r="J263" s="3" t="str">
        <f t="shared" si="33"/>
        <v/>
      </c>
      <c r="K263" s="3" t="str">
        <f t="shared" si="33"/>
        <v/>
      </c>
      <c r="L263" s="3" t="str">
        <f t="shared" si="33"/>
        <v/>
      </c>
      <c r="M263" s="3" t="str">
        <f t="shared" si="33"/>
        <v/>
      </c>
      <c r="N263" s="3" t="str">
        <f t="shared" si="33"/>
        <v/>
      </c>
      <c r="O263" s="3" t="str">
        <f t="shared" si="33"/>
        <v/>
      </c>
      <c r="P263" s="3" t="str">
        <f t="shared" si="33"/>
        <v/>
      </c>
      <c r="Q263" s="3" t="str">
        <f t="shared" si="33"/>
        <v/>
      </c>
      <c r="R263" s="3" t="str">
        <f t="shared" si="33"/>
        <v/>
      </c>
      <c r="S263" s="3" t="str">
        <f t="shared" si="33"/>
        <v/>
      </c>
      <c r="T263" s="3" t="str">
        <f t="shared" si="33"/>
        <v/>
      </c>
      <c r="U263" s="3" t="str">
        <f t="shared" si="33"/>
        <v/>
      </c>
      <c r="V263" s="3" t="str">
        <f t="shared" si="33"/>
        <v/>
      </c>
      <c r="W263" s="3" t="str">
        <f t="shared" si="33"/>
        <v/>
      </c>
      <c r="X263" s="3" t="str">
        <f t="shared" si="33"/>
        <v/>
      </c>
      <c r="Y263" s="3" t="str">
        <f t="shared" si="33"/>
        <v/>
      </c>
      <c r="Z263" s="3" t="str">
        <f t="shared" si="33"/>
        <v/>
      </c>
      <c r="AA263" s="3" t="str">
        <f t="shared" si="33"/>
        <v/>
      </c>
      <c r="AB263" s="3" t="str">
        <f t="shared" si="33"/>
        <v/>
      </c>
      <c r="AC263" s="3" t="str">
        <f t="shared" si="33"/>
        <v/>
      </c>
      <c r="AD263" s="3" t="str">
        <f t="shared" si="33"/>
        <v/>
      </c>
      <c r="AE263" s="3" t="str">
        <f t="shared" si="33"/>
        <v/>
      </c>
      <c r="AF263" s="3" t="str">
        <f t="shared" si="33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">
    <cfRule type="expression" dxfId="7483" priority="239">
      <formula>B$9&gt;=20/24</formula>
    </cfRule>
    <cfRule type="expression" dxfId="7482" priority="240">
      <formula>AND(B$9&gt;=14/24,B$9&lt;20/24)</formula>
    </cfRule>
    <cfRule type="expression" dxfId="7481" priority="241">
      <formula>AND(B$9&gt;=8/24,B$9&lt;14/24)</formula>
    </cfRule>
    <cfRule type="expression" dxfId="7480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7479" priority="234">
      <formula>S$9&gt;=20/24</formula>
    </cfRule>
    <cfRule type="expression" dxfId="7478" priority="235">
      <formula>AND(S$9&gt;=14/24,S$9&lt;20/24)</formula>
    </cfRule>
    <cfRule type="expression" dxfId="7477" priority="236">
      <formula>AND(S$9&gt;=8/24,S$9&lt;14/24)</formula>
    </cfRule>
    <cfRule type="expression" dxfId="7476" priority="237">
      <formula>S$9&lt;8/24</formula>
    </cfRule>
  </conditionalFormatting>
  <conditionalFormatting sqref="AG57 S39:AF39 B12:AF15 B17:AF17 B37:AF37">
    <cfRule type="expression" dxfId="7475" priority="233">
      <formula>B12&gt;$AG12</formula>
    </cfRule>
  </conditionalFormatting>
  <conditionalFormatting sqref="A91:A101 A11:A14 A51:A78 A87:A89 A194:A224 A17:A29 A38:A49 A110:A181 A34:A35 A83:A85 A80:A81 A103:A105 A31:A32">
    <cfRule type="expression" dxfId="7474" priority="232">
      <formula>$AH11=0</formula>
    </cfRule>
  </conditionalFormatting>
  <conditionalFormatting sqref="A106">
    <cfRule type="expression" dxfId="7473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7472" priority="229">
      <formula>$AH37=0</formula>
    </cfRule>
  </conditionalFormatting>
  <conditionalFormatting sqref="A90">
    <cfRule type="expression" dxfId="7471" priority="228">
      <formula>$AH90=0</formula>
    </cfRule>
  </conditionalFormatting>
  <conditionalFormatting sqref="A15">
    <cfRule type="expression" dxfId="7470" priority="227">
      <formula>$AH15=0</formula>
    </cfRule>
  </conditionalFormatting>
  <conditionalFormatting sqref="A188:A193">
    <cfRule type="expression" dxfId="7469" priority="226">
      <formula>$AH188=0</formula>
    </cfRule>
  </conditionalFormatting>
  <conditionalFormatting sqref="A182:A187">
    <cfRule type="expression" dxfId="7468" priority="225">
      <formula>$AH182=0</formula>
    </cfRule>
  </conditionalFormatting>
  <conditionalFormatting sqref="A50">
    <cfRule type="expression" dxfId="7467" priority="224">
      <formula>$AH50=0</formula>
    </cfRule>
  </conditionalFormatting>
  <conditionalFormatting sqref="A86">
    <cfRule type="expression" dxfId="7466" priority="223">
      <formula>$AH86=0</formula>
    </cfRule>
  </conditionalFormatting>
  <conditionalFormatting sqref="C91:AF91">
    <cfRule type="expression" dxfId="7465" priority="219">
      <formula>C$9&gt;=20/24</formula>
    </cfRule>
    <cfRule type="expression" dxfId="7464" priority="220">
      <formula>AND(C$9&gt;=14/24,C$9&lt;20/24)</formula>
    </cfRule>
    <cfRule type="expression" dxfId="7463" priority="221">
      <formula>AND(C$9&gt;=8/24,C$9&lt;14/24)</formula>
    </cfRule>
    <cfRule type="expression" dxfId="7462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461" priority="245">
      <formula>C$9&gt;=20/24</formula>
    </cfRule>
    <cfRule type="expression" dxfId="7460" priority="246">
      <formula>AND(C$9&gt;=14/24,C$9&lt;20/24)</formula>
    </cfRule>
    <cfRule type="expression" dxfId="7459" priority="247">
      <formula>AND(C$9&gt;=8/24,C$9&lt;14/24)</formula>
    </cfRule>
    <cfRule type="expression" dxfId="7458" priority="248">
      <formula>C$9&lt;8/24</formula>
    </cfRule>
  </conditionalFormatting>
  <conditionalFormatting sqref="A225">
    <cfRule type="expression" dxfId="7457" priority="249">
      <formula>$AH225=0</formula>
    </cfRule>
  </conditionalFormatting>
  <conditionalFormatting sqref="AG237">
    <cfRule type="expression" dxfId="7456" priority="250">
      <formula>B$9&gt;=20/24</formula>
    </cfRule>
    <cfRule type="expression" dxfId="7455" priority="251">
      <formula>AND(B$9&gt;=14/24,B$9&lt;20/24)</formula>
    </cfRule>
    <cfRule type="expression" dxfId="7454" priority="252">
      <formula>AND(B$9&gt;=8/24,B$9&lt;14/24)</formula>
    </cfRule>
    <cfRule type="expression" dxfId="7453" priority="253">
      <formula>B$9&lt;8/24</formula>
    </cfRule>
  </conditionalFormatting>
  <conditionalFormatting sqref="S8">
    <cfRule type="expression" dxfId="7452" priority="214">
      <formula>U$9&gt;=20/24</formula>
    </cfRule>
    <cfRule type="expression" dxfId="7451" priority="215">
      <formula>AND(U$9&gt;=14/24,U$9&lt;20/24)</formula>
    </cfRule>
    <cfRule type="expression" dxfId="7450" priority="216">
      <formula>AND(U$9&gt;=8/24,U$9&lt;14/24)</formula>
    </cfRule>
    <cfRule type="expression" dxfId="7449" priority="217">
      <formula>U$9&lt;8/24</formula>
    </cfRule>
  </conditionalFormatting>
  <conditionalFormatting sqref="AB8">
    <cfRule type="expression" dxfId="7448" priority="210">
      <formula>AD$9&gt;=20/24</formula>
    </cfRule>
    <cfRule type="expression" dxfId="7447" priority="211">
      <formula>AND(AD$9&gt;=14/24,AD$9&lt;20/24)</formula>
    </cfRule>
    <cfRule type="expression" dxfId="7446" priority="212">
      <formula>AND(AD$9&gt;=8/24,AD$9&lt;14/24)</formula>
    </cfRule>
    <cfRule type="expression" dxfId="7445" priority="213">
      <formula>AD$9&lt;8/24</formula>
    </cfRule>
  </conditionalFormatting>
  <conditionalFormatting sqref="AH237:AX237">
    <cfRule type="expression" dxfId="7444" priority="254">
      <formula>AG$9&gt;=20/24</formula>
    </cfRule>
    <cfRule type="expression" dxfId="7443" priority="255">
      <formula>AND(AG$9&gt;=14/24,AG$9&lt;20/24)</formula>
    </cfRule>
    <cfRule type="expression" dxfId="7442" priority="256">
      <formula>AND(AG$9&gt;=8/24,AG$9&lt;14/24)</formula>
    </cfRule>
    <cfRule type="expression" dxfId="7441" priority="257">
      <formula>AG$9&lt;8/24</formula>
    </cfRule>
  </conditionalFormatting>
  <conditionalFormatting sqref="T237">
    <cfRule type="expression" dxfId="7440" priority="258">
      <formula>AX$9&gt;=20/24</formula>
    </cfRule>
    <cfRule type="expression" dxfId="7439" priority="259">
      <formula>AND(AX$9&gt;=14/24,AX$9&lt;20/24)</formula>
    </cfRule>
    <cfRule type="expression" dxfId="7438" priority="260">
      <formula>AND(AX$9&gt;=8/24,AX$9&lt;14/24)</formula>
    </cfRule>
    <cfRule type="expression" dxfId="7437" priority="261">
      <formula>AX$9&lt;8/24</formula>
    </cfRule>
  </conditionalFormatting>
  <conditionalFormatting sqref="A107:A108">
    <cfRule type="expression" dxfId="7436" priority="209">
      <formula>$AH107=0</formula>
    </cfRule>
  </conditionalFormatting>
  <conditionalFormatting sqref="E46:M47 E63:AF63 S46:AF47">
    <cfRule type="expression" dxfId="7435" priority="205">
      <formula>E$9&gt;=20/24</formula>
    </cfRule>
    <cfRule type="expression" dxfId="7434" priority="206">
      <formula>AND(E$9&gt;=14/24,E$9&lt;20/24)</formula>
    </cfRule>
    <cfRule type="expression" dxfId="7433" priority="207">
      <formula>AND(E$9&gt;=8/24,E$9&lt;14/24)</formula>
    </cfRule>
    <cfRule type="expression" dxfId="7432" priority="208">
      <formula>E$9&lt;8/24</formula>
    </cfRule>
  </conditionalFormatting>
  <conditionalFormatting sqref="E45:M45 S45:AF45">
    <cfRule type="expression" dxfId="7431" priority="201">
      <formula>E$9&gt;=20/24</formula>
    </cfRule>
    <cfRule type="expression" dxfId="7430" priority="202">
      <formula>AND(E$9&gt;=14/24,E$9&lt;20/24)</formula>
    </cfRule>
    <cfRule type="expression" dxfId="7429" priority="203">
      <formula>AND(E$9&gt;=8/24,E$9&lt;14/24)</formula>
    </cfRule>
    <cfRule type="expression" dxfId="7428" priority="204">
      <formula>E$9&lt;8/24</formula>
    </cfRule>
  </conditionalFormatting>
  <conditionalFormatting sqref="E45:M47 S45:AF47">
    <cfRule type="expression" dxfId="7427" priority="200">
      <formula>E45&gt;$AG45</formula>
    </cfRule>
  </conditionalFormatting>
  <conditionalFormatting sqref="C88:AF88 C75:AF78 L39:R39 E64:AA65 U66:V67 V68:V73 W66:AA73 S59:AF61 AB64:AF73 T38:AF38 D92:AF98">
    <cfRule type="expression" dxfId="7426" priority="196">
      <formula>C$9&gt;=20/24</formula>
    </cfRule>
    <cfRule type="expression" dxfId="7425" priority="197">
      <formula>AND(C$9&gt;=14/24,C$9&lt;20/24)</formula>
    </cfRule>
    <cfRule type="expression" dxfId="7424" priority="198">
      <formula>AND(C$9&gt;=8/24,C$9&lt;14/24)</formula>
    </cfRule>
    <cfRule type="expression" dxfId="7423" priority="199">
      <formula>C$9&lt;8/24</formula>
    </cfRule>
  </conditionalFormatting>
  <conditionalFormatting sqref="AE48:AF49 C57:AF57 L39:R39 E48:M48 S59:AF61 T38:AF38">
    <cfRule type="expression" dxfId="7422" priority="191">
      <formula>C38&gt;$AG38</formula>
    </cfRule>
  </conditionalFormatting>
  <conditionalFormatting sqref="V48:AA48 W49:AA49 AB48:AD49 AE50:AF56">
    <cfRule type="expression" dxfId="7421" priority="174">
      <formula>V$9&gt;=20/24</formula>
    </cfRule>
    <cfRule type="expression" dxfId="7420" priority="175">
      <formula>AND(V$9&gt;=14/24,V$9&lt;20/24)</formula>
    </cfRule>
    <cfRule type="expression" dxfId="7419" priority="176">
      <formula>AND(V$9&gt;=8/24,V$9&lt;14/24)</formula>
    </cfRule>
    <cfRule type="expression" dxfId="7418" priority="177">
      <formula>V$9&lt;8/24</formula>
    </cfRule>
  </conditionalFormatting>
  <conditionalFormatting sqref="V48:AA48 W49:AA49 AB48:AD49 AE50:AF56">
    <cfRule type="expression" dxfId="7417" priority="173">
      <formula>V48&gt;$AG48</formula>
    </cfRule>
  </conditionalFormatting>
  <conditionalFormatting sqref="N45:R48 S48 T48:U49 V49">
    <cfRule type="expression" dxfId="7416" priority="169">
      <formula>N$9&gt;=20/24</formula>
    </cfRule>
    <cfRule type="expression" dxfId="7415" priority="170">
      <formula>AND(N$9&gt;=14/24,N$9&lt;20/24)</formula>
    </cfRule>
    <cfRule type="expression" dxfId="7414" priority="171">
      <formula>AND(N$9&gt;=8/24,N$9&lt;14/24)</formula>
    </cfRule>
    <cfRule type="expression" dxfId="7413" priority="172">
      <formula>N$9&lt;8/24</formula>
    </cfRule>
  </conditionalFormatting>
  <conditionalFormatting sqref="N45:R48 S48 T48:U49 V49">
    <cfRule type="expression" dxfId="7412" priority="168">
      <formula>N45&gt;$AG45</formula>
    </cfRule>
  </conditionalFormatting>
  <conditionalFormatting sqref="B101 B80:AF80 B89:AF89 B103:B108 B11:AF11">
    <cfRule type="expression" dxfId="7411" priority="141">
      <formula>B$9&gt;=20/24</formula>
    </cfRule>
    <cfRule type="expression" dxfId="7410" priority="142">
      <formula>AND(B$9&gt;=14/24,B$9&lt;20/24)</formula>
    </cfRule>
    <cfRule type="expression" dxfId="7409" priority="143">
      <formula>AND(B$9&gt;=8/24,B$9&lt;14/24)</formula>
    </cfRule>
    <cfRule type="expression" dxfId="7408" priority="144">
      <formula>B$9&lt;8/24</formula>
    </cfRule>
  </conditionalFormatting>
  <conditionalFormatting sqref="B39:K39">
    <cfRule type="expression" dxfId="7407" priority="137">
      <formula>B$9&gt;=20/24</formula>
    </cfRule>
    <cfRule type="expression" dxfId="7406" priority="138">
      <formula>AND(B$9&gt;=14/24,B$9&lt;20/24)</formula>
    </cfRule>
    <cfRule type="expression" dxfId="7405" priority="139">
      <formula>AND(B$9&gt;=8/24,B$9&lt;14/24)</formula>
    </cfRule>
    <cfRule type="expression" dxfId="7404" priority="140">
      <formula>B$9&lt;8/24</formula>
    </cfRule>
  </conditionalFormatting>
  <conditionalFormatting sqref="B39:K39 B11:AF11">
    <cfRule type="expression" dxfId="7403" priority="136">
      <formula>B11&gt;$AG11</formula>
    </cfRule>
  </conditionalFormatting>
  <conditionalFormatting sqref="B91">
    <cfRule type="expression" dxfId="7402" priority="132">
      <formula>B$9&gt;=20/24</formula>
    </cfRule>
    <cfRule type="expression" dxfId="7401" priority="133">
      <formula>AND(B$9&gt;=14/24,B$9&lt;20/24)</formula>
    </cfRule>
    <cfRule type="expression" dxfId="7400" priority="134">
      <formula>AND(B$9&gt;=8/24,B$9&lt;14/24)</formula>
    </cfRule>
    <cfRule type="expression" dxfId="7399" priority="135">
      <formula>B$9&lt;8/24</formula>
    </cfRule>
  </conditionalFormatting>
  <conditionalFormatting sqref="B38:S38 B46:D47 B63:D63">
    <cfRule type="expression" dxfId="7398" priority="128">
      <formula>B$9&gt;=20/24</formula>
    </cfRule>
    <cfRule type="expression" dxfId="7397" priority="129">
      <formula>AND(B$9&gt;=14/24,B$9&lt;20/24)</formula>
    </cfRule>
    <cfRule type="expression" dxfId="7396" priority="130">
      <formula>AND(B$9&gt;=8/24,B$9&lt;14/24)</formula>
    </cfRule>
    <cfRule type="expression" dxfId="7395" priority="131">
      <formula>B$9&lt;8/24</formula>
    </cfRule>
  </conditionalFormatting>
  <conditionalFormatting sqref="B45:D45">
    <cfRule type="expression" dxfId="7394" priority="124">
      <formula>B$9&gt;=20/24</formula>
    </cfRule>
    <cfRule type="expression" dxfId="7393" priority="125">
      <formula>AND(B$9&gt;=14/24,B$9&lt;20/24)</formula>
    </cfRule>
    <cfRule type="expression" dxfId="7392" priority="126">
      <formula>AND(B$9&gt;=8/24,B$9&lt;14/24)</formula>
    </cfRule>
    <cfRule type="expression" dxfId="7391" priority="127">
      <formula>B$9&lt;8/24</formula>
    </cfRule>
  </conditionalFormatting>
  <conditionalFormatting sqref="B38:S38 B45:D47">
    <cfRule type="expression" dxfId="7390" priority="123">
      <formula>B38&gt;$AG38</formula>
    </cfRule>
  </conditionalFormatting>
  <conditionalFormatting sqref="B59:B62 B75:B79 B81:AF81 B88 C62:AG62 C79:AG79 B90:AF90 B92:C98 B64:D67 E66:G67 B68:G73 C59:R61 H66:T73 U68:U73 B12:AF14 B17:AF17 B25:AF27 B29:AF29 B19:AF23 B31:AF34">
    <cfRule type="expression" dxfId="7389" priority="119">
      <formula>B$9&gt;=20/24</formula>
    </cfRule>
    <cfRule type="expression" dxfId="7388" priority="120">
      <formula>AND(B$9&gt;=14/24,B$9&lt;20/24)</formula>
    </cfRule>
    <cfRule type="expression" dxfId="7387" priority="121">
      <formula>AND(B$9&gt;=8/24,B$9&lt;14/24)</formula>
    </cfRule>
    <cfRule type="expression" dxfId="7386" priority="122">
      <formula>B$9&lt;8/24</formula>
    </cfRule>
  </conditionalFormatting>
  <conditionalFormatting sqref="B35:AF35">
    <cfRule type="expression" dxfId="7385" priority="115">
      <formula>B$9&gt;=20/24</formula>
    </cfRule>
    <cfRule type="expression" dxfId="7384" priority="116">
      <formula>AND(B$9&gt;=14/24,B$9&lt;20/24)</formula>
    </cfRule>
    <cfRule type="expression" dxfId="7383" priority="117">
      <formula>AND(B$9&gt;=8/24,B$9&lt;14/24)</formula>
    </cfRule>
    <cfRule type="expression" dxfId="7382" priority="118">
      <formula>B$9&lt;8/24</formula>
    </cfRule>
  </conditionalFormatting>
  <conditionalFormatting sqref="B57:B62 B40:AG40 C58:AG58 C62:AG62 B48:D49 C59:R61 E49:S49 B25:AF29 B19:AF23 B31:AF35">
    <cfRule type="expression" dxfId="7381" priority="114">
      <formula>B19&gt;$AG19</formula>
    </cfRule>
  </conditionalFormatting>
  <conditionalFormatting sqref="B37:AF37">
    <cfRule type="expression" dxfId="7380" priority="110">
      <formula>B$9&gt;=20/24</formula>
    </cfRule>
    <cfRule type="expression" dxfId="7379" priority="111">
      <formula>AND(B$9&gt;=14/24,B$9&lt;20/24)</formula>
    </cfRule>
    <cfRule type="expression" dxfId="7378" priority="112">
      <formula>AND(B$9&gt;=8/24,B$9&lt;14/24)</formula>
    </cfRule>
    <cfRule type="expression" dxfId="7377" priority="113">
      <formula>B$9&lt;8/24</formula>
    </cfRule>
  </conditionalFormatting>
  <conditionalFormatting sqref="B15:AF15">
    <cfRule type="expression" dxfId="7376" priority="106">
      <formula>B$9&gt;=20/24</formula>
    </cfRule>
    <cfRule type="expression" dxfId="7375" priority="107">
      <formula>AND(B$9&gt;=14/24,B$9&lt;20/24)</formula>
    </cfRule>
    <cfRule type="expression" dxfId="7374" priority="108">
      <formula>AND(B$9&gt;=8/24,B$9&lt;14/24)</formula>
    </cfRule>
    <cfRule type="expression" dxfId="7373" priority="109">
      <formula>B$9&lt;8/24</formula>
    </cfRule>
  </conditionalFormatting>
  <conditionalFormatting sqref="B36:AF36">
    <cfRule type="expression" dxfId="7372" priority="102">
      <formula>B$9&gt;=20/24</formula>
    </cfRule>
    <cfRule type="expression" dxfId="7371" priority="103">
      <formula>AND(B$9&gt;=14/24,B$9&lt;20/24)</formula>
    </cfRule>
    <cfRule type="expression" dxfId="7370" priority="104">
      <formula>AND(B$9&gt;=8/24,B$9&lt;14/24)</formula>
    </cfRule>
    <cfRule type="expression" dxfId="7369" priority="105">
      <formula>B$9&lt;8/24</formula>
    </cfRule>
  </conditionalFormatting>
  <conditionalFormatting sqref="B36:AF36">
    <cfRule type="expression" dxfId="7368" priority="101">
      <formula>B36&gt;$AG36</formula>
    </cfRule>
  </conditionalFormatting>
  <conditionalFormatting sqref="B50:AD56">
    <cfRule type="expression" dxfId="7367" priority="97">
      <formula>B$9&gt;=20/24</formula>
    </cfRule>
    <cfRule type="expression" dxfId="7366" priority="98">
      <formula>AND(B$9&gt;=14/24,B$9&lt;20/24)</formula>
    </cfRule>
    <cfRule type="expression" dxfId="7365" priority="99">
      <formula>AND(B$9&gt;=8/24,B$9&lt;14/24)</formula>
    </cfRule>
    <cfRule type="expression" dxfId="7364" priority="100">
      <formula>B$9&lt;8/24</formula>
    </cfRule>
  </conditionalFormatting>
  <conditionalFormatting sqref="B50:AD56">
    <cfRule type="expression" dxfId="7363" priority="96">
      <formula>B50&gt;$AG50</formula>
    </cfRule>
  </conditionalFormatting>
  <conditionalFormatting sqref="B28:AF28">
    <cfRule type="expression" dxfId="7362" priority="92">
      <formula>B$9&gt;=20/24</formula>
    </cfRule>
    <cfRule type="expression" dxfId="7361" priority="93">
      <formula>AND(B$9&gt;=14/24,B$9&lt;20/24)</formula>
    </cfRule>
    <cfRule type="expression" dxfId="7360" priority="94">
      <formula>AND(B$9&gt;=8/24,B$9&lt;14/24)</formula>
    </cfRule>
    <cfRule type="expression" dxfId="7359" priority="95">
      <formula>B$9&lt;8/24</formula>
    </cfRule>
  </conditionalFormatting>
  <conditionalFormatting sqref="B18:AF18 B24:AF24">
    <cfRule type="expression" dxfId="7358" priority="88">
      <formula>B$9&gt;=20/24</formula>
    </cfRule>
    <cfRule type="expression" dxfId="7357" priority="89">
      <formula>AND(B$9&gt;=14/24,B$9&lt;20/24)</formula>
    </cfRule>
    <cfRule type="expression" dxfId="7356" priority="90">
      <formula>AND(B$9&gt;=8/24,B$9&lt;14/24)</formula>
    </cfRule>
    <cfRule type="expression" dxfId="7355" priority="91">
      <formula>B$9&lt;8/24</formula>
    </cfRule>
  </conditionalFormatting>
  <conditionalFormatting sqref="B18:AF18 B24:AF24">
    <cfRule type="expression" dxfId="7354" priority="87">
      <formula>B18&gt;$AG18</formula>
    </cfRule>
  </conditionalFormatting>
  <conditionalFormatting sqref="A36">
    <cfRule type="expression" dxfId="7353" priority="86">
      <formula>$AH36=0</formula>
    </cfRule>
  </conditionalFormatting>
  <conditionalFormatting sqref="B74:AF74">
    <cfRule type="expression" dxfId="7352" priority="82">
      <formula>B$9&gt;=20/24</formula>
    </cfRule>
    <cfRule type="expression" dxfId="7351" priority="83">
      <formula>AND(B$9&gt;=14/24,B$9&lt;20/24)</formula>
    </cfRule>
    <cfRule type="expression" dxfId="7350" priority="84">
      <formula>AND(B$9&gt;=8/24,B$9&lt;14/24)</formula>
    </cfRule>
    <cfRule type="expression" dxfId="7349" priority="85">
      <formula>B$9&lt;8/24</formula>
    </cfRule>
  </conditionalFormatting>
  <conditionalFormatting sqref="B83:AF87">
    <cfRule type="expression" dxfId="7348" priority="78">
      <formula>B$9&gt;=20/24</formula>
    </cfRule>
    <cfRule type="expression" dxfId="7347" priority="79">
      <formula>AND(B$9&gt;=14/24,B$9&lt;20/24)</formula>
    </cfRule>
    <cfRule type="expression" dxfId="7346" priority="80">
      <formula>AND(B$9&gt;=8/24,B$9&lt;14/24)</formula>
    </cfRule>
    <cfRule type="expression" dxfId="7345" priority="81">
      <formula>B$9&lt;8/24</formula>
    </cfRule>
  </conditionalFormatting>
  <conditionalFormatting sqref="AL37 AL7:AL15 AL34 AL17:AL29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T41:AF43">
    <cfRule type="expression" dxfId="7344" priority="74">
      <formula>T$9&gt;=20/24</formula>
    </cfRule>
    <cfRule type="expression" dxfId="7343" priority="75">
      <formula>AND(T$9&gt;=14/24,T$9&lt;20/24)</formula>
    </cfRule>
    <cfRule type="expression" dxfId="7342" priority="76">
      <formula>AND(T$9&gt;=8/24,T$9&lt;14/24)</formula>
    </cfRule>
    <cfRule type="expression" dxfId="7341" priority="77">
      <formula>T$9&lt;8/24</formula>
    </cfRule>
  </conditionalFormatting>
  <conditionalFormatting sqref="T41:AF43">
    <cfRule type="expression" dxfId="7340" priority="73">
      <formula>T41&gt;$AG41</formula>
    </cfRule>
  </conditionalFormatting>
  <conditionalFormatting sqref="B41:B44 C44:AG44 C41:S43">
    <cfRule type="expression" dxfId="7339" priority="69">
      <formula>B$9&gt;=20/24</formula>
    </cfRule>
    <cfRule type="expression" dxfId="7338" priority="70">
      <formula>AND(B$9&gt;=14/24,B$9&lt;20/24)</formula>
    </cfRule>
    <cfRule type="expression" dxfId="7337" priority="71">
      <formula>AND(B$9&gt;=8/24,B$9&lt;14/24)</formula>
    </cfRule>
    <cfRule type="expression" dxfId="7336" priority="72">
      <formula>B$9&lt;8/24</formula>
    </cfRule>
  </conditionalFormatting>
  <conditionalFormatting sqref="B41:B44 C44:AG44 C41:S43">
    <cfRule type="expression" dxfId="7335" priority="68">
      <formula>B41&gt;$AG41</formula>
    </cfRule>
  </conditionalFormatting>
  <conditionalFormatting sqref="C99:AF99">
    <cfRule type="expression" dxfId="7334" priority="64">
      <formula>C$9&gt;=20/24</formula>
    </cfRule>
    <cfRule type="expression" dxfId="7333" priority="65">
      <formula>AND(C$9&gt;=14/24,C$9&lt;20/24)</formula>
    </cfRule>
    <cfRule type="expression" dxfId="7332" priority="66">
      <formula>AND(C$9&gt;=8/24,C$9&lt;14/24)</formula>
    </cfRule>
    <cfRule type="expression" dxfId="7331" priority="67">
      <formula>C$9&lt;8/24</formula>
    </cfRule>
  </conditionalFormatting>
  <conditionalFormatting sqref="B99">
    <cfRule type="expression" dxfId="7330" priority="60">
      <formula>B$9&gt;=20/24</formula>
    </cfRule>
    <cfRule type="expression" dxfId="7329" priority="61">
      <formula>AND(B$9&gt;=14/24,B$9&lt;20/24)</formula>
    </cfRule>
    <cfRule type="expression" dxfId="7328" priority="62">
      <formula>AND(B$9&gt;=8/24,B$9&lt;14/24)</formula>
    </cfRule>
    <cfRule type="expression" dxfId="7327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7326" priority="54">
      <formula>$AH33=0</formula>
    </cfRule>
  </conditionalFormatting>
  <conditionalFormatting sqref="A82">
    <cfRule type="expression" dxfId="7325" priority="52">
      <formula>$AH82=0</formula>
    </cfRule>
  </conditionalFormatting>
  <conditionalFormatting sqref="A79">
    <cfRule type="expression" dxfId="7324" priority="53">
      <formula>$AH79=0</formula>
    </cfRule>
  </conditionalFormatting>
  <conditionalFormatting sqref="A109">
    <cfRule type="expression" dxfId="7323" priority="43">
      <formula>$AH109=0</formula>
    </cfRule>
  </conditionalFormatting>
  <conditionalFormatting sqref="C102:AF102">
    <cfRule type="expression" dxfId="7322" priority="39">
      <formula>C$9&gt;=20/24</formula>
    </cfRule>
    <cfRule type="expression" dxfId="7321" priority="40">
      <formula>AND(C$9&gt;=14/24,C$9&lt;20/24)</formula>
    </cfRule>
    <cfRule type="expression" dxfId="7320" priority="41">
      <formula>AND(C$9&gt;=8/24,C$9&lt;14/24)</formula>
    </cfRule>
    <cfRule type="expression" dxfId="7319" priority="42">
      <formula>C$9&lt;8/24</formula>
    </cfRule>
  </conditionalFormatting>
  <conditionalFormatting sqref="A102">
    <cfRule type="expression" dxfId="7318" priority="38">
      <formula>$AH102=0</formula>
    </cfRule>
  </conditionalFormatting>
  <conditionalFormatting sqref="B102">
    <cfRule type="expression" dxfId="7317" priority="34">
      <formula>B$9&gt;=20/24</formula>
    </cfRule>
    <cfRule type="expression" dxfId="7316" priority="35">
      <formula>AND(B$9&gt;=14/24,B$9&lt;20/24)</formula>
    </cfRule>
    <cfRule type="expression" dxfId="7315" priority="36">
      <formula>AND(B$9&gt;=8/24,B$9&lt;14/24)</formula>
    </cfRule>
    <cfRule type="expression" dxfId="7314" priority="37">
      <formula>B$9&lt;8/24</formula>
    </cfRule>
  </conditionalFormatting>
  <conditionalFormatting sqref="B16:AF16">
    <cfRule type="expression" dxfId="7313" priority="27">
      <formula>B16&gt;$AG16</formula>
    </cfRule>
  </conditionalFormatting>
  <conditionalFormatting sqref="A16">
    <cfRule type="expression" dxfId="7312" priority="26">
      <formula>$AH16=0</formula>
    </cfRule>
  </conditionalFormatting>
  <conditionalFormatting sqref="B16:AF16">
    <cfRule type="expression" dxfId="7311" priority="18">
      <formula>B$9&gt;=20/24</formula>
    </cfRule>
    <cfRule type="expression" dxfId="7310" priority="19">
      <formula>AND(B$9&gt;=14/24,B$9&lt;20/24)</formula>
    </cfRule>
    <cfRule type="expression" dxfId="7309" priority="20">
      <formula>AND(B$9&gt;=8/24,B$9&lt;14/24)</formula>
    </cfRule>
    <cfRule type="expression" dxfId="7308" priority="21">
      <formula>B$9&lt;8/24</formula>
    </cfRule>
  </conditionalFormatting>
  <conditionalFormatting sqref="AL16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7307" priority="16">
      <formula>$AH30=0</formula>
    </cfRule>
  </conditionalFormatting>
  <conditionalFormatting sqref="B30:AF30">
    <cfRule type="expression" dxfId="7306" priority="2">
      <formula>B$9&gt;=20/24</formula>
    </cfRule>
    <cfRule type="expression" dxfId="7305" priority="3">
      <formula>AND(B$9&gt;=14/24,B$9&lt;20/24)</formula>
    </cfRule>
    <cfRule type="expression" dxfId="7304" priority="4">
      <formula>AND(B$9&gt;=8/24,B$9&lt;14/24)</formula>
    </cfRule>
    <cfRule type="expression" dxfId="7303" priority="5">
      <formula>B$9&lt;8/24</formula>
    </cfRule>
  </conditionalFormatting>
  <conditionalFormatting sqref="B30:AF30">
    <cfRule type="expression" dxfId="7302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6E381A7C-9503-4F50-AE2D-2B187673E72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18C27147-83F4-43AD-8B08-C0F91D8FD6C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B7F150D9-90FC-4831-B7C5-34AC893B7E6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AA28852B-5EA1-4B47-8F24-9B229F37B7C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88A073BB-53C4-4F31-AE6F-EE2860DF695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A008890E-B116-4DBE-8E17-1D67D1BBD74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483E985F-0BEA-488F-9D8F-07F71ABA701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E46FC6D5-8473-48D6-A4DD-6EDF96B9892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B7BD65AB-C02C-4FC5-8FE4-170779B2679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CC554E92-6E80-45B7-BD70-109BCEEC7ED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300AF218-0CAB-40B8-B23C-2A23B2D70C1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080C1D5B-3934-40E5-B987-BBC39D750DA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J270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A86" sqref="A86:XFD8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2079/06/9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0</v>
      </c>
      <c r="X5" s="148">
        <f t="shared" si="0"/>
        <v>0</v>
      </c>
      <c r="Y5" s="148">
        <f t="shared" si="0"/>
        <v>0</v>
      </c>
      <c r="Z5" s="148">
        <f t="shared" si="0"/>
        <v>0</v>
      </c>
      <c r="AA5" s="148">
        <f t="shared" si="0"/>
        <v>34.6</v>
      </c>
      <c r="AB5" s="148">
        <f t="shared" si="0"/>
        <v>41.7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B74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1811MW at 9:00hr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Load=1621</v>
      </c>
      <c r="B7" s="137">
        <f t="shared" ref="B7:AF7" si="1">B81</f>
        <v>1701.84</v>
      </c>
      <c r="C7" s="137">
        <f t="shared" si="1"/>
        <v>1716.94</v>
      </c>
      <c r="D7" s="137">
        <f t="shared" si="1"/>
        <v>1678.04</v>
      </c>
      <c r="E7" s="137">
        <f t="shared" si="1"/>
        <v>1620.84</v>
      </c>
      <c r="F7" s="137">
        <f t="shared" si="1"/>
        <v>1620.84</v>
      </c>
      <c r="G7" s="137">
        <f t="shared" si="1"/>
        <v>1620.84</v>
      </c>
      <c r="H7" s="137">
        <f t="shared" si="1"/>
        <v>1620.84</v>
      </c>
      <c r="I7" s="137">
        <f t="shared" si="1"/>
        <v>1620.84</v>
      </c>
      <c r="J7" s="137">
        <f t="shared" si="1"/>
        <v>1635.84</v>
      </c>
      <c r="K7" s="137">
        <f t="shared" si="1"/>
        <v>1697.6399999999999</v>
      </c>
      <c r="L7" s="137">
        <f t="shared" si="1"/>
        <v>1744.6399999999999</v>
      </c>
      <c r="M7" s="137">
        <f t="shared" si="1"/>
        <v>1782.24</v>
      </c>
      <c r="N7" s="137">
        <f t="shared" si="1"/>
        <v>1811.44</v>
      </c>
      <c r="O7" s="137">
        <f t="shared" si="1"/>
        <v>1754.8400000000001</v>
      </c>
      <c r="P7" s="137">
        <f t="shared" si="1"/>
        <v>1772.24</v>
      </c>
      <c r="Q7" s="137">
        <f t="shared" si="1"/>
        <v>1768.34</v>
      </c>
      <c r="R7" s="137">
        <f t="shared" si="1"/>
        <v>1763.94</v>
      </c>
      <c r="S7" s="137">
        <f t="shared" si="1"/>
        <v>1821.19</v>
      </c>
      <c r="T7" s="137">
        <f t="shared" si="1"/>
        <v>1817.94</v>
      </c>
      <c r="U7" s="137">
        <f t="shared" si="1"/>
        <v>1817.94</v>
      </c>
      <c r="V7" s="137">
        <f t="shared" si="1"/>
        <v>1731.94</v>
      </c>
      <c r="W7" s="137">
        <f t="shared" si="1"/>
        <v>1817.94</v>
      </c>
      <c r="X7" s="137">
        <f t="shared" si="1"/>
        <v>1803.74</v>
      </c>
      <c r="Y7" s="137">
        <f t="shared" si="1"/>
        <v>1869.3400000000001</v>
      </c>
      <c r="Z7" s="137">
        <f t="shared" si="1"/>
        <v>1838.74</v>
      </c>
      <c r="AA7" s="137">
        <f t="shared" si="1"/>
        <v>1830.2400000000002</v>
      </c>
      <c r="AB7" s="137">
        <f t="shared" si="1"/>
        <v>1858.54</v>
      </c>
      <c r="AC7" s="137">
        <f t="shared" si="1"/>
        <v>1863.64</v>
      </c>
      <c r="AD7" s="137">
        <f t="shared" si="1"/>
        <v>1818.7400000000002</v>
      </c>
      <c r="AE7" s="137">
        <f t="shared" si="1"/>
        <v>1802.3400000000001</v>
      </c>
      <c r="AF7" s="137">
        <f t="shared" si="1"/>
        <v>1745.34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53.6</v>
      </c>
      <c r="C11" s="105">
        <v>53.6</v>
      </c>
      <c r="D11" s="105">
        <v>53.6</v>
      </c>
      <c r="E11" s="105">
        <v>53.6</v>
      </c>
      <c r="F11" s="105">
        <v>53.6</v>
      </c>
      <c r="G11" s="105">
        <v>53.6</v>
      </c>
      <c r="H11" s="105">
        <v>53.6</v>
      </c>
      <c r="I11" s="105">
        <v>53.6</v>
      </c>
      <c r="J11" s="105">
        <v>53.6</v>
      </c>
      <c r="K11" s="105">
        <v>53.6</v>
      </c>
      <c r="L11" s="105">
        <v>53.6</v>
      </c>
      <c r="M11" s="105">
        <v>53.6</v>
      </c>
      <c r="N11" s="105">
        <v>53.6</v>
      </c>
      <c r="O11" s="105">
        <v>0</v>
      </c>
      <c r="P11" s="105">
        <v>0</v>
      </c>
      <c r="Q11" s="105">
        <v>0</v>
      </c>
      <c r="R11" s="105">
        <v>0</v>
      </c>
      <c r="S11" s="105">
        <v>52.1</v>
      </c>
      <c r="T11" s="105">
        <v>52.1</v>
      </c>
      <c r="U11" s="105">
        <v>52.1</v>
      </c>
      <c r="V11" s="105">
        <v>52.1</v>
      </c>
      <c r="W11" s="105">
        <v>52.1</v>
      </c>
      <c r="X11" s="105">
        <v>52.1</v>
      </c>
      <c r="Y11" s="105">
        <v>52.1</v>
      </c>
      <c r="Z11" s="105">
        <v>52.1</v>
      </c>
      <c r="AA11" s="105">
        <v>52.1</v>
      </c>
      <c r="AB11" s="128">
        <v>54</v>
      </c>
      <c r="AC11" s="128">
        <v>54</v>
      </c>
      <c r="AD11" s="128">
        <v>54</v>
      </c>
      <c r="AE11" s="128">
        <v>54</v>
      </c>
      <c r="AF11" s="128">
        <v>54</v>
      </c>
      <c r="AG11" s="127">
        <v>52.4</v>
      </c>
      <c r="AH11" s="20">
        <f t="shared" ref="AH11:AH76" si="2">MAX(B11:AF11)</f>
        <v>54</v>
      </c>
      <c r="AI11" s="19">
        <f t="shared" ref="AI11:AI76" si="3">MIN(B11:AF11)</f>
        <v>0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50.2</v>
      </c>
      <c r="C12" s="105">
        <v>50.2</v>
      </c>
      <c r="D12" s="105">
        <v>50.2</v>
      </c>
      <c r="E12" s="105">
        <v>50.2</v>
      </c>
      <c r="F12" s="105">
        <v>50.2</v>
      </c>
      <c r="G12" s="105">
        <v>50.2</v>
      </c>
      <c r="H12" s="105">
        <v>50.2</v>
      </c>
      <c r="I12" s="105">
        <v>50.2</v>
      </c>
      <c r="J12" s="105">
        <v>50.2</v>
      </c>
      <c r="K12" s="105">
        <v>50.2</v>
      </c>
      <c r="L12" s="105">
        <v>50.2</v>
      </c>
      <c r="M12" s="105">
        <v>50.2</v>
      </c>
      <c r="N12" s="105">
        <v>50.4</v>
      </c>
      <c r="O12" s="105">
        <v>50.4</v>
      </c>
      <c r="P12" s="105">
        <v>50.4</v>
      </c>
      <c r="Q12" s="105">
        <v>50.4</v>
      </c>
      <c r="R12" s="105">
        <v>50.4</v>
      </c>
      <c r="S12" s="105">
        <v>50.4</v>
      </c>
      <c r="T12" s="105">
        <v>50.4</v>
      </c>
      <c r="U12" s="105">
        <v>50.4</v>
      </c>
      <c r="V12" s="105">
        <v>50.4</v>
      </c>
      <c r="W12" s="105">
        <v>50.4</v>
      </c>
      <c r="X12" s="105">
        <v>50.4</v>
      </c>
      <c r="Y12" s="105">
        <v>50.4</v>
      </c>
      <c r="Z12" s="105">
        <v>50.4</v>
      </c>
      <c r="AA12" s="105">
        <v>50.4</v>
      </c>
      <c r="AB12" s="105">
        <v>50.5</v>
      </c>
      <c r="AC12" s="105">
        <v>50.5</v>
      </c>
      <c r="AD12" s="105">
        <v>50.5</v>
      </c>
      <c r="AE12" s="105">
        <v>50.5</v>
      </c>
      <c r="AF12" s="105">
        <v>50.5</v>
      </c>
      <c r="AG12" s="126">
        <v>50</v>
      </c>
      <c r="AH12" s="20">
        <f t="shared" si="2"/>
        <v>50.5</v>
      </c>
      <c r="AI12" s="19">
        <f t="shared" si="3"/>
        <v>50.2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45.9</v>
      </c>
      <c r="C13" s="105">
        <v>45.9</v>
      </c>
      <c r="D13" s="105">
        <v>45.9</v>
      </c>
      <c r="E13" s="105">
        <v>45.9</v>
      </c>
      <c r="F13" s="105">
        <v>45.9</v>
      </c>
      <c r="G13" s="105">
        <v>45.9</v>
      </c>
      <c r="H13" s="105">
        <v>45.9</v>
      </c>
      <c r="I13" s="105">
        <v>45.9</v>
      </c>
      <c r="J13" s="105">
        <v>45.9</v>
      </c>
      <c r="K13" s="105">
        <v>45.9</v>
      </c>
      <c r="L13" s="105">
        <v>45.9</v>
      </c>
      <c r="M13" s="105">
        <v>46</v>
      </c>
      <c r="N13" s="105">
        <v>46</v>
      </c>
      <c r="O13" s="105">
        <v>46</v>
      </c>
      <c r="P13" s="105">
        <v>46</v>
      </c>
      <c r="Q13" s="105">
        <v>46</v>
      </c>
      <c r="R13" s="105">
        <v>46</v>
      </c>
      <c r="S13" s="105">
        <v>46</v>
      </c>
      <c r="T13" s="105">
        <v>46</v>
      </c>
      <c r="U13" s="105">
        <v>46</v>
      </c>
      <c r="V13" s="105">
        <v>46</v>
      </c>
      <c r="W13" s="105">
        <v>46</v>
      </c>
      <c r="X13" s="105">
        <v>46</v>
      </c>
      <c r="Y13" s="105">
        <v>46</v>
      </c>
      <c r="Z13" s="105">
        <v>46</v>
      </c>
      <c r="AA13" s="105">
        <v>46</v>
      </c>
      <c r="AB13" s="105">
        <v>46</v>
      </c>
      <c r="AC13" s="105">
        <v>46</v>
      </c>
      <c r="AD13" s="105">
        <v>46</v>
      </c>
      <c r="AE13" s="105">
        <v>46</v>
      </c>
      <c r="AF13" s="105">
        <v>46</v>
      </c>
      <c r="AG13" s="126">
        <v>45</v>
      </c>
      <c r="AH13" s="20">
        <f t="shared" si="2"/>
        <v>46</v>
      </c>
      <c r="AI13" s="19">
        <f t="shared" si="3"/>
        <v>45.9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27</v>
      </c>
      <c r="C14" s="105">
        <v>27</v>
      </c>
      <c r="D14" s="105">
        <v>27</v>
      </c>
      <c r="E14" s="105">
        <v>27</v>
      </c>
      <c r="F14" s="105">
        <v>27</v>
      </c>
      <c r="G14" s="105">
        <v>27</v>
      </c>
      <c r="H14" s="105">
        <v>27</v>
      </c>
      <c r="I14" s="105">
        <v>27</v>
      </c>
      <c r="J14" s="105">
        <v>27</v>
      </c>
      <c r="K14" s="105">
        <v>27</v>
      </c>
      <c r="L14" s="105">
        <v>27</v>
      </c>
      <c r="M14" s="105">
        <v>35</v>
      </c>
      <c r="N14" s="105">
        <v>35</v>
      </c>
      <c r="O14" s="105">
        <v>32</v>
      </c>
      <c r="P14" s="105">
        <v>32</v>
      </c>
      <c r="Q14" s="105">
        <v>32</v>
      </c>
      <c r="R14" s="105">
        <v>32</v>
      </c>
      <c r="S14" s="105">
        <v>32</v>
      </c>
      <c r="T14" s="105">
        <v>32</v>
      </c>
      <c r="U14" s="105">
        <v>32</v>
      </c>
      <c r="V14" s="105">
        <v>32</v>
      </c>
      <c r="W14" s="105">
        <v>32</v>
      </c>
      <c r="X14" s="105">
        <v>32</v>
      </c>
      <c r="Y14" s="105">
        <v>40</v>
      </c>
      <c r="Z14" s="105">
        <v>40</v>
      </c>
      <c r="AA14" s="105">
        <v>40</v>
      </c>
      <c r="AB14" s="105">
        <v>40</v>
      </c>
      <c r="AC14" s="105">
        <v>40</v>
      </c>
      <c r="AD14" s="105">
        <v>40</v>
      </c>
      <c r="AE14" s="105">
        <v>30</v>
      </c>
      <c r="AF14" s="105">
        <v>26</v>
      </c>
      <c r="AG14" s="126">
        <v>42</v>
      </c>
      <c r="AH14" s="20">
        <f t="shared" si="2"/>
        <v>40</v>
      </c>
      <c r="AI14" s="19">
        <f t="shared" si="3"/>
        <v>26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15</v>
      </c>
      <c r="M15" s="105">
        <v>14.4</v>
      </c>
      <c r="N15" s="105">
        <v>14.4</v>
      </c>
      <c r="O15" s="105">
        <v>14.4</v>
      </c>
      <c r="P15" s="105">
        <v>28.9</v>
      </c>
      <c r="Q15" s="105">
        <v>25</v>
      </c>
      <c r="R15" s="105">
        <v>20.6</v>
      </c>
      <c r="S15" s="105">
        <v>15.8</v>
      </c>
      <c r="T15" s="105">
        <v>15.8</v>
      </c>
      <c r="U15" s="105">
        <v>15.8</v>
      </c>
      <c r="V15" s="105">
        <v>15.8</v>
      </c>
      <c r="W15" s="105">
        <v>15.8</v>
      </c>
      <c r="X15" s="105">
        <v>15.8</v>
      </c>
      <c r="Y15" s="105">
        <v>25</v>
      </c>
      <c r="Z15" s="105">
        <v>25</v>
      </c>
      <c r="AA15" s="105">
        <v>25</v>
      </c>
      <c r="AB15" s="105">
        <v>30</v>
      </c>
      <c r="AC15" s="105">
        <v>30</v>
      </c>
      <c r="AD15" s="105">
        <v>25</v>
      </c>
      <c r="AE15" s="105">
        <v>20</v>
      </c>
      <c r="AF15" s="105">
        <v>0</v>
      </c>
      <c r="AG15" s="96">
        <v>30</v>
      </c>
      <c r="AH15" s="20">
        <f t="shared" si="2"/>
        <v>30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268</v>
      </c>
      <c r="B16" s="105">
        <v>8</v>
      </c>
      <c r="C16" s="105">
        <v>8</v>
      </c>
      <c r="D16" s="105">
        <v>8</v>
      </c>
      <c r="E16" s="105">
        <v>8</v>
      </c>
      <c r="F16" s="105">
        <v>8</v>
      </c>
      <c r="G16" s="105">
        <v>8</v>
      </c>
      <c r="H16" s="105">
        <v>8</v>
      </c>
      <c r="I16" s="105">
        <v>8</v>
      </c>
      <c r="J16" s="105">
        <v>8</v>
      </c>
      <c r="K16" s="105">
        <v>8</v>
      </c>
      <c r="L16" s="105">
        <v>8</v>
      </c>
      <c r="M16" s="105">
        <v>0</v>
      </c>
      <c r="N16" s="105">
        <v>26.5</v>
      </c>
      <c r="O16" s="105">
        <v>26.5</v>
      </c>
      <c r="P16" s="105">
        <v>27</v>
      </c>
      <c r="Q16" s="105">
        <v>27</v>
      </c>
      <c r="R16" s="105">
        <v>27</v>
      </c>
      <c r="S16" s="105">
        <v>27</v>
      </c>
      <c r="T16" s="105">
        <v>27</v>
      </c>
      <c r="U16" s="105">
        <v>27</v>
      </c>
      <c r="V16" s="105">
        <v>27</v>
      </c>
      <c r="W16" s="105">
        <v>27</v>
      </c>
      <c r="X16" s="105">
        <v>27</v>
      </c>
      <c r="Y16" s="105">
        <v>27</v>
      </c>
      <c r="Z16" s="105">
        <v>27</v>
      </c>
      <c r="AA16" s="105">
        <v>27</v>
      </c>
      <c r="AB16" s="105">
        <v>27</v>
      </c>
      <c r="AC16" s="105">
        <v>27</v>
      </c>
      <c r="AD16" s="105">
        <v>27</v>
      </c>
      <c r="AE16" s="105">
        <v>27</v>
      </c>
      <c r="AF16" s="105">
        <v>17</v>
      </c>
      <c r="AG16" s="96">
        <v>30</v>
      </c>
      <c r="AH16" s="20">
        <f t="shared" si="2"/>
        <v>27</v>
      </c>
      <c r="AI16" s="19">
        <f t="shared" si="3"/>
        <v>0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217</v>
      </c>
      <c r="B17" s="105">
        <v>25.4</v>
      </c>
      <c r="C17" s="105">
        <v>25.4</v>
      </c>
      <c r="D17" s="105">
        <v>25.4</v>
      </c>
      <c r="E17" s="105">
        <v>25.4</v>
      </c>
      <c r="F17" s="105">
        <v>25.4</v>
      </c>
      <c r="G17" s="105">
        <v>25.4</v>
      </c>
      <c r="H17" s="105">
        <v>25.4</v>
      </c>
      <c r="I17" s="105">
        <v>25.4</v>
      </c>
      <c r="J17" s="105">
        <v>25.4</v>
      </c>
      <c r="K17" s="105">
        <v>25.4</v>
      </c>
      <c r="L17" s="105">
        <v>25.4</v>
      </c>
      <c r="M17" s="105">
        <v>26.4</v>
      </c>
      <c r="N17" s="105">
        <v>26.4</v>
      </c>
      <c r="O17" s="105">
        <v>26.4</v>
      </c>
      <c r="P17" s="105">
        <v>26.2</v>
      </c>
      <c r="Q17" s="105">
        <v>26.2</v>
      </c>
      <c r="R17" s="105">
        <v>26.2</v>
      </c>
      <c r="S17" s="105">
        <v>26.2</v>
      </c>
      <c r="T17" s="105">
        <v>26.2</v>
      </c>
      <c r="U17" s="105">
        <v>26.2</v>
      </c>
      <c r="V17" s="105">
        <v>26.2</v>
      </c>
      <c r="W17" s="105">
        <v>26.2</v>
      </c>
      <c r="X17" s="105">
        <v>26.2</v>
      </c>
      <c r="Y17" s="105">
        <v>26.2</v>
      </c>
      <c r="Z17" s="105">
        <v>26.2</v>
      </c>
      <c r="AA17" s="105">
        <v>26.2</v>
      </c>
      <c r="AB17" s="105">
        <v>26.2</v>
      </c>
      <c r="AC17" s="105">
        <v>26.2</v>
      </c>
      <c r="AD17" s="105">
        <v>26.2</v>
      </c>
      <c r="AE17" s="105">
        <v>26.2</v>
      </c>
      <c r="AF17" s="105">
        <v>25</v>
      </c>
      <c r="AG17" s="126">
        <v>25</v>
      </c>
      <c r="AH17" s="20">
        <f t="shared" si="2"/>
        <v>26.4</v>
      </c>
      <c r="AI17" s="19">
        <f t="shared" si="3"/>
        <v>25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216</v>
      </c>
      <c r="B18" s="105">
        <v>20</v>
      </c>
      <c r="C18" s="105">
        <v>20</v>
      </c>
      <c r="D18" s="105">
        <v>20</v>
      </c>
      <c r="E18" s="105">
        <v>20</v>
      </c>
      <c r="F18" s="105">
        <v>20</v>
      </c>
      <c r="G18" s="105">
        <v>20</v>
      </c>
      <c r="H18" s="105">
        <v>20</v>
      </c>
      <c r="I18" s="105">
        <v>20</v>
      </c>
      <c r="J18" s="105">
        <v>20</v>
      </c>
      <c r="K18" s="105">
        <v>20</v>
      </c>
      <c r="L18" s="105">
        <v>20</v>
      </c>
      <c r="M18" s="105">
        <v>25</v>
      </c>
      <c r="N18" s="105">
        <v>25</v>
      </c>
      <c r="O18" s="105">
        <v>25</v>
      </c>
      <c r="P18" s="105">
        <v>25</v>
      </c>
      <c r="Q18" s="105">
        <v>25</v>
      </c>
      <c r="R18" s="105">
        <v>25</v>
      </c>
      <c r="S18" s="105">
        <v>25</v>
      </c>
      <c r="T18" s="105">
        <v>25</v>
      </c>
      <c r="U18" s="105">
        <v>25</v>
      </c>
      <c r="V18" s="105">
        <v>25</v>
      </c>
      <c r="W18" s="105">
        <v>25</v>
      </c>
      <c r="X18" s="105">
        <v>25</v>
      </c>
      <c r="Y18" s="105">
        <v>25</v>
      </c>
      <c r="Z18" s="105">
        <v>25</v>
      </c>
      <c r="AA18" s="105">
        <v>25</v>
      </c>
      <c r="AB18" s="105">
        <v>25</v>
      </c>
      <c r="AC18" s="105">
        <v>25</v>
      </c>
      <c r="AD18" s="105">
        <v>25</v>
      </c>
      <c r="AE18" s="105">
        <v>25</v>
      </c>
      <c r="AF18" s="105">
        <v>25</v>
      </c>
      <c r="AG18" s="126">
        <v>25</v>
      </c>
      <c r="AH18" s="20">
        <f t="shared" si="2"/>
        <v>25</v>
      </c>
      <c r="AI18" s="19">
        <f t="shared" si="3"/>
        <v>20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215</v>
      </c>
      <c r="B19" s="105">
        <v>25</v>
      </c>
      <c r="C19" s="105">
        <v>25</v>
      </c>
      <c r="D19" s="105">
        <v>25</v>
      </c>
      <c r="E19" s="105">
        <v>25</v>
      </c>
      <c r="F19" s="105">
        <v>25</v>
      </c>
      <c r="G19" s="105">
        <v>25</v>
      </c>
      <c r="H19" s="105">
        <v>25</v>
      </c>
      <c r="I19" s="105">
        <v>25</v>
      </c>
      <c r="J19" s="105">
        <v>25</v>
      </c>
      <c r="K19" s="105">
        <v>25</v>
      </c>
      <c r="L19" s="105">
        <v>25</v>
      </c>
      <c r="M19" s="105">
        <v>25</v>
      </c>
      <c r="N19" s="105">
        <v>25</v>
      </c>
      <c r="O19" s="105">
        <v>25</v>
      </c>
      <c r="P19" s="105">
        <v>25</v>
      </c>
      <c r="Q19" s="105">
        <v>25</v>
      </c>
      <c r="R19" s="105">
        <v>25</v>
      </c>
      <c r="S19" s="105">
        <v>25</v>
      </c>
      <c r="T19" s="105">
        <v>25</v>
      </c>
      <c r="U19" s="105">
        <v>25</v>
      </c>
      <c r="V19" s="105">
        <v>25</v>
      </c>
      <c r="W19" s="105">
        <v>25</v>
      </c>
      <c r="X19" s="105">
        <v>25</v>
      </c>
      <c r="Y19" s="105">
        <v>25</v>
      </c>
      <c r="Z19" s="105">
        <v>25</v>
      </c>
      <c r="AA19" s="105">
        <v>25</v>
      </c>
      <c r="AB19" s="105">
        <v>25</v>
      </c>
      <c r="AC19" s="105">
        <v>25</v>
      </c>
      <c r="AD19" s="105">
        <v>25</v>
      </c>
      <c r="AE19" s="105">
        <v>25</v>
      </c>
      <c r="AF19" s="105">
        <v>25</v>
      </c>
      <c r="AG19" s="126">
        <v>25</v>
      </c>
      <c r="AH19" s="20">
        <f t="shared" si="2"/>
        <v>25</v>
      </c>
      <c r="AI19" s="19">
        <f t="shared" si="3"/>
        <v>25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214</v>
      </c>
      <c r="B20" s="105">
        <v>24</v>
      </c>
      <c r="C20" s="105">
        <v>24</v>
      </c>
      <c r="D20" s="105">
        <v>24</v>
      </c>
      <c r="E20" s="105">
        <v>24</v>
      </c>
      <c r="F20" s="105">
        <v>24</v>
      </c>
      <c r="G20" s="105">
        <v>24</v>
      </c>
      <c r="H20" s="105">
        <v>24</v>
      </c>
      <c r="I20" s="105">
        <v>24</v>
      </c>
      <c r="J20" s="105">
        <v>24</v>
      </c>
      <c r="K20" s="105">
        <v>24</v>
      </c>
      <c r="L20" s="105">
        <v>24</v>
      </c>
      <c r="M20" s="105">
        <v>24</v>
      </c>
      <c r="N20" s="105">
        <v>24</v>
      </c>
      <c r="O20" s="105">
        <v>24</v>
      </c>
      <c r="P20" s="105">
        <v>24</v>
      </c>
      <c r="Q20" s="105">
        <v>24</v>
      </c>
      <c r="R20" s="105">
        <v>24</v>
      </c>
      <c r="S20" s="105">
        <v>33</v>
      </c>
      <c r="T20" s="105">
        <v>33</v>
      </c>
      <c r="U20" s="105">
        <v>33</v>
      </c>
      <c r="V20" s="105">
        <v>33</v>
      </c>
      <c r="W20" s="105">
        <v>33</v>
      </c>
      <c r="X20" s="105">
        <v>26</v>
      </c>
      <c r="Y20" s="105">
        <v>26</v>
      </c>
      <c r="Z20" s="105">
        <v>26</v>
      </c>
      <c r="AA20" s="105">
        <v>26</v>
      </c>
      <c r="AB20" s="105">
        <v>33.1</v>
      </c>
      <c r="AC20" s="105">
        <v>33.1</v>
      </c>
      <c r="AD20" s="105">
        <v>33.1</v>
      </c>
      <c r="AE20" s="105">
        <v>33.1</v>
      </c>
      <c r="AF20" s="105">
        <v>25.5</v>
      </c>
      <c r="AG20" s="126">
        <v>24.2</v>
      </c>
      <c r="AH20" s="20">
        <f t="shared" si="2"/>
        <v>33.1</v>
      </c>
      <c r="AI20" s="19">
        <f t="shared" si="3"/>
        <v>24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23.4</v>
      </c>
      <c r="C21" s="105">
        <v>23.4</v>
      </c>
      <c r="D21" s="105">
        <v>23.4</v>
      </c>
      <c r="E21" s="105">
        <v>23.4</v>
      </c>
      <c r="F21" s="105">
        <v>23.4</v>
      </c>
      <c r="G21" s="105">
        <v>23.4</v>
      </c>
      <c r="H21" s="105">
        <v>23.4</v>
      </c>
      <c r="I21" s="105">
        <v>23.4</v>
      </c>
      <c r="J21" s="105">
        <v>23.4</v>
      </c>
      <c r="K21" s="105">
        <v>23.4</v>
      </c>
      <c r="L21" s="105">
        <v>23.4</v>
      </c>
      <c r="M21" s="105">
        <v>23.4</v>
      </c>
      <c r="N21" s="105">
        <v>23.4</v>
      </c>
      <c r="O21" s="105">
        <v>23.4</v>
      </c>
      <c r="P21" s="105">
        <v>23.4</v>
      </c>
      <c r="Q21" s="105">
        <v>23.4</v>
      </c>
      <c r="R21" s="105">
        <v>23.4</v>
      </c>
      <c r="S21" s="105">
        <v>23.4</v>
      </c>
      <c r="T21" s="105">
        <v>23.4</v>
      </c>
      <c r="U21" s="105">
        <v>23.4</v>
      </c>
      <c r="V21" s="105">
        <v>23.4</v>
      </c>
      <c r="W21" s="105">
        <v>23.4</v>
      </c>
      <c r="X21" s="105">
        <v>23.4</v>
      </c>
      <c r="Y21" s="105">
        <v>23.4</v>
      </c>
      <c r="Z21" s="105">
        <v>23.4</v>
      </c>
      <c r="AA21" s="105">
        <v>23.4</v>
      </c>
      <c r="AB21" s="105">
        <v>23.3</v>
      </c>
      <c r="AC21" s="105">
        <v>23.3</v>
      </c>
      <c r="AD21" s="105">
        <v>23.3</v>
      </c>
      <c r="AE21" s="105">
        <v>23.3</v>
      </c>
      <c r="AF21" s="105">
        <v>23.3</v>
      </c>
      <c r="AG21" s="126">
        <v>23.5</v>
      </c>
      <c r="AH21" s="20">
        <f t="shared" si="2"/>
        <v>23.4</v>
      </c>
      <c r="AI21" s="19">
        <f t="shared" si="3"/>
        <v>23.3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22</v>
      </c>
      <c r="C22" s="105">
        <v>22</v>
      </c>
      <c r="D22" s="105">
        <v>22</v>
      </c>
      <c r="E22" s="105">
        <v>22</v>
      </c>
      <c r="F22" s="105">
        <v>22</v>
      </c>
      <c r="G22" s="105">
        <v>22</v>
      </c>
      <c r="H22" s="105">
        <v>22</v>
      </c>
      <c r="I22" s="105">
        <v>22</v>
      </c>
      <c r="J22" s="105">
        <v>22</v>
      </c>
      <c r="K22" s="105">
        <v>22</v>
      </c>
      <c r="L22" s="105">
        <v>22</v>
      </c>
      <c r="M22" s="105">
        <v>22</v>
      </c>
      <c r="N22" s="105">
        <v>22</v>
      </c>
      <c r="O22" s="105">
        <v>22</v>
      </c>
      <c r="P22" s="105">
        <v>22</v>
      </c>
      <c r="Q22" s="105">
        <v>22</v>
      </c>
      <c r="R22" s="105">
        <v>22</v>
      </c>
      <c r="S22" s="105">
        <v>22</v>
      </c>
      <c r="T22" s="105">
        <v>22</v>
      </c>
      <c r="U22" s="105">
        <v>22</v>
      </c>
      <c r="V22" s="105">
        <v>22</v>
      </c>
      <c r="W22" s="105">
        <v>22</v>
      </c>
      <c r="X22" s="105">
        <v>22</v>
      </c>
      <c r="Y22" s="105">
        <v>22</v>
      </c>
      <c r="Z22" s="105">
        <v>22</v>
      </c>
      <c r="AA22" s="105">
        <v>22</v>
      </c>
      <c r="AB22" s="105">
        <v>22</v>
      </c>
      <c r="AC22" s="105">
        <v>22</v>
      </c>
      <c r="AD22" s="105">
        <v>22</v>
      </c>
      <c r="AE22" s="105">
        <v>22</v>
      </c>
      <c r="AF22" s="105">
        <v>22</v>
      </c>
      <c r="AG22" s="126">
        <v>22.2</v>
      </c>
      <c r="AH22" s="20">
        <f t="shared" si="2"/>
        <v>22</v>
      </c>
      <c r="AI22" s="19">
        <f t="shared" si="3"/>
        <v>22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20</v>
      </c>
      <c r="C23" s="105">
        <v>20</v>
      </c>
      <c r="D23" s="105">
        <v>20</v>
      </c>
      <c r="E23" s="105">
        <v>20</v>
      </c>
      <c r="F23" s="105">
        <v>20</v>
      </c>
      <c r="G23" s="105">
        <v>20</v>
      </c>
      <c r="H23" s="105">
        <v>20</v>
      </c>
      <c r="I23" s="105">
        <v>20</v>
      </c>
      <c r="J23" s="105">
        <v>20</v>
      </c>
      <c r="K23" s="105">
        <v>20</v>
      </c>
      <c r="L23" s="105">
        <v>20</v>
      </c>
      <c r="M23" s="105">
        <v>20</v>
      </c>
      <c r="N23" s="105">
        <v>20</v>
      </c>
      <c r="O23" s="105">
        <v>20</v>
      </c>
      <c r="P23" s="105">
        <v>20</v>
      </c>
      <c r="Q23" s="105">
        <v>20</v>
      </c>
      <c r="R23" s="105">
        <v>20</v>
      </c>
      <c r="S23" s="105">
        <v>20</v>
      </c>
      <c r="T23" s="105">
        <v>20</v>
      </c>
      <c r="U23" s="105">
        <v>20</v>
      </c>
      <c r="V23" s="105">
        <v>20</v>
      </c>
      <c r="W23" s="105">
        <v>20</v>
      </c>
      <c r="X23" s="105">
        <v>20</v>
      </c>
      <c r="Y23" s="105">
        <v>20</v>
      </c>
      <c r="Z23" s="105">
        <v>20</v>
      </c>
      <c r="AA23" s="105">
        <v>20</v>
      </c>
      <c r="AB23" s="105">
        <v>22</v>
      </c>
      <c r="AC23" s="105">
        <v>22</v>
      </c>
      <c r="AD23" s="105">
        <v>22</v>
      </c>
      <c r="AE23" s="105">
        <v>22</v>
      </c>
      <c r="AF23" s="105">
        <v>22</v>
      </c>
      <c r="AG23" s="126">
        <v>22.1</v>
      </c>
      <c r="AH23" s="20">
        <f t="shared" si="2"/>
        <v>22</v>
      </c>
      <c r="AI23" s="19">
        <f t="shared" si="3"/>
        <v>20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18</v>
      </c>
      <c r="C24" s="105">
        <v>18</v>
      </c>
      <c r="D24" s="105">
        <v>18</v>
      </c>
      <c r="E24" s="105">
        <v>18</v>
      </c>
      <c r="F24" s="105">
        <v>18</v>
      </c>
      <c r="G24" s="105">
        <v>18</v>
      </c>
      <c r="H24" s="105">
        <v>18</v>
      </c>
      <c r="I24" s="105">
        <v>18</v>
      </c>
      <c r="J24" s="105">
        <v>18</v>
      </c>
      <c r="K24" s="105">
        <v>18</v>
      </c>
      <c r="L24" s="105">
        <v>18</v>
      </c>
      <c r="M24" s="105">
        <v>22</v>
      </c>
      <c r="N24" s="105">
        <v>22</v>
      </c>
      <c r="O24" s="105">
        <v>22</v>
      </c>
      <c r="P24" s="105">
        <v>22</v>
      </c>
      <c r="Q24" s="105">
        <v>22</v>
      </c>
      <c r="R24" s="105">
        <v>22</v>
      </c>
      <c r="S24" s="105">
        <v>22</v>
      </c>
      <c r="T24" s="105">
        <v>22</v>
      </c>
      <c r="U24" s="105">
        <v>22</v>
      </c>
      <c r="V24" s="105">
        <v>22</v>
      </c>
      <c r="W24" s="105">
        <v>22</v>
      </c>
      <c r="X24" s="105">
        <v>22</v>
      </c>
      <c r="Y24" s="105">
        <v>22</v>
      </c>
      <c r="Z24" s="105">
        <v>22</v>
      </c>
      <c r="AA24" s="105">
        <v>22</v>
      </c>
      <c r="AB24" s="105">
        <v>22</v>
      </c>
      <c r="AC24" s="105">
        <v>22</v>
      </c>
      <c r="AD24" s="105">
        <v>22</v>
      </c>
      <c r="AE24" s="105">
        <v>22</v>
      </c>
      <c r="AF24" s="105">
        <v>22</v>
      </c>
      <c r="AG24" s="126">
        <v>22</v>
      </c>
      <c r="AH24" s="20">
        <f t="shared" si="2"/>
        <v>22</v>
      </c>
      <c r="AI24" s="19">
        <f t="shared" si="3"/>
        <v>18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22</v>
      </c>
      <c r="C25" s="105">
        <v>22</v>
      </c>
      <c r="D25" s="105">
        <v>22</v>
      </c>
      <c r="E25" s="105">
        <v>22</v>
      </c>
      <c r="F25" s="105">
        <v>22</v>
      </c>
      <c r="G25" s="105">
        <v>22</v>
      </c>
      <c r="H25" s="105">
        <v>22</v>
      </c>
      <c r="I25" s="105">
        <v>22</v>
      </c>
      <c r="J25" s="105">
        <v>22</v>
      </c>
      <c r="K25" s="105">
        <v>22</v>
      </c>
      <c r="L25" s="105">
        <v>22</v>
      </c>
      <c r="M25" s="105">
        <v>22</v>
      </c>
      <c r="N25" s="105">
        <v>22</v>
      </c>
      <c r="O25" s="105">
        <v>22</v>
      </c>
      <c r="P25" s="105">
        <v>22</v>
      </c>
      <c r="Q25" s="105">
        <v>22</v>
      </c>
      <c r="R25" s="105">
        <v>22</v>
      </c>
      <c r="S25" s="105">
        <v>22</v>
      </c>
      <c r="T25" s="105">
        <v>22</v>
      </c>
      <c r="U25" s="105">
        <v>22</v>
      </c>
      <c r="V25" s="105">
        <v>22</v>
      </c>
      <c r="W25" s="105">
        <v>22</v>
      </c>
      <c r="X25" s="105">
        <v>22</v>
      </c>
      <c r="Y25" s="105">
        <v>22</v>
      </c>
      <c r="Z25" s="105">
        <v>22</v>
      </c>
      <c r="AA25" s="105">
        <v>22</v>
      </c>
      <c r="AB25" s="105">
        <v>22</v>
      </c>
      <c r="AC25" s="105">
        <v>22</v>
      </c>
      <c r="AD25" s="105">
        <v>22</v>
      </c>
      <c r="AE25" s="105">
        <v>22</v>
      </c>
      <c r="AF25" s="105">
        <v>22</v>
      </c>
      <c r="AG25" s="126">
        <v>22</v>
      </c>
      <c r="AH25" s="20">
        <f t="shared" si="2"/>
        <v>22</v>
      </c>
      <c r="AI25" s="19">
        <f t="shared" si="3"/>
        <v>22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5">
        <v>10</v>
      </c>
      <c r="M26" s="105">
        <v>10</v>
      </c>
      <c r="N26" s="105">
        <v>10</v>
      </c>
      <c r="O26" s="105">
        <v>10</v>
      </c>
      <c r="P26" s="105">
        <v>10</v>
      </c>
      <c r="Q26" s="105">
        <v>10</v>
      </c>
      <c r="R26" s="105">
        <v>10</v>
      </c>
      <c r="S26" s="105">
        <v>10</v>
      </c>
      <c r="T26" s="105">
        <v>10</v>
      </c>
      <c r="U26" s="105">
        <v>10</v>
      </c>
      <c r="V26" s="105">
        <v>10</v>
      </c>
      <c r="W26" s="105">
        <v>10</v>
      </c>
      <c r="X26" s="105">
        <v>10</v>
      </c>
      <c r="Y26" s="105">
        <v>7.5</v>
      </c>
      <c r="Z26" s="105">
        <v>7.5</v>
      </c>
      <c r="AA26" s="105">
        <v>7.5</v>
      </c>
      <c r="AB26" s="105">
        <v>7.5</v>
      </c>
      <c r="AC26" s="105">
        <v>5</v>
      </c>
      <c r="AD26" s="105">
        <v>5</v>
      </c>
      <c r="AE26" s="105">
        <v>5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</v>
      </c>
      <c r="C27" s="105">
        <v>14</v>
      </c>
      <c r="D27" s="105">
        <v>14</v>
      </c>
      <c r="E27" s="105">
        <v>14</v>
      </c>
      <c r="F27" s="105">
        <v>14</v>
      </c>
      <c r="G27" s="105">
        <v>14</v>
      </c>
      <c r="H27" s="105">
        <v>14</v>
      </c>
      <c r="I27" s="105">
        <v>14</v>
      </c>
      <c r="J27" s="105">
        <v>14</v>
      </c>
      <c r="K27" s="105">
        <v>14</v>
      </c>
      <c r="L27" s="105">
        <v>14</v>
      </c>
      <c r="M27" s="105">
        <v>14</v>
      </c>
      <c r="N27" s="105">
        <v>14</v>
      </c>
      <c r="O27" s="105">
        <v>14</v>
      </c>
      <c r="P27" s="105">
        <v>14</v>
      </c>
      <c r="Q27" s="105">
        <v>14</v>
      </c>
      <c r="R27" s="105">
        <v>14</v>
      </c>
      <c r="S27" s="105">
        <v>14</v>
      </c>
      <c r="T27" s="105">
        <v>14</v>
      </c>
      <c r="U27" s="105">
        <v>14</v>
      </c>
      <c r="V27" s="105">
        <v>14</v>
      </c>
      <c r="W27" s="105">
        <v>14</v>
      </c>
      <c r="X27" s="105">
        <v>14</v>
      </c>
      <c r="Y27" s="105">
        <v>14</v>
      </c>
      <c r="Z27" s="105">
        <v>14</v>
      </c>
      <c r="AA27" s="105">
        <v>14</v>
      </c>
      <c r="AB27" s="105">
        <v>14</v>
      </c>
      <c r="AC27" s="105">
        <v>14</v>
      </c>
      <c r="AD27" s="105">
        <v>14</v>
      </c>
      <c r="AE27" s="105">
        <v>14</v>
      </c>
      <c r="AF27" s="105">
        <v>14</v>
      </c>
      <c r="AG27" s="126">
        <v>14.9</v>
      </c>
      <c r="AH27" s="20">
        <f t="shared" si="2"/>
        <v>14</v>
      </c>
      <c r="AI27" s="19">
        <f t="shared" si="3"/>
        <v>14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>
        <v>6.8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>
        <v>6.8</v>
      </c>
      <c r="AE28" s="105">
        <v>6.8</v>
      </c>
      <c r="AF28" s="105">
        <v>6.8</v>
      </c>
      <c r="AG28" s="126">
        <v>13.6</v>
      </c>
      <c r="AH28" s="20">
        <f t="shared" si="2"/>
        <v>6.8</v>
      </c>
      <c r="AI28" s="19">
        <f t="shared" si="3"/>
        <v>6.8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11</v>
      </c>
      <c r="C29" s="105">
        <v>11</v>
      </c>
      <c r="D29" s="105">
        <v>11</v>
      </c>
      <c r="E29" s="105">
        <v>11</v>
      </c>
      <c r="F29" s="105">
        <v>11</v>
      </c>
      <c r="G29" s="105">
        <v>11</v>
      </c>
      <c r="H29" s="105">
        <v>11</v>
      </c>
      <c r="I29" s="105">
        <v>11</v>
      </c>
      <c r="J29" s="105">
        <v>11</v>
      </c>
      <c r="K29" s="105">
        <v>11</v>
      </c>
      <c r="L29" s="105">
        <v>11</v>
      </c>
      <c r="M29" s="105">
        <v>11</v>
      </c>
      <c r="N29" s="105">
        <v>11</v>
      </c>
      <c r="O29" s="105">
        <v>11</v>
      </c>
      <c r="P29" s="105">
        <v>11</v>
      </c>
      <c r="Q29" s="105">
        <v>11</v>
      </c>
      <c r="R29" s="105">
        <v>11</v>
      </c>
      <c r="S29" s="105">
        <v>11</v>
      </c>
      <c r="T29" s="105">
        <v>11</v>
      </c>
      <c r="U29" s="105">
        <v>11</v>
      </c>
      <c r="V29" s="105">
        <v>11</v>
      </c>
      <c r="W29" s="105">
        <v>11</v>
      </c>
      <c r="X29" s="105">
        <v>11</v>
      </c>
      <c r="Y29" s="105">
        <v>11</v>
      </c>
      <c r="Z29" s="105">
        <v>11</v>
      </c>
      <c r="AA29" s="105">
        <v>11</v>
      </c>
      <c r="AB29" s="105">
        <v>13</v>
      </c>
      <c r="AC29" s="105">
        <v>13</v>
      </c>
      <c r="AD29" s="105">
        <v>13</v>
      </c>
      <c r="AE29" s="105">
        <v>13</v>
      </c>
      <c r="AF29" s="105">
        <v>13</v>
      </c>
      <c r="AG29" s="126">
        <v>13</v>
      </c>
      <c r="AH29" s="20">
        <f t="shared" si="2"/>
        <v>13</v>
      </c>
      <c r="AI29" s="19">
        <f t="shared" si="3"/>
        <v>11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9</v>
      </c>
      <c r="N30" s="105">
        <v>9</v>
      </c>
      <c r="O30" s="105">
        <v>9</v>
      </c>
      <c r="P30" s="105">
        <v>9</v>
      </c>
      <c r="Q30" s="105">
        <v>9</v>
      </c>
      <c r="R30" s="105">
        <v>9</v>
      </c>
      <c r="S30" s="105">
        <v>9</v>
      </c>
      <c r="T30" s="105">
        <v>9</v>
      </c>
      <c r="U30" s="105">
        <v>9</v>
      </c>
      <c r="V30" s="105">
        <v>9</v>
      </c>
      <c r="W30" s="105">
        <v>9</v>
      </c>
      <c r="X30" s="105">
        <v>9</v>
      </c>
      <c r="Y30" s="105">
        <v>10</v>
      </c>
      <c r="Z30" s="105">
        <v>10</v>
      </c>
      <c r="AA30" s="105">
        <v>10</v>
      </c>
      <c r="AB30" s="105">
        <v>10</v>
      </c>
      <c r="AC30" s="105">
        <v>10</v>
      </c>
      <c r="AD30" s="105">
        <v>10</v>
      </c>
      <c r="AE30" s="105">
        <v>10</v>
      </c>
      <c r="AF30" s="105">
        <v>0</v>
      </c>
      <c r="AG30" s="126">
        <v>12</v>
      </c>
      <c r="AH30" s="20">
        <f t="shared" si="2"/>
        <v>10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12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0</v>
      </c>
      <c r="AC31" s="105">
        <v>0</v>
      </c>
      <c r="AD31" s="105">
        <v>0</v>
      </c>
      <c r="AE31" s="105">
        <v>0</v>
      </c>
      <c r="AF31" s="105">
        <v>0</v>
      </c>
      <c r="AG31" s="126">
        <v>12</v>
      </c>
      <c r="AH31" s="20">
        <f t="shared" si="2"/>
        <v>12</v>
      </c>
      <c r="AI31" s="19">
        <f t="shared" si="3"/>
        <v>0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2</v>
      </c>
      <c r="C32" s="105">
        <v>2</v>
      </c>
      <c r="D32" s="105">
        <v>2</v>
      </c>
      <c r="E32" s="105">
        <v>2</v>
      </c>
      <c r="F32" s="105">
        <v>2</v>
      </c>
      <c r="G32" s="105">
        <v>2</v>
      </c>
      <c r="H32" s="105">
        <v>2</v>
      </c>
      <c r="I32" s="105">
        <v>2</v>
      </c>
      <c r="J32" s="105">
        <v>2</v>
      </c>
      <c r="K32" s="105">
        <v>2</v>
      </c>
      <c r="L32" s="105">
        <v>2</v>
      </c>
      <c r="M32" s="105">
        <v>2</v>
      </c>
      <c r="N32" s="105">
        <v>2</v>
      </c>
      <c r="O32" s="105">
        <v>2</v>
      </c>
      <c r="P32" s="105">
        <v>2</v>
      </c>
      <c r="Q32" s="105">
        <v>2</v>
      </c>
      <c r="R32" s="105">
        <v>2</v>
      </c>
      <c r="S32" s="105">
        <v>2</v>
      </c>
      <c r="T32" s="105">
        <v>2</v>
      </c>
      <c r="U32" s="105">
        <v>2</v>
      </c>
      <c r="V32" s="105">
        <v>2</v>
      </c>
      <c r="W32" s="105">
        <v>2</v>
      </c>
      <c r="X32" s="105">
        <v>2</v>
      </c>
      <c r="Y32" s="105">
        <v>2</v>
      </c>
      <c r="Z32" s="105">
        <v>2</v>
      </c>
      <c r="AA32" s="105">
        <v>2</v>
      </c>
      <c r="AB32" s="105">
        <v>2</v>
      </c>
      <c r="AC32" s="105">
        <v>2</v>
      </c>
      <c r="AD32" s="105">
        <v>2</v>
      </c>
      <c r="AE32" s="105">
        <v>2</v>
      </c>
      <c r="AF32" s="105">
        <v>2</v>
      </c>
      <c r="AG32" s="126">
        <v>12</v>
      </c>
      <c r="AH32" s="20">
        <f t="shared" si="2"/>
        <v>2</v>
      </c>
      <c r="AI32" s="19">
        <f t="shared" si="3"/>
        <v>2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10</v>
      </c>
      <c r="C33" s="105">
        <v>10</v>
      </c>
      <c r="D33" s="105">
        <v>10</v>
      </c>
      <c r="E33" s="105">
        <v>10</v>
      </c>
      <c r="F33" s="105">
        <v>10</v>
      </c>
      <c r="G33" s="105">
        <v>10</v>
      </c>
      <c r="H33" s="105">
        <v>10</v>
      </c>
      <c r="I33" s="105">
        <v>10</v>
      </c>
      <c r="J33" s="105">
        <v>10</v>
      </c>
      <c r="K33" s="105">
        <v>10</v>
      </c>
      <c r="L33" s="105">
        <v>10</v>
      </c>
      <c r="M33" s="105">
        <v>10</v>
      </c>
      <c r="N33" s="105">
        <v>10</v>
      </c>
      <c r="O33" s="105">
        <v>10</v>
      </c>
      <c r="P33" s="105">
        <v>10</v>
      </c>
      <c r="Q33" s="105">
        <v>10</v>
      </c>
      <c r="R33" s="105">
        <v>10</v>
      </c>
      <c r="S33" s="105">
        <v>10</v>
      </c>
      <c r="T33" s="105">
        <v>10</v>
      </c>
      <c r="U33" s="105">
        <v>10</v>
      </c>
      <c r="V33" s="105">
        <v>10</v>
      </c>
      <c r="W33" s="105">
        <v>10</v>
      </c>
      <c r="X33" s="105">
        <v>10</v>
      </c>
      <c r="Y33" s="105">
        <v>10</v>
      </c>
      <c r="Z33" s="105">
        <v>10</v>
      </c>
      <c r="AA33" s="105">
        <v>10</v>
      </c>
      <c r="AB33" s="105">
        <v>10</v>
      </c>
      <c r="AC33" s="105">
        <v>10</v>
      </c>
      <c r="AD33" s="105">
        <v>10</v>
      </c>
      <c r="AE33" s="105">
        <v>10</v>
      </c>
      <c r="AF33" s="105">
        <v>10</v>
      </c>
      <c r="AG33" s="125">
        <v>22</v>
      </c>
      <c r="AH33" s="20">
        <f t="shared" si="2"/>
        <v>10</v>
      </c>
      <c r="AI33" s="19">
        <f t="shared" si="3"/>
        <v>10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11</v>
      </c>
      <c r="C34" s="105">
        <v>11</v>
      </c>
      <c r="D34" s="105">
        <v>11</v>
      </c>
      <c r="E34" s="105">
        <v>11</v>
      </c>
      <c r="F34" s="105">
        <v>11</v>
      </c>
      <c r="G34" s="105">
        <v>11</v>
      </c>
      <c r="H34" s="105">
        <v>11</v>
      </c>
      <c r="I34" s="105">
        <v>11</v>
      </c>
      <c r="J34" s="105">
        <v>11</v>
      </c>
      <c r="K34" s="105">
        <v>11</v>
      </c>
      <c r="L34" s="105">
        <v>11</v>
      </c>
      <c r="M34" s="105">
        <v>11</v>
      </c>
      <c r="N34" s="105">
        <v>11</v>
      </c>
      <c r="O34" s="105">
        <v>11</v>
      </c>
      <c r="P34" s="105">
        <v>11</v>
      </c>
      <c r="Q34" s="105">
        <v>11</v>
      </c>
      <c r="R34" s="105">
        <v>11</v>
      </c>
      <c r="S34" s="105">
        <v>11</v>
      </c>
      <c r="T34" s="105">
        <v>11</v>
      </c>
      <c r="U34" s="105">
        <v>11</v>
      </c>
      <c r="V34" s="105">
        <v>11</v>
      </c>
      <c r="W34" s="105">
        <v>11</v>
      </c>
      <c r="X34" s="105">
        <v>11</v>
      </c>
      <c r="Y34" s="105">
        <v>11</v>
      </c>
      <c r="Z34" s="105">
        <v>11</v>
      </c>
      <c r="AA34" s="105">
        <v>11</v>
      </c>
      <c r="AB34" s="105">
        <v>12</v>
      </c>
      <c r="AC34" s="105">
        <v>12</v>
      </c>
      <c r="AD34" s="105">
        <v>12</v>
      </c>
      <c r="AE34" s="105">
        <v>12</v>
      </c>
      <c r="AF34" s="105">
        <v>12</v>
      </c>
      <c r="AG34" s="96">
        <v>11.88</v>
      </c>
      <c r="AH34" s="20">
        <f t="shared" si="2"/>
        <v>12</v>
      </c>
      <c r="AI34" s="19">
        <f t="shared" si="3"/>
        <v>11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>
        <v>11</v>
      </c>
      <c r="AG35" s="94">
        <v>11</v>
      </c>
      <c r="AH35" s="20">
        <f t="shared" si="2"/>
        <v>11</v>
      </c>
      <c r="AI35" s="19">
        <f t="shared" si="3"/>
        <v>11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>
        <v>9</v>
      </c>
      <c r="E36" s="105">
        <v>9</v>
      </c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>
        <v>9</v>
      </c>
      <c r="N36" s="105">
        <v>9</v>
      </c>
      <c r="O36" s="105">
        <v>9</v>
      </c>
      <c r="P36" s="105">
        <v>9</v>
      </c>
      <c r="Q36" s="105">
        <v>9</v>
      </c>
      <c r="R36" s="105">
        <v>9</v>
      </c>
      <c r="S36" s="105">
        <v>9</v>
      </c>
      <c r="T36" s="105">
        <v>9</v>
      </c>
      <c r="U36" s="105">
        <v>9</v>
      </c>
      <c r="V36" s="105">
        <v>9</v>
      </c>
      <c r="W36" s="105">
        <v>9</v>
      </c>
      <c r="X36" s="105">
        <v>9</v>
      </c>
      <c r="Y36" s="105">
        <v>9</v>
      </c>
      <c r="Z36" s="105">
        <v>9</v>
      </c>
      <c r="AA36" s="105">
        <v>9</v>
      </c>
      <c r="AB36" s="105">
        <v>9</v>
      </c>
      <c r="AC36" s="105">
        <v>9</v>
      </c>
      <c r="AD36" s="105">
        <v>9</v>
      </c>
      <c r="AE36" s="105">
        <v>9</v>
      </c>
      <c r="AF36" s="105">
        <v>9</v>
      </c>
      <c r="AG36" s="94">
        <v>10</v>
      </c>
      <c r="AH36" s="20">
        <f t="shared" si="2"/>
        <v>9</v>
      </c>
      <c r="AI36" s="19">
        <f t="shared" si="3"/>
        <v>9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2</v>
      </c>
      <c r="N37" s="105">
        <v>2</v>
      </c>
      <c r="O37" s="105">
        <v>2</v>
      </c>
      <c r="P37" s="105">
        <v>2</v>
      </c>
      <c r="Q37" s="105">
        <v>2</v>
      </c>
      <c r="R37" s="105">
        <v>2</v>
      </c>
      <c r="S37" s="105">
        <v>2</v>
      </c>
      <c r="T37" s="105">
        <v>2</v>
      </c>
      <c r="U37" s="105">
        <v>2</v>
      </c>
      <c r="V37" s="105">
        <v>2</v>
      </c>
      <c r="W37" s="105">
        <v>2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2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v>162</v>
      </c>
      <c r="C39" s="119">
        <v>162</v>
      </c>
      <c r="D39" s="119">
        <v>162</v>
      </c>
      <c r="E39" s="119">
        <f>77.9+82.8</f>
        <v>160.69999999999999</v>
      </c>
      <c r="F39" s="119">
        <f t="shared" ref="F39:L39" si="4">77.9+82.8</f>
        <v>160.69999999999999</v>
      </c>
      <c r="G39" s="119">
        <f t="shared" si="4"/>
        <v>160.69999999999999</v>
      </c>
      <c r="H39" s="119">
        <f t="shared" si="4"/>
        <v>160.69999999999999</v>
      </c>
      <c r="I39" s="119">
        <f t="shared" si="4"/>
        <v>160.69999999999999</v>
      </c>
      <c r="J39" s="119">
        <f t="shared" si="4"/>
        <v>160.69999999999999</v>
      </c>
      <c r="K39" s="119">
        <f t="shared" si="4"/>
        <v>160.69999999999999</v>
      </c>
      <c r="L39" s="119">
        <f t="shared" si="4"/>
        <v>160.69999999999999</v>
      </c>
      <c r="M39" s="113">
        <f>76+91.5</f>
        <v>167.5</v>
      </c>
      <c r="N39" s="113">
        <f>75+94.1</f>
        <v>169.1</v>
      </c>
      <c r="O39" s="113">
        <f>74.7+96.5</f>
        <v>171.2</v>
      </c>
      <c r="P39" s="113">
        <f>75.1+96.2</f>
        <v>171.3</v>
      </c>
      <c r="Q39" s="113">
        <f>78.3+96.4</f>
        <v>174.7</v>
      </c>
      <c r="R39" s="113">
        <f>78.1+96.9</f>
        <v>175</v>
      </c>
      <c r="S39" s="119">
        <f t="shared" ref="S39:X39" si="5">77.7+97.4</f>
        <v>175.10000000000002</v>
      </c>
      <c r="T39" s="119">
        <f t="shared" si="5"/>
        <v>175.10000000000002</v>
      </c>
      <c r="U39" s="119">
        <f t="shared" si="5"/>
        <v>175.10000000000002</v>
      </c>
      <c r="V39" s="119">
        <f t="shared" si="5"/>
        <v>175.10000000000002</v>
      </c>
      <c r="W39" s="119">
        <f t="shared" si="5"/>
        <v>175.10000000000002</v>
      </c>
      <c r="X39" s="119">
        <f t="shared" si="5"/>
        <v>175.10000000000002</v>
      </c>
      <c r="Y39" s="119">
        <f>84.5+96.1</f>
        <v>180.6</v>
      </c>
      <c r="Z39" s="119">
        <f>85+97</f>
        <v>182</v>
      </c>
      <c r="AA39" s="119">
        <v>179</v>
      </c>
      <c r="AB39" s="119">
        <f>98.2+84.8</f>
        <v>183</v>
      </c>
      <c r="AC39" s="119">
        <f>99+84.9</f>
        <v>183.9</v>
      </c>
      <c r="AD39" s="119">
        <f>99.6+84.3</f>
        <v>183.89999999999998</v>
      </c>
      <c r="AE39" s="119">
        <v>183</v>
      </c>
      <c r="AF39" s="119">
        <f>97.4+84.8</f>
        <v>182.2</v>
      </c>
      <c r="AG39" s="94">
        <v>240</v>
      </c>
      <c r="AH39" s="20">
        <f t="shared" si="2"/>
        <v>183.9</v>
      </c>
      <c r="AI39" s="19">
        <f t="shared" si="3"/>
        <v>160.69999999999999</v>
      </c>
      <c r="AK39" s="41"/>
    </row>
    <row r="40" spans="1:88" ht="15.75" thickBot="1" x14ac:dyDescent="0.3">
      <c r="A40" s="118" t="s">
        <v>195</v>
      </c>
      <c r="B40" s="86">
        <f t="shared" ref="B40:AG40" si="6">SUM(B11:B38)</f>
        <v>771.3</v>
      </c>
      <c r="C40" s="86">
        <f t="shared" si="6"/>
        <v>771.3</v>
      </c>
      <c r="D40" s="86">
        <f t="shared" si="6"/>
        <v>771.3</v>
      </c>
      <c r="E40" s="86">
        <f t="shared" si="6"/>
        <v>771.3</v>
      </c>
      <c r="F40" s="86">
        <f t="shared" si="6"/>
        <v>771.3</v>
      </c>
      <c r="G40" s="86">
        <f t="shared" si="6"/>
        <v>771.3</v>
      </c>
      <c r="H40" s="86">
        <f t="shared" si="6"/>
        <v>771.3</v>
      </c>
      <c r="I40" s="86">
        <f t="shared" si="6"/>
        <v>771.3</v>
      </c>
      <c r="J40" s="86">
        <f t="shared" si="6"/>
        <v>771.3</v>
      </c>
      <c r="K40" s="86">
        <f t="shared" si="6"/>
        <v>771.3</v>
      </c>
      <c r="L40" s="86">
        <f t="shared" si="6"/>
        <v>796.3</v>
      </c>
      <c r="M40" s="86">
        <f t="shared" si="6"/>
        <v>816.8</v>
      </c>
      <c r="N40" s="86">
        <f t="shared" si="6"/>
        <v>843.5</v>
      </c>
      <c r="O40" s="86">
        <f t="shared" si="6"/>
        <v>786.90000000000009</v>
      </c>
      <c r="P40" s="86">
        <f t="shared" si="6"/>
        <v>801.7</v>
      </c>
      <c r="Q40" s="86">
        <f t="shared" si="6"/>
        <v>797.8</v>
      </c>
      <c r="R40" s="86">
        <f t="shared" si="6"/>
        <v>793.4</v>
      </c>
      <c r="S40" s="86">
        <f t="shared" si="6"/>
        <v>849.7</v>
      </c>
      <c r="T40" s="86">
        <f t="shared" si="6"/>
        <v>849.7</v>
      </c>
      <c r="U40" s="86">
        <f t="shared" si="6"/>
        <v>849.7</v>
      </c>
      <c r="V40" s="86">
        <f t="shared" si="6"/>
        <v>849.7</v>
      </c>
      <c r="W40" s="86">
        <f t="shared" si="6"/>
        <v>849.7</v>
      </c>
      <c r="X40" s="86">
        <f t="shared" si="6"/>
        <v>840.7</v>
      </c>
      <c r="Y40" s="86">
        <f t="shared" si="6"/>
        <v>856.4</v>
      </c>
      <c r="Z40" s="86">
        <f t="shared" si="6"/>
        <v>856.4</v>
      </c>
      <c r="AA40" s="86">
        <f t="shared" si="6"/>
        <v>856.4</v>
      </c>
      <c r="AB40" s="86">
        <f t="shared" si="6"/>
        <v>863.40000000000009</v>
      </c>
      <c r="AC40" s="86">
        <f t="shared" si="6"/>
        <v>860.90000000000009</v>
      </c>
      <c r="AD40" s="86">
        <f t="shared" si="6"/>
        <v>855.90000000000009</v>
      </c>
      <c r="AE40" s="86">
        <f t="shared" si="6"/>
        <v>840.90000000000009</v>
      </c>
      <c r="AF40" s="86">
        <f t="shared" si="6"/>
        <v>783.1</v>
      </c>
      <c r="AG40" s="101">
        <f t="shared" si="6"/>
        <v>707.78</v>
      </c>
      <c r="AH40" s="20">
        <f t="shared" si="2"/>
        <v>863.40000000000009</v>
      </c>
      <c r="AI40" s="19">
        <f t="shared" si="3"/>
        <v>771.3</v>
      </c>
      <c r="AK40" s="41"/>
    </row>
    <row r="41" spans="1:88" x14ac:dyDescent="0.25">
      <c r="A41" s="117" t="s">
        <v>194</v>
      </c>
      <c r="B41" s="105">
        <v>456</v>
      </c>
      <c r="C41" s="105">
        <v>456</v>
      </c>
      <c r="D41" s="105">
        <v>456</v>
      </c>
      <c r="E41" s="105">
        <v>456</v>
      </c>
      <c r="F41" s="105">
        <v>456</v>
      </c>
      <c r="G41" s="105">
        <v>456</v>
      </c>
      <c r="H41" s="105">
        <v>456</v>
      </c>
      <c r="I41" s="105">
        <v>456</v>
      </c>
      <c r="J41" s="105">
        <v>456</v>
      </c>
      <c r="K41" s="105">
        <v>456</v>
      </c>
      <c r="L41" s="105">
        <v>456</v>
      </c>
      <c r="M41" s="105">
        <v>456</v>
      </c>
      <c r="N41" s="105">
        <v>456</v>
      </c>
      <c r="O41" s="105">
        <v>456</v>
      </c>
      <c r="P41" s="105">
        <v>456</v>
      </c>
      <c r="Q41" s="105">
        <v>456</v>
      </c>
      <c r="R41" s="105">
        <v>456</v>
      </c>
      <c r="S41" s="105">
        <v>456</v>
      </c>
      <c r="T41" s="105">
        <v>456</v>
      </c>
      <c r="U41" s="105">
        <v>456</v>
      </c>
      <c r="V41" s="105">
        <v>370</v>
      </c>
      <c r="W41" s="105">
        <v>456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456</v>
      </c>
      <c r="AD41" s="105">
        <v>456</v>
      </c>
      <c r="AE41" s="105">
        <v>456</v>
      </c>
      <c r="AF41" s="105">
        <v>456</v>
      </c>
      <c r="AG41" s="96">
        <v>456</v>
      </c>
      <c r="AH41" s="20">
        <f t="shared" si="2"/>
        <v>456</v>
      </c>
      <c r="AI41" s="19">
        <f t="shared" si="3"/>
        <v>370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>
        <v>60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>
        <v>22</v>
      </c>
      <c r="S43" s="107">
        <v>22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>
        <v>22</v>
      </c>
      <c r="AG43" s="106">
        <v>22.1</v>
      </c>
      <c r="AH43" s="20">
        <f t="shared" si="2"/>
        <v>22</v>
      </c>
      <c r="AI43" s="19">
        <f t="shared" si="3"/>
        <v>22</v>
      </c>
      <c r="AK43" s="41"/>
    </row>
    <row r="44" spans="1:88" ht="15.75" thickBot="1" x14ac:dyDescent="0.3">
      <c r="A44" s="114" t="s">
        <v>191</v>
      </c>
      <c r="B44" s="86">
        <f t="shared" ref="B44:AG44" si="7">SUM(B41:B43)</f>
        <v>538</v>
      </c>
      <c r="C44" s="86">
        <f t="shared" si="7"/>
        <v>538</v>
      </c>
      <c r="D44" s="86">
        <f t="shared" si="7"/>
        <v>538</v>
      </c>
      <c r="E44" s="86">
        <f t="shared" si="7"/>
        <v>538</v>
      </c>
      <c r="F44" s="86">
        <f t="shared" si="7"/>
        <v>538</v>
      </c>
      <c r="G44" s="86">
        <f t="shared" si="7"/>
        <v>538</v>
      </c>
      <c r="H44" s="86">
        <f t="shared" si="7"/>
        <v>538</v>
      </c>
      <c r="I44" s="86">
        <f t="shared" si="7"/>
        <v>538</v>
      </c>
      <c r="J44" s="86">
        <f t="shared" si="7"/>
        <v>538</v>
      </c>
      <c r="K44" s="86">
        <f t="shared" si="7"/>
        <v>538</v>
      </c>
      <c r="L44" s="86">
        <f t="shared" si="7"/>
        <v>538</v>
      </c>
      <c r="M44" s="86">
        <f t="shared" si="7"/>
        <v>538</v>
      </c>
      <c r="N44" s="86">
        <f t="shared" si="7"/>
        <v>538</v>
      </c>
      <c r="O44" s="86">
        <f t="shared" si="7"/>
        <v>538</v>
      </c>
      <c r="P44" s="86">
        <f t="shared" si="7"/>
        <v>538</v>
      </c>
      <c r="Q44" s="86">
        <f t="shared" si="7"/>
        <v>538</v>
      </c>
      <c r="R44" s="86">
        <f t="shared" si="7"/>
        <v>538</v>
      </c>
      <c r="S44" s="86">
        <f t="shared" si="7"/>
        <v>538</v>
      </c>
      <c r="T44" s="86">
        <f t="shared" si="7"/>
        <v>538</v>
      </c>
      <c r="U44" s="86">
        <f t="shared" si="7"/>
        <v>538</v>
      </c>
      <c r="V44" s="86">
        <f t="shared" si="7"/>
        <v>452</v>
      </c>
      <c r="W44" s="86">
        <f t="shared" si="7"/>
        <v>538</v>
      </c>
      <c r="X44" s="86">
        <f t="shared" si="7"/>
        <v>538</v>
      </c>
      <c r="Y44" s="86">
        <f t="shared" si="7"/>
        <v>538</v>
      </c>
      <c r="Z44" s="86">
        <f t="shared" si="7"/>
        <v>538</v>
      </c>
      <c r="AA44" s="86">
        <f t="shared" si="7"/>
        <v>538</v>
      </c>
      <c r="AB44" s="86">
        <f t="shared" si="7"/>
        <v>538</v>
      </c>
      <c r="AC44" s="86">
        <f t="shared" si="7"/>
        <v>538</v>
      </c>
      <c r="AD44" s="86">
        <f t="shared" si="7"/>
        <v>538</v>
      </c>
      <c r="AE44" s="86">
        <f t="shared" si="7"/>
        <v>538</v>
      </c>
      <c r="AF44" s="86">
        <f t="shared" si="7"/>
        <v>538</v>
      </c>
      <c r="AG44" s="101">
        <f t="shared" si="7"/>
        <v>538.1</v>
      </c>
      <c r="AH44" s="20">
        <f t="shared" si="2"/>
        <v>538</v>
      </c>
      <c r="AI44" s="19">
        <f t="shared" si="3"/>
        <v>452</v>
      </c>
      <c r="AK44" s="41"/>
    </row>
    <row r="45" spans="1:88" x14ac:dyDescent="0.25">
      <c r="A45" s="97" t="s">
        <v>190</v>
      </c>
      <c r="B45" s="105">
        <v>143.4</v>
      </c>
      <c r="C45" s="105">
        <v>143.4</v>
      </c>
      <c r="D45" s="105">
        <v>143.4</v>
      </c>
      <c r="E45" s="105">
        <v>110</v>
      </c>
      <c r="F45" s="105">
        <v>110</v>
      </c>
      <c r="G45" s="105">
        <v>110</v>
      </c>
      <c r="H45" s="105">
        <v>110</v>
      </c>
      <c r="I45" s="105">
        <v>110</v>
      </c>
      <c r="J45" s="105">
        <v>125</v>
      </c>
      <c r="K45" s="105">
        <v>144</v>
      </c>
      <c r="L45" s="105">
        <v>144</v>
      </c>
      <c r="M45" s="105">
        <v>144</v>
      </c>
      <c r="N45" s="105">
        <v>144</v>
      </c>
      <c r="O45" s="105">
        <v>144</v>
      </c>
      <c r="P45" s="105">
        <v>143.69999999999999</v>
      </c>
      <c r="Q45" s="105">
        <v>143.69999999999999</v>
      </c>
      <c r="R45" s="105">
        <v>143.69999999999999</v>
      </c>
      <c r="S45" s="105">
        <v>143.69999999999999</v>
      </c>
      <c r="T45" s="105">
        <v>143.69999999999999</v>
      </c>
      <c r="U45" s="105">
        <v>143.69999999999999</v>
      </c>
      <c r="V45" s="105">
        <v>143.69999999999999</v>
      </c>
      <c r="W45" s="105">
        <v>143.69999999999999</v>
      </c>
      <c r="X45" s="105">
        <v>143.69999999999999</v>
      </c>
      <c r="Y45" s="105">
        <v>143.69999999999999</v>
      </c>
      <c r="Z45" s="105">
        <v>143.69999999999999</v>
      </c>
      <c r="AA45" s="105">
        <v>143.69999999999999</v>
      </c>
      <c r="AB45" s="105">
        <v>143.30000000000001</v>
      </c>
      <c r="AC45" s="105">
        <v>143.4</v>
      </c>
      <c r="AD45" s="105">
        <v>143.80000000000001</v>
      </c>
      <c r="AE45" s="105">
        <v>143.69999999999999</v>
      </c>
      <c r="AF45" s="105">
        <v>143.5</v>
      </c>
      <c r="AG45" s="96">
        <v>144</v>
      </c>
      <c r="AH45" s="20">
        <f t="shared" si="2"/>
        <v>144</v>
      </c>
      <c r="AI45" s="19">
        <f t="shared" si="3"/>
        <v>110</v>
      </c>
      <c r="AK45" s="41"/>
    </row>
    <row r="46" spans="1:88" x14ac:dyDescent="0.25">
      <c r="A46" s="95" t="s">
        <v>189</v>
      </c>
      <c r="B46" s="80">
        <v>71.599999999999994</v>
      </c>
      <c r="C46" s="80">
        <v>71.599999999999994</v>
      </c>
      <c r="D46" s="80">
        <v>62</v>
      </c>
      <c r="E46" s="80">
        <v>46.4</v>
      </c>
      <c r="F46" s="80">
        <v>46.4</v>
      </c>
      <c r="G46" s="80">
        <v>46.4</v>
      </c>
      <c r="H46" s="80">
        <v>46.4</v>
      </c>
      <c r="I46" s="80">
        <v>46.4</v>
      </c>
      <c r="J46" s="80">
        <v>46.4</v>
      </c>
      <c r="K46" s="80">
        <v>70</v>
      </c>
      <c r="L46" s="80">
        <v>70</v>
      </c>
      <c r="M46" s="80">
        <v>70</v>
      </c>
      <c r="N46" s="80">
        <v>70</v>
      </c>
      <c r="O46" s="80">
        <v>70</v>
      </c>
      <c r="P46" s="105">
        <v>70.900000000000006</v>
      </c>
      <c r="Q46" s="105">
        <v>70.900000000000006</v>
      </c>
      <c r="R46" s="105">
        <v>70.900000000000006</v>
      </c>
      <c r="S46" s="105">
        <v>70.900000000000006</v>
      </c>
      <c r="T46" s="105">
        <v>70.900000000000006</v>
      </c>
      <c r="U46" s="105">
        <v>70.900000000000006</v>
      </c>
      <c r="V46" s="105">
        <v>70.900000000000006</v>
      </c>
      <c r="W46" s="105">
        <v>70.900000000000006</v>
      </c>
      <c r="X46" s="105">
        <v>70.900000000000006</v>
      </c>
      <c r="Y46" s="105">
        <v>70.900000000000006</v>
      </c>
      <c r="Z46" s="105">
        <v>70.900000000000006</v>
      </c>
      <c r="AA46" s="105">
        <v>70.900000000000006</v>
      </c>
      <c r="AB46" s="80">
        <v>72.7</v>
      </c>
      <c r="AC46" s="80">
        <v>73.099999999999994</v>
      </c>
      <c r="AD46" s="80">
        <v>73.2</v>
      </c>
      <c r="AE46" s="80">
        <v>70.099999999999994</v>
      </c>
      <c r="AF46" s="80">
        <v>70.099999999999994</v>
      </c>
      <c r="AG46" s="94">
        <v>70</v>
      </c>
      <c r="AH46" s="20">
        <f t="shared" si="2"/>
        <v>73.2</v>
      </c>
      <c r="AI46" s="19">
        <f t="shared" si="3"/>
        <v>46.4</v>
      </c>
      <c r="AK46" s="41"/>
    </row>
    <row r="47" spans="1:88" x14ac:dyDescent="0.25">
      <c r="A47" s="95" t="s">
        <v>188</v>
      </c>
      <c r="B47" s="80">
        <v>47</v>
      </c>
      <c r="C47" s="80">
        <v>47</v>
      </c>
      <c r="D47" s="80">
        <v>47</v>
      </c>
      <c r="E47" s="80">
        <v>39.799999999999997</v>
      </c>
      <c r="F47" s="80">
        <v>39.799999999999997</v>
      </c>
      <c r="G47" s="80">
        <v>39.799999999999997</v>
      </c>
      <c r="H47" s="80">
        <v>39.799999999999997</v>
      </c>
      <c r="I47" s="80">
        <v>39.799999999999997</v>
      </c>
      <c r="J47" s="80">
        <v>39.799999999999997</v>
      </c>
      <c r="K47" s="80">
        <v>48</v>
      </c>
      <c r="L47" s="80">
        <v>60</v>
      </c>
      <c r="M47" s="80">
        <v>60</v>
      </c>
      <c r="N47" s="80">
        <v>60</v>
      </c>
      <c r="O47" s="80">
        <v>60</v>
      </c>
      <c r="P47" s="105">
        <v>61.3</v>
      </c>
      <c r="Q47" s="105">
        <v>61.3</v>
      </c>
      <c r="R47" s="105">
        <v>61.3</v>
      </c>
      <c r="S47" s="105">
        <v>61.3</v>
      </c>
      <c r="T47" s="105">
        <v>61.3</v>
      </c>
      <c r="U47" s="105">
        <v>61.3</v>
      </c>
      <c r="V47" s="105">
        <v>61.3</v>
      </c>
      <c r="W47" s="105">
        <v>61.3</v>
      </c>
      <c r="X47" s="105">
        <v>61.3</v>
      </c>
      <c r="Y47" s="105">
        <v>61.3</v>
      </c>
      <c r="Z47" s="105">
        <v>61.3</v>
      </c>
      <c r="AA47" s="105">
        <v>61.3</v>
      </c>
      <c r="AB47" s="80">
        <v>61.9</v>
      </c>
      <c r="AC47" s="80">
        <v>61.7</v>
      </c>
      <c r="AD47" s="80">
        <v>61.8</v>
      </c>
      <c r="AE47" s="80">
        <v>61.6</v>
      </c>
      <c r="AF47" s="80">
        <v>61.6</v>
      </c>
      <c r="AG47" s="94">
        <v>69</v>
      </c>
      <c r="AH47" s="20">
        <f t="shared" si="2"/>
        <v>61.9</v>
      </c>
      <c r="AI47" s="19">
        <f t="shared" si="3"/>
        <v>39.799999999999997</v>
      </c>
      <c r="AK47" s="41"/>
    </row>
    <row r="48" spans="1:88" x14ac:dyDescent="0.25">
      <c r="A48" s="95" t="s">
        <v>187</v>
      </c>
      <c r="B48" s="113">
        <v>61.2</v>
      </c>
      <c r="C48" s="113">
        <v>61.2</v>
      </c>
      <c r="D48" s="113">
        <v>40</v>
      </c>
      <c r="E48" s="113">
        <v>39</v>
      </c>
      <c r="F48" s="113">
        <v>39</v>
      </c>
      <c r="G48" s="113">
        <v>39</v>
      </c>
      <c r="H48" s="113">
        <v>39</v>
      </c>
      <c r="I48" s="113">
        <v>39</v>
      </c>
      <c r="J48" s="113">
        <v>39</v>
      </c>
      <c r="K48" s="113">
        <v>50</v>
      </c>
      <c r="L48" s="113">
        <v>60</v>
      </c>
      <c r="M48" s="113">
        <v>60</v>
      </c>
      <c r="N48" s="113">
        <v>60.7</v>
      </c>
      <c r="O48" s="113">
        <v>60.7</v>
      </c>
      <c r="P48" s="105">
        <v>60.7</v>
      </c>
      <c r="Q48" s="105">
        <v>60.7</v>
      </c>
      <c r="R48" s="105">
        <v>60.7</v>
      </c>
      <c r="S48" s="105">
        <v>60.7</v>
      </c>
      <c r="T48" s="105">
        <v>60.7</v>
      </c>
      <c r="U48" s="105">
        <v>60.7</v>
      </c>
      <c r="V48" s="105">
        <v>60.7</v>
      </c>
      <c r="W48" s="105">
        <v>60.7</v>
      </c>
      <c r="X48" s="105">
        <v>60.7</v>
      </c>
      <c r="Y48" s="105">
        <v>60.7</v>
      </c>
      <c r="Z48" s="105">
        <v>60.7</v>
      </c>
      <c r="AA48" s="105">
        <v>60.7</v>
      </c>
      <c r="AB48" s="113">
        <v>61.2</v>
      </c>
      <c r="AC48" s="113">
        <v>61.2</v>
      </c>
      <c r="AD48" s="113">
        <v>61.2</v>
      </c>
      <c r="AE48" s="113">
        <v>61.2</v>
      </c>
      <c r="AF48" s="113">
        <v>61.2</v>
      </c>
      <c r="AG48" s="94">
        <v>60</v>
      </c>
      <c r="AH48" s="20">
        <f t="shared" si="2"/>
        <v>61.2</v>
      </c>
      <c r="AI48" s="19">
        <f t="shared" si="3"/>
        <v>39</v>
      </c>
      <c r="AK48" s="41"/>
    </row>
    <row r="49" spans="1:41" x14ac:dyDescent="0.25">
      <c r="A49" s="95" t="s">
        <v>186</v>
      </c>
      <c r="B49" s="113">
        <v>14.9</v>
      </c>
      <c r="C49" s="113">
        <v>30</v>
      </c>
      <c r="D49" s="113">
        <v>30</v>
      </c>
      <c r="E49" s="113">
        <v>30</v>
      </c>
      <c r="F49" s="113">
        <v>30</v>
      </c>
      <c r="G49" s="113">
        <v>30</v>
      </c>
      <c r="H49" s="113">
        <v>30</v>
      </c>
      <c r="I49" s="113">
        <v>30</v>
      </c>
      <c r="J49" s="113">
        <v>30</v>
      </c>
      <c r="K49" s="113">
        <v>30</v>
      </c>
      <c r="L49" s="113">
        <v>30</v>
      </c>
      <c r="M49" s="113">
        <v>30</v>
      </c>
      <c r="N49" s="113">
        <v>29.3</v>
      </c>
      <c r="O49" s="113">
        <v>29.3</v>
      </c>
      <c r="P49" s="105">
        <v>29.3</v>
      </c>
      <c r="Q49" s="105">
        <v>29.3</v>
      </c>
      <c r="R49" s="105">
        <v>29.3</v>
      </c>
      <c r="S49" s="105">
        <v>29.3</v>
      </c>
      <c r="T49" s="105">
        <v>29.3</v>
      </c>
      <c r="U49" s="105">
        <v>29.3</v>
      </c>
      <c r="V49" s="105">
        <v>29.3</v>
      </c>
      <c r="W49" s="105">
        <v>29.3</v>
      </c>
      <c r="X49" s="105">
        <v>29.3</v>
      </c>
      <c r="Y49" s="105">
        <v>29.3</v>
      </c>
      <c r="Z49" s="105">
        <v>29.3</v>
      </c>
      <c r="AA49" s="105">
        <v>29.3</v>
      </c>
      <c r="AB49" s="113">
        <v>28.3</v>
      </c>
      <c r="AC49" s="113">
        <v>28.4</v>
      </c>
      <c r="AD49" s="113">
        <v>28.3</v>
      </c>
      <c r="AE49" s="113">
        <v>28.3</v>
      </c>
      <c r="AF49" s="113">
        <v>28.3</v>
      </c>
      <c r="AG49" s="94">
        <v>30</v>
      </c>
      <c r="AH49" s="20">
        <f t="shared" si="2"/>
        <v>30</v>
      </c>
      <c r="AI49" s="19">
        <f t="shared" si="3"/>
        <v>14.9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6</v>
      </c>
      <c r="N50" s="80">
        <v>8</v>
      </c>
      <c r="O50" s="80">
        <v>8</v>
      </c>
      <c r="P50" s="105">
        <v>12</v>
      </c>
      <c r="Q50" s="105">
        <v>12</v>
      </c>
      <c r="R50" s="105">
        <v>12</v>
      </c>
      <c r="S50" s="105">
        <v>12.95</v>
      </c>
      <c r="T50" s="105">
        <v>8.1999999999999993</v>
      </c>
      <c r="U50" s="105">
        <v>8.1999999999999993</v>
      </c>
      <c r="V50" s="105">
        <v>8.1999999999999993</v>
      </c>
      <c r="W50" s="105">
        <v>8.1999999999999993</v>
      </c>
      <c r="X50" s="105">
        <v>0</v>
      </c>
      <c r="Y50" s="105">
        <v>0</v>
      </c>
      <c r="Z50" s="105">
        <v>0</v>
      </c>
      <c r="AA50" s="105">
        <v>0</v>
      </c>
      <c r="AB50" s="80">
        <v>0</v>
      </c>
      <c r="AC50" s="80">
        <v>0</v>
      </c>
      <c r="AD50" s="80">
        <v>0</v>
      </c>
      <c r="AE50" s="80">
        <v>0</v>
      </c>
      <c r="AF50" s="80">
        <v>0</v>
      </c>
      <c r="AG50" s="94">
        <v>25</v>
      </c>
      <c r="AH50" s="20">
        <f t="shared" si="2"/>
        <v>12.95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17.100000000000001</v>
      </c>
      <c r="C51" s="80">
        <v>17.100000000000001</v>
      </c>
      <c r="D51" s="80">
        <v>13</v>
      </c>
      <c r="E51" s="80">
        <v>13</v>
      </c>
      <c r="F51" s="80">
        <v>13</v>
      </c>
      <c r="G51" s="80">
        <v>13</v>
      </c>
      <c r="H51" s="80">
        <v>13</v>
      </c>
      <c r="I51" s="80">
        <v>13</v>
      </c>
      <c r="J51" s="80">
        <v>13</v>
      </c>
      <c r="K51" s="80">
        <v>13</v>
      </c>
      <c r="L51" s="80">
        <v>13</v>
      </c>
      <c r="M51" s="80">
        <v>17</v>
      </c>
      <c r="N51" s="80">
        <v>17.2</v>
      </c>
      <c r="O51" s="80">
        <v>17.2</v>
      </c>
      <c r="P51" s="105">
        <v>17.100000000000001</v>
      </c>
      <c r="Q51" s="105">
        <v>17.100000000000001</v>
      </c>
      <c r="R51" s="105">
        <v>17.100000000000001</v>
      </c>
      <c r="S51" s="105">
        <v>17.100000000000001</v>
      </c>
      <c r="T51" s="105">
        <v>17.100000000000001</v>
      </c>
      <c r="U51" s="105">
        <v>17.100000000000001</v>
      </c>
      <c r="V51" s="105">
        <v>17.100000000000001</v>
      </c>
      <c r="W51" s="105">
        <v>17.100000000000001</v>
      </c>
      <c r="X51" s="105">
        <v>17.100000000000001</v>
      </c>
      <c r="Y51" s="105">
        <v>16.8</v>
      </c>
      <c r="Z51" s="105">
        <v>0</v>
      </c>
      <c r="AA51" s="105">
        <v>16.8</v>
      </c>
      <c r="AB51" s="80">
        <v>16.8</v>
      </c>
      <c r="AC51" s="80">
        <v>16.8</v>
      </c>
      <c r="AD51" s="80">
        <v>16.8</v>
      </c>
      <c r="AE51" s="80">
        <v>16.8</v>
      </c>
      <c r="AF51" s="80">
        <v>16.8</v>
      </c>
      <c r="AG51" s="94">
        <v>24</v>
      </c>
      <c r="AH51" s="20">
        <f t="shared" si="2"/>
        <v>17.2</v>
      </c>
      <c r="AI51" s="19">
        <f t="shared" si="3"/>
        <v>0</v>
      </c>
      <c r="AK51" s="41"/>
    </row>
    <row r="52" spans="1:41" x14ac:dyDescent="0.25">
      <c r="A52" s="95" t="s">
        <v>183</v>
      </c>
      <c r="B52" s="80">
        <v>3</v>
      </c>
      <c r="C52" s="80">
        <v>3</v>
      </c>
      <c r="D52" s="80">
        <v>3</v>
      </c>
      <c r="E52" s="80">
        <v>3</v>
      </c>
      <c r="F52" s="80">
        <v>3</v>
      </c>
      <c r="G52" s="80">
        <v>3</v>
      </c>
      <c r="H52" s="80">
        <v>3</v>
      </c>
      <c r="I52" s="80">
        <v>3</v>
      </c>
      <c r="J52" s="80">
        <v>3</v>
      </c>
      <c r="K52" s="80">
        <v>3</v>
      </c>
      <c r="L52" s="80">
        <v>3</v>
      </c>
      <c r="M52" s="80">
        <v>3</v>
      </c>
      <c r="N52" s="80">
        <v>3</v>
      </c>
      <c r="O52" s="80">
        <v>3</v>
      </c>
      <c r="P52" s="105">
        <v>0</v>
      </c>
      <c r="Q52" s="105">
        <v>0</v>
      </c>
      <c r="R52" s="105">
        <v>0</v>
      </c>
      <c r="S52" s="105">
        <v>0</v>
      </c>
      <c r="T52" s="105">
        <v>1.5</v>
      </c>
      <c r="U52" s="105">
        <v>1.5</v>
      </c>
      <c r="V52" s="105">
        <v>1.5</v>
      </c>
      <c r="W52" s="105">
        <v>1.5</v>
      </c>
      <c r="X52" s="105">
        <v>4.5</v>
      </c>
      <c r="Y52" s="105">
        <v>4.5</v>
      </c>
      <c r="Z52" s="105">
        <v>4.5</v>
      </c>
      <c r="AA52" s="105">
        <v>4.5</v>
      </c>
      <c r="AB52" s="80">
        <v>3</v>
      </c>
      <c r="AC52" s="80">
        <v>3</v>
      </c>
      <c r="AD52" s="80">
        <v>3</v>
      </c>
      <c r="AE52" s="80">
        <v>3</v>
      </c>
      <c r="AF52" s="80">
        <v>3</v>
      </c>
      <c r="AG52" s="94">
        <v>15</v>
      </c>
      <c r="AH52" s="20">
        <f t="shared" si="2"/>
        <v>4.5</v>
      </c>
      <c r="AI52" s="19">
        <f t="shared" si="3"/>
        <v>0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7.8</v>
      </c>
      <c r="C53" s="80">
        <v>7.8</v>
      </c>
      <c r="D53" s="80">
        <v>7.8</v>
      </c>
      <c r="E53" s="80">
        <v>7.8</v>
      </c>
      <c r="F53" s="80">
        <v>7.8</v>
      </c>
      <c r="G53" s="80">
        <v>7.8</v>
      </c>
      <c r="H53" s="80">
        <v>7.8</v>
      </c>
      <c r="I53" s="80">
        <v>7.8</v>
      </c>
      <c r="J53" s="80">
        <v>7.8</v>
      </c>
      <c r="K53" s="80">
        <v>7.8</v>
      </c>
      <c r="L53" s="80">
        <v>7.8</v>
      </c>
      <c r="M53" s="80">
        <v>7.8</v>
      </c>
      <c r="N53" s="80">
        <v>7.8</v>
      </c>
      <c r="O53" s="80">
        <v>7.8</v>
      </c>
      <c r="P53" s="105">
        <v>7.7</v>
      </c>
      <c r="Q53" s="105">
        <v>7.7</v>
      </c>
      <c r="R53" s="105">
        <v>7.7</v>
      </c>
      <c r="S53" s="105">
        <v>7.7</v>
      </c>
      <c r="T53" s="105">
        <v>7.7</v>
      </c>
      <c r="U53" s="105">
        <v>7.7</v>
      </c>
      <c r="V53" s="105">
        <v>7.7</v>
      </c>
      <c r="W53" s="105">
        <v>7.7</v>
      </c>
      <c r="X53" s="105">
        <v>7.7</v>
      </c>
      <c r="Y53" s="105">
        <v>7.9</v>
      </c>
      <c r="Z53" s="105">
        <v>4.9000000000000004</v>
      </c>
      <c r="AA53" s="105">
        <v>4.9000000000000004</v>
      </c>
      <c r="AB53" s="80">
        <v>7.9</v>
      </c>
      <c r="AC53" s="80">
        <v>8</v>
      </c>
      <c r="AD53" s="80">
        <v>8</v>
      </c>
      <c r="AE53" s="80">
        <v>8</v>
      </c>
      <c r="AF53" s="80">
        <v>8</v>
      </c>
      <c r="AG53" s="94">
        <v>14.1</v>
      </c>
      <c r="AH53" s="20">
        <f t="shared" si="2"/>
        <v>8</v>
      </c>
      <c r="AI53" s="19">
        <f t="shared" si="3"/>
        <v>4.9000000000000004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14</v>
      </c>
      <c r="C54" s="80">
        <v>14</v>
      </c>
      <c r="D54" s="80">
        <v>10</v>
      </c>
      <c r="E54" s="80">
        <v>10</v>
      </c>
      <c r="F54" s="80">
        <v>10</v>
      </c>
      <c r="G54" s="80">
        <v>10</v>
      </c>
      <c r="H54" s="80">
        <v>10</v>
      </c>
      <c r="I54" s="80">
        <v>10</v>
      </c>
      <c r="J54" s="80">
        <v>10</v>
      </c>
      <c r="K54" s="80">
        <v>10</v>
      </c>
      <c r="L54" s="80">
        <v>10</v>
      </c>
      <c r="M54" s="80">
        <v>14</v>
      </c>
      <c r="N54" s="80">
        <v>14.3</v>
      </c>
      <c r="O54" s="80">
        <v>14.3</v>
      </c>
      <c r="P54" s="105">
        <v>14.2</v>
      </c>
      <c r="Q54" s="105">
        <v>14.2</v>
      </c>
      <c r="R54" s="105">
        <v>14.2</v>
      </c>
      <c r="S54" s="105">
        <v>14.2</v>
      </c>
      <c r="T54" s="105">
        <v>14.2</v>
      </c>
      <c r="U54" s="105">
        <v>14.2</v>
      </c>
      <c r="V54" s="105">
        <v>14.2</v>
      </c>
      <c r="W54" s="105">
        <v>14.2</v>
      </c>
      <c r="X54" s="105">
        <v>14.2</v>
      </c>
      <c r="Y54" s="105">
        <v>14.2</v>
      </c>
      <c r="Z54" s="105">
        <v>3.4</v>
      </c>
      <c r="AA54" s="105">
        <v>11.6</v>
      </c>
      <c r="AB54" s="80">
        <v>8.6999999999999993</v>
      </c>
      <c r="AC54" s="80">
        <v>8.6999999999999993</v>
      </c>
      <c r="AD54" s="80">
        <v>10</v>
      </c>
      <c r="AE54" s="80">
        <v>12</v>
      </c>
      <c r="AF54" s="80">
        <v>13</v>
      </c>
      <c r="AG54" s="94">
        <v>14</v>
      </c>
      <c r="AH54" s="20">
        <f t="shared" si="2"/>
        <v>14.3</v>
      </c>
      <c r="AI54" s="19">
        <f t="shared" si="3"/>
        <v>3.4</v>
      </c>
      <c r="AK54" s="41"/>
    </row>
    <row r="55" spans="1:41" x14ac:dyDescent="0.25">
      <c r="A55" s="95" t="s">
        <v>180</v>
      </c>
      <c r="B55" s="80">
        <v>9</v>
      </c>
      <c r="C55" s="80">
        <v>9</v>
      </c>
      <c r="D55" s="80">
        <v>9</v>
      </c>
      <c r="E55" s="80">
        <v>9</v>
      </c>
      <c r="F55" s="80">
        <v>9</v>
      </c>
      <c r="G55" s="80">
        <v>9</v>
      </c>
      <c r="H55" s="80">
        <v>9</v>
      </c>
      <c r="I55" s="80">
        <v>9</v>
      </c>
      <c r="J55" s="80">
        <v>9</v>
      </c>
      <c r="K55" s="80">
        <v>9</v>
      </c>
      <c r="L55" s="80">
        <v>9</v>
      </c>
      <c r="M55" s="80">
        <v>9</v>
      </c>
      <c r="N55" s="80">
        <v>9</v>
      </c>
      <c r="O55" s="80">
        <v>9</v>
      </c>
      <c r="P55" s="80">
        <v>9</v>
      </c>
      <c r="Q55" s="80">
        <v>9</v>
      </c>
      <c r="R55" s="80">
        <v>9</v>
      </c>
      <c r="S55" s="80">
        <v>9</v>
      </c>
      <c r="T55" s="80">
        <v>9</v>
      </c>
      <c r="U55" s="80">
        <v>9</v>
      </c>
      <c r="V55" s="80">
        <v>9</v>
      </c>
      <c r="W55" s="80">
        <v>9</v>
      </c>
      <c r="X55" s="80">
        <v>9</v>
      </c>
      <c r="Y55" s="80">
        <v>9</v>
      </c>
      <c r="Z55" s="80">
        <v>9</v>
      </c>
      <c r="AA55" s="80">
        <v>9</v>
      </c>
      <c r="AB55" s="80">
        <v>9</v>
      </c>
      <c r="AC55" s="80">
        <v>9</v>
      </c>
      <c r="AD55" s="80">
        <v>9</v>
      </c>
      <c r="AE55" s="80">
        <v>9</v>
      </c>
      <c r="AF55" s="80">
        <v>9</v>
      </c>
      <c r="AG55" s="94">
        <v>10.050000000000001</v>
      </c>
      <c r="AH55" s="20">
        <f t="shared" si="2"/>
        <v>9</v>
      </c>
      <c r="AI55" s="19">
        <f t="shared" si="3"/>
        <v>9</v>
      </c>
      <c r="AK55" s="41"/>
    </row>
    <row r="56" spans="1:41" x14ac:dyDescent="0.25">
      <c r="A56" s="95" t="s">
        <v>179</v>
      </c>
      <c r="B56" s="80">
        <v>0</v>
      </c>
      <c r="C56" s="80">
        <v>0</v>
      </c>
      <c r="D56" s="80">
        <v>0</v>
      </c>
      <c r="E56" s="80">
        <v>0</v>
      </c>
      <c r="F56" s="80">
        <v>0</v>
      </c>
      <c r="G56" s="80">
        <v>0</v>
      </c>
      <c r="H56" s="80">
        <v>0</v>
      </c>
      <c r="I56" s="80">
        <v>0</v>
      </c>
      <c r="J56" s="80">
        <v>0</v>
      </c>
      <c r="K56" s="80">
        <v>0</v>
      </c>
      <c r="L56" s="80">
        <v>0</v>
      </c>
      <c r="M56" s="80">
        <v>3.1</v>
      </c>
      <c r="N56" s="80">
        <v>3.1</v>
      </c>
      <c r="O56" s="80">
        <v>3.1</v>
      </c>
      <c r="P56" s="80">
        <v>3.1</v>
      </c>
      <c r="Q56" s="80">
        <v>3.1</v>
      </c>
      <c r="R56" s="80">
        <v>3.1</v>
      </c>
      <c r="S56" s="80">
        <v>3.1</v>
      </c>
      <c r="T56" s="80">
        <v>3.1</v>
      </c>
      <c r="U56" s="80">
        <v>3.1</v>
      </c>
      <c r="V56" s="80">
        <v>3.1</v>
      </c>
      <c r="W56" s="80">
        <v>3.1</v>
      </c>
      <c r="X56" s="80">
        <v>3.1</v>
      </c>
      <c r="Y56" s="80">
        <v>3.1</v>
      </c>
      <c r="Z56" s="80">
        <v>3.1</v>
      </c>
      <c r="AA56" s="80">
        <v>3.1</v>
      </c>
      <c r="AB56" s="80">
        <v>6.2</v>
      </c>
      <c r="AC56" s="80">
        <v>6.2</v>
      </c>
      <c r="AD56" s="80">
        <v>6.2</v>
      </c>
      <c r="AE56" s="80">
        <v>6.2</v>
      </c>
      <c r="AF56" s="80">
        <v>6.2</v>
      </c>
      <c r="AG56" s="94">
        <v>6.2</v>
      </c>
      <c r="AH56" s="20">
        <f t="shared" si="2"/>
        <v>6.2</v>
      </c>
      <c r="AI56" s="19">
        <f t="shared" si="3"/>
        <v>0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8">SUM(B45:B57)</f>
        <v>392.54</v>
      </c>
      <c r="C58" s="86">
        <f t="shared" si="8"/>
        <v>407.64000000000004</v>
      </c>
      <c r="D58" s="86">
        <f t="shared" si="8"/>
        <v>368.74</v>
      </c>
      <c r="E58" s="86">
        <f t="shared" si="8"/>
        <v>311.54000000000002</v>
      </c>
      <c r="F58" s="86">
        <f t="shared" si="8"/>
        <v>311.54000000000002</v>
      </c>
      <c r="G58" s="86">
        <f t="shared" si="8"/>
        <v>311.54000000000002</v>
      </c>
      <c r="H58" s="86">
        <f t="shared" si="8"/>
        <v>311.54000000000002</v>
      </c>
      <c r="I58" s="86">
        <f t="shared" si="8"/>
        <v>311.54000000000002</v>
      </c>
      <c r="J58" s="86">
        <f t="shared" si="8"/>
        <v>326.54000000000002</v>
      </c>
      <c r="K58" s="86">
        <f t="shared" si="8"/>
        <v>388.34000000000003</v>
      </c>
      <c r="L58" s="86">
        <f t="shared" si="8"/>
        <v>410.34000000000003</v>
      </c>
      <c r="M58" s="86">
        <f t="shared" si="8"/>
        <v>427.44000000000005</v>
      </c>
      <c r="N58" s="86">
        <f t="shared" si="8"/>
        <v>429.94000000000005</v>
      </c>
      <c r="O58" s="86">
        <f t="shared" si="8"/>
        <v>429.94000000000005</v>
      </c>
      <c r="P58" s="86">
        <f t="shared" si="8"/>
        <v>432.54</v>
      </c>
      <c r="Q58" s="86">
        <f t="shared" si="8"/>
        <v>432.54</v>
      </c>
      <c r="R58" s="86">
        <f t="shared" si="8"/>
        <v>432.54</v>
      </c>
      <c r="S58" s="86">
        <f t="shared" si="8"/>
        <v>433.49</v>
      </c>
      <c r="T58" s="86">
        <f t="shared" si="8"/>
        <v>430.24</v>
      </c>
      <c r="U58" s="86">
        <f t="shared" si="8"/>
        <v>430.24</v>
      </c>
      <c r="V58" s="86">
        <f t="shared" si="8"/>
        <v>430.24</v>
      </c>
      <c r="W58" s="86">
        <f t="shared" si="8"/>
        <v>430.24</v>
      </c>
      <c r="X58" s="86">
        <f t="shared" si="8"/>
        <v>425.04</v>
      </c>
      <c r="Y58" s="86">
        <f t="shared" si="8"/>
        <v>424.94</v>
      </c>
      <c r="Z58" s="86">
        <f t="shared" si="8"/>
        <v>394.34</v>
      </c>
      <c r="AA58" s="86">
        <f t="shared" si="8"/>
        <v>419.34000000000003</v>
      </c>
      <c r="AB58" s="86">
        <f t="shared" si="8"/>
        <v>422.53999999999996</v>
      </c>
      <c r="AC58" s="86">
        <f t="shared" si="8"/>
        <v>423.03999999999996</v>
      </c>
      <c r="AD58" s="86">
        <f t="shared" si="8"/>
        <v>424.84000000000003</v>
      </c>
      <c r="AE58" s="86">
        <f t="shared" si="8"/>
        <v>423.44</v>
      </c>
      <c r="AF58" s="86">
        <f t="shared" si="8"/>
        <v>424.24</v>
      </c>
      <c r="AG58" s="101">
        <f t="shared" si="8"/>
        <v>489.91</v>
      </c>
      <c r="AH58" s="20">
        <f t="shared" si="2"/>
        <v>433.49</v>
      </c>
      <c r="AI58" s="19">
        <f t="shared" si="3"/>
        <v>311.54000000000002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>
        <v>0</v>
      </c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>
        <v>29.5</v>
      </c>
      <c r="Z59" s="105">
        <v>29.5</v>
      </c>
      <c r="AA59" s="105">
        <v>0</v>
      </c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29.5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15</v>
      </c>
      <c r="Z60" s="80">
        <v>15</v>
      </c>
      <c r="AA60" s="80">
        <v>12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15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07">
        <v>0</v>
      </c>
      <c r="Y61" s="107">
        <v>5.5</v>
      </c>
      <c r="Z61" s="107">
        <v>5.5</v>
      </c>
      <c r="AA61" s="107">
        <v>4.5</v>
      </c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5.5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9">SUM(B59:B61)</f>
        <v>0</v>
      </c>
      <c r="C62" s="86">
        <f t="shared" si="9"/>
        <v>0</v>
      </c>
      <c r="D62" s="86">
        <f t="shared" si="9"/>
        <v>0</v>
      </c>
      <c r="E62" s="86">
        <f t="shared" si="9"/>
        <v>0</v>
      </c>
      <c r="F62" s="86">
        <f t="shared" si="9"/>
        <v>0</v>
      </c>
      <c r="G62" s="86">
        <f t="shared" si="9"/>
        <v>0</v>
      </c>
      <c r="H62" s="86">
        <f t="shared" si="9"/>
        <v>0</v>
      </c>
      <c r="I62" s="86">
        <f t="shared" si="9"/>
        <v>0</v>
      </c>
      <c r="J62" s="86">
        <f t="shared" si="9"/>
        <v>0</v>
      </c>
      <c r="K62" s="86">
        <f t="shared" si="9"/>
        <v>0</v>
      </c>
      <c r="L62" s="86">
        <f t="shared" si="9"/>
        <v>0</v>
      </c>
      <c r="M62" s="86">
        <f t="shared" si="9"/>
        <v>0</v>
      </c>
      <c r="N62" s="86">
        <f t="shared" si="9"/>
        <v>0</v>
      </c>
      <c r="O62" s="86">
        <f t="shared" si="9"/>
        <v>0</v>
      </c>
      <c r="P62" s="86">
        <f t="shared" si="9"/>
        <v>0</v>
      </c>
      <c r="Q62" s="86">
        <f t="shared" si="9"/>
        <v>0</v>
      </c>
      <c r="R62" s="86">
        <f t="shared" si="9"/>
        <v>0</v>
      </c>
      <c r="S62" s="86">
        <f t="shared" si="9"/>
        <v>0</v>
      </c>
      <c r="T62" s="86">
        <f t="shared" si="9"/>
        <v>0</v>
      </c>
      <c r="U62" s="86">
        <f t="shared" si="9"/>
        <v>0</v>
      </c>
      <c r="V62" s="86">
        <f t="shared" si="9"/>
        <v>0</v>
      </c>
      <c r="W62" s="86">
        <f t="shared" si="9"/>
        <v>0</v>
      </c>
      <c r="X62" s="86">
        <f t="shared" si="9"/>
        <v>0</v>
      </c>
      <c r="Y62" s="86">
        <f t="shared" si="9"/>
        <v>50</v>
      </c>
      <c r="Z62" s="86">
        <f t="shared" si="9"/>
        <v>50</v>
      </c>
      <c r="AA62" s="86">
        <f t="shared" si="9"/>
        <v>16.5</v>
      </c>
      <c r="AB62" s="86">
        <f t="shared" si="9"/>
        <v>0</v>
      </c>
      <c r="AC62" s="86">
        <f t="shared" si="9"/>
        <v>0</v>
      </c>
      <c r="AD62" s="86">
        <f t="shared" si="9"/>
        <v>0</v>
      </c>
      <c r="AE62" s="86">
        <f t="shared" si="9"/>
        <v>0</v>
      </c>
      <c r="AF62" s="86">
        <f t="shared" si="9"/>
        <v>0</v>
      </c>
      <c r="AG62" s="101">
        <f t="shared" si="9"/>
        <v>106</v>
      </c>
      <c r="AH62" s="20">
        <f t="shared" si="2"/>
        <v>50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>
        <v>0</v>
      </c>
      <c r="S63" s="105">
        <v>0</v>
      </c>
      <c r="T63" s="105">
        <v>0</v>
      </c>
      <c r="U63" s="105">
        <v>0</v>
      </c>
      <c r="V63" s="105">
        <v>0</v>
      </c>
      <c r="W63" s="105">
        <v>0</v>
      </c>
      <c r="X63" s="105">
        <v>0</v>
      </c>
      <c r="Y63" s="105">
        <v>0</v>
      </c>
      <c r="Z63" s="105">
        <v>0</v>
      </c>
      <c r="AA63" s="105">
        <v>0</v>
      </c>
      <c r="AB63" s="105">
        <v>34.6</v>
      </c>
      <c r="AC63" s="105">
        <v>41.7</v>
      </c>
      <c r="AD63" s="105">
        <v>0</v>
      </c>
      <c r="AE63" s="105">
        <v>0</v>
      </c>
      <c r="AF63" s="105">
        <v>0</v>
      </c>
      <c r="AG63" s="96"/>
      <c r="AH63" s="20">
        <f t="shared" si="2"/>
        <v>41.7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-408</v>
      </c>
      <c r="C65" s="80">
        <v>-416</v>
      </c>
      <c r="D65" s="80">
        <v>-422</v>
      </c>
      <c r="E65" s="80">
        <v>-416</v>
      </c>
      <c r="F65" s="80">
        <v>-436</v>
      </c>
      <c r="G65" s="80">
        <v>-416</v>
      </c>
      <c r="H65" s="80">
        <v>-391</v>
      </c>
      <c r="I65" s="80">
        <v>-412</v>
      </c>
      <c r="J65" s="80">
        <v>-372</v>
      </c>
      <c r="K65" s="80">
        <v>-362</v>
      </c>
      <c r="L65" s="80">
        <v>-391</v>
      </c>
      <c r="M65" s="80">
        <v>-391</v>
      </c>
      <c r="N65" s="80">
        <v>-398</v>
      </c>
      <c r="O65" s="80">
        <v>-358</v>
      </c>
      <c r="P65" s="80">
        <v>-344</v>
      </c>
      <c r="Q65" s="80">
        <v>-331</v>
      </c>
      <c r="R65" s="80">
        <v>-352</v>
      </c>
      <c r="S65" s="80">
        <v>-352</v>
      </c>
      <c r="T65" s="80">
        <v>-346</v>
      </c>
      <c r="U65" s="80">
        <v>-330</v>
      </c>
      <c r="V65" s="80">
        <v>-380</v>
      </c>
      <c r="W65" s="80">
        <v>-392</v>
      </c>
      <c r="X65" s="80">
        <v>-250</v>
      </c>
      <c r="Y65" s="80">
        <v>-261</v>
      </c>
      <c r="Z65" s="80">
        <v>-216</v>
      </c>
      <c r="AA65" s="80">
        <v>-281</v>
      </c>
      <c r="AB65" s="80">
        <v>-337</v>
      </c>
      <c r="AC65" s="80">
        <v>-339.6</v>
      </c>
      <c r="AD65" s="80">
        <v>-350.2</v>
      </c>
      <c r="AE65" s="80">
        <v>-417.7</v>
      </c>
      <c r="AF65" s="80">
        <v>-405</v>
      </c>
      <c r="AG65" s="102"/>
      <c r="AH65" s="20">
        <f t="shared" si="2"/>
        <v>-216</v>
      </c>
      <c r="AI65" s="19">
        <f t="shared" si="3"/>
        <v>-436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10">SUMIF(B63:B73,"&gt;0")</f>
        <v>0</v>
      </c>
      <c r="C74" s="86">
        <f t="shared" si="10"/>
        <v>0</v>
      </c>
      <c r="D74" s="86">
        <f t="shared" si="10"/>
        <v>0</v>
      </c>
      <c r="E74" s="86">
        <f t="shared" si="10"/>
        <v>0</v>
      </c>
      <c r="F74" s="86">
        <f t="shared" si="10"/>
        <v>0</v>
      </c>
      <c r="G74" s="86">
        <f t="shared" si="10"/>
        <v>0</v>
      </c>
      <c r="H74" s="86">
        <f t="shared" si="10"/>
        <v>0</v>
      </c>
      <c r="I74" s="86">
        <f t="shared" si="10"/>
        <v>0</v>
      </c>
      <c r="J74" s="86">
        <f t="shared" si="10"/>
        <v>0</v>
      </c>
      <c r="K74" s="86">
        <f t="shared" si="10"/>
        <v>0</v>
      </c>
      <c r="L74" s="86">
        <f t="shared" si="10"/>
        <v>0</v>
      </c>
      <c r="M74" s="86">
        <f t="shared" si="10"/>
        <v>0</v>
      </c>
      <c r="N74" s="86">
        <f t="shared" si="10"/>
        <v>0</v>
      </c>
      <c r="O74" s="86">
        <f t="shared" si="10"/>
        <v>0</v>
      </c>
      <c r="P74" s="86">
        <f t="shared" si="10"/>
        <v>0</v>
      </c>
      <c r="Q74" s="86">
        <f t="shared" si="10"/>
        <v>0</v>
      </c>
      <c r="R74" s="86">
        <f t="shared" si="10"/>
        <v>0</v>
      </c>
      <c r="S74" s="86">
        <f t="shared" si="10"/>
        <v>0</v>
      </c>
      <c r="T74" s="86">
        <f t="shared" si="10"/>
        <v>0</v>
      </c>
      <c r="U74" s="86">
        <f t="shared" si="10"/>
        <v>0</v>
      </c>
      <c r="V74" s="86">
        <f t="shared" si="10"/>
        <v>0</v>
      </c>
      <c r="W74" s="86">
        <f t="shared" si="10"/>
        <v>0</v>
      </c>
      <c r="X74" s="86">
        <v>0</v>
      </c>
      <c r="Y74" s="86">
        <f t="shared" si="10"/>
        <v>0</v>
      </c>
      <c r="Z74" s="86">
        <f t="shared" si="10"/>
        <v>0</v>
      </c>
      <c r="AA74" s="86">
        <f t="shared" si="10"/>
        <v>0</v>
      </c>
      <c r="AB74" s="86">
        <f t="shared" si="10"/>
        <v>34.6</v>
      </c>
      <c r="AC74" s="86">
        <f t="shared" si="10"/>
        <v>41.7</v>
      </c>
      <c r="AD74" s="86">
        <f t="shared" si="10"/>
        <v>0</v>
      </c>
      <c r="AE74" s="86">
        <f t="shared" si="10"/>
        <v>0</v>
      </c>
      <c r="AF74" s="86">
        <f t="shared" si="10"/>
        <v>0</v>
      </c>
      <c r="AG74" s="85">
        <f>SUM(AG63:AG73)</f>
        <v>0</v>
      </c>
      <c r="AH74" s="20">
        <f t="shared" si="2"/>
        <v>41.7</v>
      </c>
      <c r="AI74" s="19">
        <f t="shared" si="3"/>
        <v>0</v>
      </c>
      <c r="AK74" s="41"/>
    </row>
    <row r="75" spans="1:37" x14ac:dyDescent="0.25">
      <c r="A75" s="97" t="s">
        <v>164</v>
      </c>
      <c r="B75" s="93">
        <v>0</v>
      </c>
      <c r="C75" s="93">
        <v>0</v>
      </c>
      <c r="D75" s="93">
        <v>0</v>
      </c>
      <c r="E75" s="93">
        <v>0</v>
      </c>
      <c r="F75" s="93">
        <v>0</v>
      </c>
      <c r="G75" s="93">
        <v>0</v>
      </c>
      <c r="H75" s="93">
        <v>0</v>
      </c>
      <c r="I75" s="93">
        <v>0</v>
      </c>
      <c r="J75" s="93">
        <v>0</v>
      </c>
      <c r="K75" s="93">
        <v>0</v>
      </c>
      <c r="L75" s="93">
        <v>0</v>
      </c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>
        <v>0</v>
      </c>
      <c r="T75" s="93">
        <v>0</v>
      </c>
      <c r="U75" s="93">
        <v>0</v>
      </c>
      <c r="V75" s="93">
        <v>0</v>
      </c>
      <c r="W75" s="93">
        <v>0</v>
      </c>
      <c r="X75" s="93">
        <v>0</v>
      </c>
      <c r="Y75" s="93">
        <v>0</v>
      </c>
      <c r="Z75" s="93">
        <v>0</v>
      </c>
      <c r="AA75" s="93">
        <v>0</v>
      </c>
      <c r="AB75" s="93">
        <v>0</v>
      </c>
      <c r="AC75" s="93">
        <v>0</v>
      </c>
      <c r="AD75" s="93">
        <v>0</v>
      </c>
      <c r="AE75" s="93"/>
      <c r="AF75" s="93"/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>
        <v>0</v>
      </c>
      <c r="C76" s="103">
        <v>0</v>
      </c>
      <c r="D76" s="103">
        <v>0</v>
      </c>
      <c r="E76" s="103">
        <v>0</v>
      </c>
      <c r="F76" s="103">
        <v>0</v>
      </c>
      <c r="G76" s="103">
        <v>0</v>
      </c>
      <c r="H76" s="103">
        <v>0</v>
      </c>
      <c r="I76" s="103">
        <v>0</v>
      </c>
      <c r="J76" s="103">
        <v>0</v>
      </c>
      <c r="K76" s="103">
        <v>0</v>
      </c>
      <c r="L76" s="103">
        <v>0</v>
      </c>
      <c r="M76" s="103">
        <v>0</v>
      </c>
      <c r="N76" s="103">
        <v>0</v>
      </c>
      <c r="O76" s="103">
        <v>0</v>
      </c>
      <c r="P76" s="103">
        <v>0</v>
      </c>
      <c r="Q76" s="103">
        <v>0</v>
      </c>
      <c r="R76" s="103">
        <v>0</v>
      </c>
      <c r="S76" s="103">
        <v>0</v>
      </c>
      <c r="T76" s="103">
        <v>0</v>
      </c>
      <c r="U76" s="103">
        <v>0</v>
      </c>
      <c r="V76" s="103">
        <v>0</v>
      </c>
      <c r="W76" s="103">
        <v>0</v>
      </c>
      <c r="X76" s="103">
        <v>0</v>
      </c>
      <c r="Y76" s="103">
        <v>0</v>
      </c>
      <c r="Z76" s="103">
        <v>0</v>
      </c>
      <c r="AA76" s="103">
        <v>0</v>
      </c>
      <c r="AB76" s="103">
        <v>0</v>
      </c>
      <c r="AC76" s="103">
        <v>0</v>
      </c>
      <c r="AD76" s="103">
        <v>0</v>
      </c>
      <c r="AE76" s="103"/>
      <c r="AF76" s="103"/>
      <c r="AG76" s="102">
        <v>14.4</v>
      </c>
      <c r="AH76" s="20">
        <f t="shared" si="2"/>
        <v>0</v>
      </c>
      <c r="AI76" s="19">
        <f t="shared" si="3"/>
        <v>0</v>
      </c>
      <c r="AK76" s="41"/>
    </row>
    <row r="77" spans="1:37" ht="15.75" thickBot="1" x14ac:dyDescent="0.3">
      <c r="A77" s="91" t="s">
        <v>162</v>
      </c>
      <c r="B77" s="90">
        <v>0</v>
      </c>
      <c r="C77" s="90">
        <v>0</v>
      </c>
      <c r="D77" s="90">
        <v>0</v>
      </c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  <c r="AA77" s="90">
        <v>0</v>
      </c>
      <c r="AB77" s="90">
        <v>0</v>
      </c>
      <c r="AC77" s="90">
        <v>0</v>
      </c>
      <c r="AD77" s="90">
        <v>0</v>
      </c>
      <c r="AE77" s="90"/>
      <c r="AF77" s="90"/>
      <c r="AG77" s="89">
        <v>2</v>
      </c>
      <c r="AH77" s="20">
        <f t="shared" ref="AH77:AH99" si="11">MAX(B77:AF77)</f>
        <v>0</v>
      </c>
      <c r="AI77" s="19">
        <f>MIN(B77:AF77)</f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11"/>
        <v>0</v>
      </c>
      <c r="AI78" s="19">
        <f>MIN(B78:AF78)</f>
        <v>0</v>
      </c>
    </row>
    <row r="79" spans="1:37" ht="15.75" thickBot="1" x14ac:dyDescent="0.3">
      <c r="A79" s="87" t="s">
        <v>160</v>
      </c>
      <c r="B79" s="98">
        <f t="shared" ref="B79:AG79" si="12">B40+B44+B62+B58+B74+B78</f>
        <v>1701.84</v>
      </c>
      <c r="C79" s="98">
        <f t="shared" si="12"/>
        <v>1716.94</v>
      </c>
      <c r="D79" s="98">
        <f t="shared" si="12"/>
        <v>1678.04</v>
      </c>
      <c r="E79" s="98">
        <f t="shared" si="12"/>
        <v>1620.84</v>
      </c>
      <c r="F79" s="98">
        <f t="shared" si="12"/>
        <v>1620.84</v>
      </c>
      <c r="G79" s="98">
        <f t="shared" si="12"/>
        <v>1620.84</v>
      </c>
      <c r="H79" s="98">
        <f t="shared" si="12"/>
        <v>1620.84</v>
      </c>
      <c r="I79" s="98">
        <f t="shared" si="12"/>
        <v>1620.84</v>
      </c>
      <c r="J79" s="98">
        <f t="shared" si="12"/>
        <v>1635.84</v>
      </c>
      <c r="K79" s="98">
        <f t="shared" si="12"/>
        <v>1697.6399999999999</v>
      </c>
      <c r="L79" s="98">
        <f t="shared" si="12"/>
        <v>1744.6399999999999</v>
      </c>
      <c r="M79" s="98">
        <f t="shared" si="12"/>
        <v>1782.24</v>
      </c>
      <c r="N79" s="98">
        <f t="shared" si="12"/>
        <v>1811.44</v>
      </c>
      <c r="O79" s="98">
        <f t="shared" si="12"/>
        <v>1754.8400000000001</v>
      </c>
      <c r="P79" s="98">
        <f t="shared" si="12"/>
        <v>1772.24</v>
      </c>
      <c r="Q79" s="98">
        <f t="shared" si="12"/>
        <v>1768.34</v>
      </c>
      <c r="R79" s="98">
        <f t="shared" si="12"/>
        <v>1763.94</v>
      </c>
      <c r="S79" s="98">
        <f t="shared" si="12"/>
        <v>1821.19</v>
      </c>
      <c r="T79" s="98">
        <f t="shared" si="12"/>
        <v>1817.94</v>
      </c>
      <c r="U79" s="98">
        <f t="shared" si="12"/>
        <v>1817.94</v>
      </c>
      <c r="V79" s="98">
        <f t="shared" si="12"/>
        <v>1731.94</v>
      </c>
      <c r="W79" s="98">
        <f t="shared" si="12"/>
        <v>1817.94</v>
      </c>
      <c r="X79" s="98">
        <f t="shared" si="12"/>
        <v>1803.74</v>
      </c>
      <c r="Y79" s="98">
        <f t="shared" si="12"/>
        <v>1869.3400000000001</v>
      </c>
      <c r="Z79" s="98">
        <f t="shared" si="12"/>
        <v>1838.74</v>
      </c>
      <c r="AA79" s="98">
        <f t="shared" si="12"/>
        <v>1830.2400000000002</v>
      </c>
      <c r="AB79" s="98">
        <f t="shared" si="12"/>
        <v>1858.54</v>
      </c>
      <c r="AC79" s="98">
        <f t="shared" si="12"/>
        <v>1863.64</v>
      </c>
      <c r="AD79" s="98">
        <f t="shared" si="12"/>
        <v>1818.7400000000002</v>
      </c>
      <c r="AE79" s="98">
        <f t="shared" si="12"/>
        <v>1802.3400000000001</v>
      </c>
      <c r="AF79" s="98">
        <f t="shared" si="12"/>
        <v>1745.34</v>
      </c>
      <c r="AG79" s="101">
        <f t="shared" si="12"/>
        <v>1897.1900000000003</v>
      </c>
      <c r="AH79" s="20">
        <f t="shared" si="11"/>
        <v>1869.3400000000001</v>
      </c>
      <c r="AI79" s="19">
        <f>MIN(B79:AF79)</f>
        <v>1620.84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11"/>
        <v>0</v>
      </c>
      <c r="AI80" s="19">
        <f>MIN(B80:AF80)</f>
        <v>0</v>
      </c>
    </row>
    <row r="81" spans="1:37" ht="15.75" thickBot="1" x14ac:dyDescent="0.3">
      <c r="A81" s="87" t="s">
        <v>158</v>
      </c>
      <c r="B81" s="98">
        <f t="shared" ref="B81:AF81" si="13">B79+B80</f>
        <v>1701.84</v>
      </c>
      <c r="C81" s="98">
        <f t="shared" si="13"/>
        <v>1716.94</v>
      </c>
      <c r="D81" s="98">
        <f t="shared" si="13"/>
        <v>1678.04</v>
      </c>
      <c r="E81" s="98">
        <f t="shared" si="13"/>
        <v>1620.84</v>
      </c>
      <c r="F81" s="98">
        <f t="shared" si="13"/>
        <v>1620.84</v>
      </c>
      <c r="G81" s="98">
        <f t="shared" si="13"/>
        <v>1620.84</v>
      </c>
      <c r="H81" s="98">
        <f t="shared" si="13"/>
        <v>1620.84</v>
      </c>
      <c r="I81" s="98">
        <f t="shared" si="13"/>
        <v>1620.84</v>
      </c>
      <c r="J81" s="98">
        <f t="shared" si="13"/>
        <v>1635.84</v>
      </c>
      <c r="K81" s="98">
        <f t="shared" si="13"/>
        <v>1697.6399999999999</v>
      </c>
      <c r="L81" s="98">
        <f t="shared" si="13"/>
        <v>1744.6399999999999</v>
      </c>
      <c r="M81" s="98">
        <f t="shared" si="13"/>
        <v>1782.24</v>
      </c>
      <c r="N81" s="98">
        <f t="shared" si="13"/>
        <v>1811.44</v>
      </c>
      <c r="O81" s="98">
        <f t="shared" si="13"/>
        <v>1754.8400000000001</v>
      </c>
      <c r="P81" s="98">
        <f t="shared" si="13"/>
        <v>1772.24</v>
      </c>
      <c r="Q81" s="98">
        <f t="shared" si="13"/>
        <v>1768.34</v>
      </c>
      <c r="R81" s="98">
        <f t="shared" si="13"/>
        <v>1763.94</v>
      </c>
      <c r="S81" s="98">
        <f t="shared" si="13"/>
        <v>1821.19</v>
      </c>
      <c r="T81" s="98">
        <f t="shared" si="13"/>
        <v>1817.94</v>
      </c>
      <c r="U81" s="98">
        <f t="shared" si="13"/>
        <v>1817.94</v>
      </c>
      <c r="V81" s="98">
        <f t="shared" si="13"/>
        <v>1731.94</v>
      </c>
      <c r="W81" s="98">
        <f t="shared" si="13"/>
        <v>1817.94</v>
      </c>
      <c r="X81" s="98">
        <f t="shared" si="13"/>
        <v>1803.74</v>
      </c>
      <c r="Y81" s="98">
        <f t="shared" si="13"/>
        <v>1869.3400000000001</v>
      </c>
      <c r="Z81" s="98">
        <f t="shared" si="13"/>
        <v>1838.74</v>
      </c>
      <c r="AA81" s="98">
        <f t="shared" si="13"/>
        <v>1830.2400000000002</v>
      </c>
      <c r="AB81" s="98">
        <f t="shared" si="13"/>
        <v>1858.54</v>
      </c>
      <c r="AC81" s="98">
        <f t="shared" si="13"/>
        <v>1863.64</v>
      </c>
      <c r="AD81" s="98">
        <f t="shared" si="13"/>
        <v>1818.7400000000002</v>
      </c>
      <c r="AE81" s="98">
        <f t="shared" si="13"/>
        <v>1802.3400000000001</v>
      </c>
      <c r="AF81" s="98">
        <f t="shared" si="13"/>
        <v>1745.34</v>
      </c>
      <c r="AG81" s="85">
        <f>AG78+AG74+AG62+AG58+AG40+AG80</f>
        <v>1359.0900000000001</v>
      </c>
      <c r="AH81" s="20">
        <f t="shared" si="11"/>
        <v>1869.3400000000001</v>
      </c>
      <c r="AI81" s="19">
        <f>MIN(B81:AF81)</f>
        <v>1620.84</v>
      </c>
    </row>
    <row r="82" spans="1:37" ht="15.75" thickBot="1" x14ac:dyDescent="0.3">
      <c r="A82" s="87" t="s">
        <v>157</v>
      </c>
      <c r="B82" s="98">
        <f t="shared" ref="B82:AF82" si="14">B81-B89</f>
        <v>1293.8399999999999</v>
      </c>
      <c r="C82" s="98">
        <f t="shared" si="14"/>
        <v>1300.94</v>
      </c>
      <c r="D82" s="98">
        <f t="shared" si="14"/>
        <v>1256.04</v>
      </c>
      <c r="E82" s="98">
        <f t="shared" si="14"/>
        <v>1204.8399999999999</v>
      </c>
      <c r="F82" s="98">
        <f t="shared" si="14"/>
        <v>1184.8399999999999</v>
      </c>
      <c r="G82" s="98">
        <f t="shared" si="14"/>
        <v>1204.8399999999999</v>
      </c>
      <c r="H82" s="98">
        <f t="shared" si="14"/>
        <v>1229.8399999999999</v>
      </c>
      <c r="I82" s="98">
        <f t="shared" si="14"/>
        <v>1208.8399999999999</v>
      </c>
      <c r="J82" s="98">
        <f t="shared" si="14"/>
        <v>1263.8399999999999</v>
      </c>
      <c r="K82" s="98">
        <f t="shared" si="14"/>
        <v>1335.6399999999999</v>
      </c>
      <c r="L82" s="98">
        <f t="shared" si="14"/>
        <v>1353.6399999999999</v>
      </c>
      <c r="M82" s="98">
        <f t="shared" si="14"/>
        <v>1391.24</v>
      </c>
      <c r="N82" s="98">
        <f t="shared" si="14"/>
        <v>1413.44</v>
      </c>
      <c r="O82" s="98">
        <f t="shared" si="14"/>
        <v>1396.8400000000001</v>
      </c>
      <c r="P82" s="98">
        <f t="shared" si="14"/>
        <v>1428.24</v>
      </c>
      <c r="Q82" s="98">
        <f t="shared" si="14"/>
        <v>1437.34</v>
      </c>
      <c r="R82" s="98">
        <f t="shared" si="14"/>
        <v>1411.94</v>
      </c>
      <c r="S82" s="98">
        <f t="shared" si="14"/>
        <v>1469.19</v>
      </c>
      <c r="T82" s="98">
        <f t="shared" si="14"/>
        <v>1471.94</v>
      </c>
      <c r="U82" s="98">
        <f t="shared" si="14"/>
        <v>1487.94</v>
      </c>
      <c r="V82" s="98">
        <f t="shared" si="14"/>
        <v>1351.94</v>
      </c>
      <c r="W82" s="98">
        <f t="shared" si="14"/>
        <v>1425.94</v>
      </c>
      <c r="X82" s="98">
        <f t="shared" si="14"/>
        <v>1553.74</v>
      </c>
      <c r="Y82" s="98">
        <f t="shared" si="14"/>
        <v>1608.3400000000001</v>
      </c>
      <c r="Z82" s="98">
        <f t="shared" si="14"/>
        <v>1622.74</v>
      </c>
      <c r="AA82" s="98">
        <f t="shared" si="14"/>
        <v>1549.2400000000002</v>
      </c>
      <c r="AB82" s="98">
        <f t="shared" si="14"/>
        <v>1521.54</v>
      </c>
      <c r="AC82" s="98">
        <f t="shared" si="14"/>
        <v>1524.04</v>
      </c>
      <c r="AD82" s="98">
        <f t="shared" si="14"/>
        <v>1468.5400000000002</v>
      </c>
      <c r="AE82" s="98">
        <f t="shared" si="14"/>
        <v>1384.64</v>
      </c>
      <c r="AF82" s="98">
        <f t="shared" si="14"/>
        <v>1340.34</v>
      </c>
      <c r="AG82" s="85"/>
      <c r="AH82" s="20">
        <f t="shared" si="11"/>
        <v>1622.74</v>
      </c>
      <c r="AI82" s="19"/>
    </row>
    <row r="83" spans="1:37" x14ac:dyDescent="0.25">
      <c r="A83" s="97" t="s">
        <v>156</v>
      </c>
      <c r="B83" s="93">
        <f t="shared" ref="B83:AF83" si="15">IF(B66&lt;0,B66*-1,0)</f>
        <v>0</v>
      </c>
      <c r="C83" s="93">
        <f t="shared" si="15"/>
        <v>0</v>
      </c>
      <c r="D83" s="93">
        <f t="shared" si="15"/>
        <v>0</v>
      </c>
      <c r="E83" s="93">
        <f t="shared" si="15"/>
        <v>0</v>
      </c>
      <c r="F83" s="93">
        <f t="shared" si="15"/>
        <v>0</v>
      </c>
      <c r="G83" s="93">
        <f t="shared" si="15"/>
        <v>0</v>
      </c>
      <c r="H83" s="93">
        <f t="shared" si="15"/>
        <v>0</v>
      </c>
      <c r="I83" s="93">
        <f t="shared" si="15"/>
        <v>0</v>
      </c>
      <c r="J83" s="93">
        <f t="shared" si="15"/>
        <v>0</v>
      </c>
      <c r="K83" s="93">
        <f t="shared" si="15"/>
        <v>0</v>
      </c>
      <c r="L83" s="93">
        <f t="shared" si="15"/>
        <v>0</v>
      </c>
      <c r="M83" s="93">
        <f t="shared" si="15"/>
        <v>0</v>
      </c>
      <c r="N83" s="93">
        <f t="shared" si="15"/>
        <v>0</v>
      </c>
      <c r="O83" s="93">
        <f t="shared" si="15"/>
        <v>0</v>
      </c>
      <c r="P83" s="93">
        <f t="shared" si="15"/>
        <v>0</v>
      </c>
      <c r="Q83" s="93">
        <f t="shared" si="15"/>
        <v>0</v>
      </c>
      <c r="R83" s="93">
        <f t="shared" si="15"/>
        <v>0</v>
      </c>
      <c r="S83" s="93">
        <f t="shared" si="15"/>
        <v>0</v>
      </c>
      <c r="T83" s="93">
        <f t="shared" si="15"/>
        <v>0</v>
      </c>
      <c r="U83" s="93">
        <f t="shared" si="15"/>
        <v>0</v>
      </c>
      <c r="V83" s="93">
        <f t="shared" si="15"/>
        <v>0</v>
      </c>
      <c r="W83" s="93">
        <f t="shared" si="15"/>
        <v>0</v>
      </c>
      <c r="X83" s="93">
        <f t="shared" si="15"/>
        <v>0</v>
      </c>
      <c r="Y83" s="93">
        <f t="shared" si="15"/>
        <v>0</v>
      </c>
      <c r="Z83" s="93">
        <f t="shared" si="15"/>
        <v>0</v>
      </c>
      <c r="AA83" s="93">
        <f t="shared" si="15"/>
        <v>0</v>
      </c>
      <c r="AB83" s="93">
        <f t="shared" si="15"/>
        <v>0</v>
      </c>
      <c r="AC83" s="93">
        <f t="shared" si="15"/>
        <v>0</v>
      </c>
      <c r="AD83" s="93">
        <f t="shared" si="15"/>
        <v>0</v>
      </c>
      <c r="AE83" s="93">
        <f t="shared" si="15"/>
        <v>0</v>
      </c>
      <c r="AF83" s="93">
        <f t="shared" si="15"/>
        <v>0</v>
      </c>
      <c r="AG83" s="96"/>
      <c r="AH83" s="20">
        <f t="shared" si="11"/>
        <v>0</v>
      </c>
      <c r="AI83" s="19">
        <f t="shared" ref="AI83:AI99" si="16">MIN(B83:AF83)</f>
        <v>0</v>
      </c>
    </row>
    <row r="84" spans="1:37" x14ac:dyDescent="0.25">
      <c r="A84" s="95" t="s">
        <v>155</v>
      </c>
      <c r="B84" s="93">
        <f t="shared" ref="B84:AF84" si="17">IF(B64&lt;0,B64*-1,0)</f>
        <v>0</v>
      </c>
      <c r="C84" s="93">
        <f t="shared" si="17"/>
        <v>0</v>
      </c>
      <c r="D84" s="93">
        <f t="shared" si="17"/>
        <v>0</v>
      </c>
      <c r="E84" s="93">
        <f t="shared" si="17"/>
        <v>0</v>
      </c>
      <c r="F84" s="93">
        <f t="shared" si="17"/>
        <v>0</v>
      </c>
      <c r="G84" s="93">
        <f t="shared" si="17"/>
        <v>0</v>
      </c>
      <c r="H84" s="93">
        <f t="shared" si="17"/>
        <v>0</v>
      </c>
      <c r="I84" s="93">
        <f t="shared" si="17"/>
        <v>0</v>
      </c>
      <c r="J84" s="93">
        <f t="shared" si="17"/>
        <v>0</v>
      </c>
      <c r="K84" s="93">
        <f t="shared" si="17"/>
        <v>0</v>
      </c>
      <c r="L84" s="93">
        <f t="shared" si="17"/>
        <v>0</v>
      </c>
      <c r="M84" s="93">
        <f t="shared" si="17"/>
        <v>0</v>
      </c>
      <c r="N84" s="93">
        <f t="shared" si="17"/>
        <v>0</v>
      </c>
      <c r="O84" s="93">
        <f t="shared" si="17"/>
        <v>0</v>
      </c>
      <c r="P84" s="93">
        <f t="shared" si="17"/>
        <v>0</v>
      </c>
      <c r="Q84" s="93">
        <f t="shared" si="17"/>
        <v>0</v>
      </c>
      <c r="R84" s="93">
        <f t="shared" si="17"/>
        <v>0</v>
      </c>
      <c r="S84" s="93">
        <f t="shared" si="17"/>
        <v>0</v>
      </c>
      <c r="T84" s="93">
        <f t="shared" si="17"/>
        <v>0</v>
      </c>
      <c r="U84" s="93">
        <f t="shared" si="17"/>
        <v>0</v>
      </c>
      <c r="V84" s="93">
        <f t="shared" si="17"/>
        <v>0</v>
      </c>
      <c r="W84" s="93">
        <f t="shared" si="17"/>
        <v>0</v>
      </c>
      <c r="X84" s="93">
        <f t="shared" si="17"/>
        <v>0</v>
      </c>
      <c r="Y84" s="93">
        <f t="shared" si="17"/>
        <v>0</v>
      </c>
      <c r="Z84" s="93">
        <f t="shared" si="17"/>
        <v>0</v>
      </c>
      <c r="AA84" s="93">
        <f t="shared" si="17"/>
        <v>0</v>
      </c>
      <c r="AB84" s="93">
        <f t="shared" si="17"/>
        <v>0</v>
      </c>
      <c r="AC84" s="93">
        <f t="shared" si="17"/>
        <v>0</v>
      </c>
      <c r="AD84" s="93">
        <f t="shared" si="17"/>
        <v>0</v>
      </c>
      <c r="AE84" s="93">
        <f t="shared" si="17"/>
        <v>0</v>
      </c>
      <c r="AF84" s="93">
        <f t="shared" si="17"/>
        <v>0</v>
      </c>
      <c r="AG84" s="94"/>
      <c r="AH84" s="20">
        <f t="shared" si="11"/>
        <v>0</v>
      </c>
      <c r="AI84" s="19">
        <f t="shared" si="16"/>
        <v>0</v>
      </c>
    </row>
    <row r="85" spans="1:37" x14ac:dyDescent="0.25">
      <c r="A85" s="91" t="s">
        <v>154</v>
      </c>
      <c r="B85" s="93">
        <f t="shared" ref="B85:AF85" si="18">IF(B67&lt;0,B67*-1,0)</f>
        <v>0</v>
      </c>
      <c r="C85" s="93">
        <f t="shared" si="18"/>
        <v>0</v>
      </c>
      <c r="D85" s="93">
        <f t="shared" si="18"/>
        <v>0</v>
      </c>
      <c r="E85" s="93">
        <f t="shared" si="18"/>
        <v>0</v>
      </c>
      <c r="F85" s="93">
        <f t="shared" si="18"/>
        <v>0</v>
      </c>
      <c r="G85" s="93">
        <f t="shared" si="18"/>
        <v>0</v>
      </c>
      <c r="H85" s="93">
        <f t="shared" si="18"/>
        <v>0</v>
      </c>
      <c r="I85" s="93">
        <f t="shared" si="18"/>
        <v>0</v>
      </c>
      <c r="J85" s="93">
        <f t="shared" si="18"/>
        <v>0</v>
      </c>
      <c r="K85" s="93">
        <f t="shared" si="18"/>
        <v>0</v>
      </c>
      <c r="L85" s="93">
        <f t="shared" si="18"/>
        <v>0</v>
      </c>
      <c r="M85" s="93">
        <f t="shared" si="18"/>
        <v>0</v>
      </c>
      <c r="N85" s="93">
        <f t="shared" si="18"/>
        <v>0</v>
      </c>
      <c r="O85" s="93">
        <f t="shared" si="18"/>
        <v>0</v>
      </c>
      <c r="P85" s="93">
        <f t="shared" si="18"/>
        <v>0</v>
      </c>
      <c r="Q85" s="93">
        <f t="shared" si="18"/>
        <v>0</v>
      </c>
      <c r="R85" s="93">
        <f t="shared" si="18"/>
        <v>0</v>
      </c>
      <c r="S85" s="93">
        <f t="shared" si="18"/>
        <v>0</v>
      </c>
      <c r="T85" s="93">
        <f t="shared" si="18"/>
        <v>0</v>
      </c>
      <c r="U85" s="93">
        <f t="shared" si="18"/>
        <v>0</v>
      </c>
      <c r="V85" s="93">
        <f t="shared" si="18"/>
        <v>0</v>
      </c>
      <c r="W85" s="93">
        <f t="shared" si="18"/>
        <v>0</v>
      </c>
      <c r="X85" s="93">
        <f t="shared" si="18"/>
        <v>0</v>
      </c>
      <c r="Y85" s="93">
        <f t="shared" si="18"/>
        <v>0</v>
      </c>
      <c r="Z85" s="93">
        <f t="shared" si="18"/>
        <v>0</v>
      </c>
      <c r="AA85" s="93">
        <f t="shared" si="18"/>
        <v>0</v>
      </c>
      <c r="AB85" s="93">
        <f t="shared" si="18"/>
        <v>0</v>
      </c>
      <c r="AC85" s="93">
        <f t="shared" si="18"/>
        <v>0</v>
      </c>
      <c r="AD85" s="93">
        <f t="shared" si="18"/>
        <v>0</v>
      </c>
      <c r="AE85" s="93">
        <f t="shared" si="18"/>
        <v>0</v>
      </c>
      <c r="AF85" s="93">
        <f t="shared" si="18"/>
        <v>0</v>
      </c>
      <c r="AG85" s="92"/>
      <c r="AH85" s="20">
        <f t="shared" si="11"/>
        <v>0</v>
      </c>
      <c r="AI85" s="19">
        <f t="shared" si="16"/>
        <v>0</v>
      </c>
    </row>
    <row r="86" spans="1:37" x14ac:dyDescent="0.25">
      <c r="A86" s="91" t="s">
        <v>153</v>
      </c>
      <c r="B86" s="93">
        <f t="shared" ref="B86:AF86" si="19">IF(B65&lt;0,B65*-1,0)</f>
        <v>408</v>
      </c>
      <c r="C86" s="93">
        <f t="shared" si="19"/>
        <v>416</v>
      </c>
      <c r="D86" s="93">
        <f t="shared" si="19"/>
        <v>422</v>
      </c>
      <c r="E86" s="93">
        <f t="shared" si="19"/>
        <v>416</v>
      </c>
      <c r="F86" s="93">
        <f t="shared" si="19"/>
        <v>436</v>
      </c>
      <c r="G86" s="93">
        <f t="shared" si="19"/>
        <v>416</v>
      </c>
      <c r="H86" s="93">
        <f t="shared" si="19"/>
        <v>391</v>
      </c>
      <c r="I86" s="93">
        <f t="shared" si="19"/>
        <v>412</v>
      </c>
      <c r="J86" s="93">
        <f t="shared" si="19"/>
        <v>372</v>
      </c>
      <c r="K86" s="93">
        <f t="shared" si="19"/>
        <v>362</v>
      </c>
      <c r="L86" s="93">
        <f t="shared" si="19"/>
        <v>391</v>
      </c>
      <c r="M86" s="93">
        <f t="shared" si="19"/>
        <v>391</v>
      </c>
      <c r="N86" s="93">
        <f t="shared" si="19"/>
        <v>398</v>
      </c>
      <c r="O86" s="93">
        <f t="shared" si="19"/>
        <v>358</v>
      </c>
      <c r="P86" s="93">
        <f t="shared" si="19"/>
        <v>344</v>
      </c>
      <c r="Q86" s="93">
        <f t="shared" si="19"/>
        <v>331</v>
      </c>
      <c r="R86" s="93">
        <f t="shared" si="19"/>
        <v>352</v>
      </c>
      <c r="S86" s="93">
        <f t="shared" si="19"/>
        <v>352</v>
      </c>
      <c r="T86" s="93">
        <f t="shared" si="19"/>
        <v>346</v>
      </c>
      <c r="U86" s="93">
        <f t="shared" si="19"/>
        <v>330</v>
      </c>
      <c r="V86" s="93">
        <f t="shared" si="19"/>
        <v>380</v>
      </c>
      <c r="W86" s="93">
        <f t="shared" si="19"/>
        <v>392</v>
      </c>
      <c r="X86" s="93">
        <f t="shared" si="19"/>
        <v>250</v>
      </c>
      <c r="Y86" s="93">
        <f t="shared" si="19"/>
        <v>261</v>
      </c>
      <c r="Z86" s="93">
        <f t="shared" si="19"/>
        <v>216</v>
      </c>
      <c r="AA86" s="93">
        <f t="shared" si="19"/>
        <v>281</v>
      </c>
      <c r="AB86" s="93">
        <f t="shared" si="19"/>
        <v>337</v>
      </c>
      <c r="AC86" s="93">
        <f t="shared" si="19"/>
        <v>339.6</v>
      </c>
      <c r="AD86" s="93">
        <f t="shared" si="19"/>
        <v>350.2</v>
      </c>
      <c r="AE86" s="93">
        <f t="shared" si="19"/>
        <v>417.7</v>
      </c>
      <c r="AF86" s="93">
        <f t="shared" si="19"/>
        <v>405</v>
      </c>
      <c r="AG86" s="92"/>
      <c r="AH86" s="20">
        <f t="shared" si="11"/>
        <v>436</v>
      </c>
      <c r="AI86" s="19">
        <f t="shared" si="16"/>
        <v>216</v>
      </c>
    </row>
    <row r="87" spans="1:37" x14ac:dyDescent="0.25">
      <c r="A87" s="91" t="s">
        <v>152</v>
      </c>
      <c r="B87" s="93">
        <f t="shared" ref="B87:AF87" si="20">IF(B63&lt;0,B63*-1,0)</f>
        <v>0</v>
      </c>
      <c r="C87" s="93">
        <f t="shared" si="20"/>
        <v>0</v>
      </c>
      <c r="D87" s="93">
        <f t="shared" si="20"/>
        <v>0</v>
      </c>
      <c r="E87" s="93">
        <f t="shared" si="20"/>
        <v>0</v>
      </c>
      <c r="F87" s="93">
        <f t="shared" si="20"/>
        <v>0</v>
      </c>
      <c r="G87" s="93">
        <f t="shared" si="20"/>
        <v>0</v>
      </c>
      <c r="H87" s="93">
        <f t="shared" si="20"/>
        <v>0</v>
      </c>
      <c r="I87" s="93">
        <f t="shared" si="20"/>
        <v>0</v>
      </c>
      <c r="J87" s="93">
        <f t="shared" si="20"/>
        <v>0</v>
      </c>
      <c r="K87" s="93">
        <f t="shared" si="20"/>
        <v>0</v>
      </c>
      <c r="L87" s="93">
        <f t="shared" si="20"/>
        <v>0</v>
      </c>
      <c r="M87" s="93">
        <f t="shared" si="20"/>
        <v>0</v>
      </c>
      <c r="N87" s="93">
        <f t="shared" si="20"/>
        <v>0</v>
      </c>
      <c r="O87" s="93">
        <f t="shared" si="20"/>
        <v>0</v>
      </c>
      <c r="P87" s="93">
        <f t="shared" si="20"/>
        <v>0</v>
      </c>
      <c r="Q87" s="93">
        <f t="shared" si="20"/>
        <v>0</v>
      </c>
      <c r="R87" s="93">
        <f t="shared" si="20"/>
        <v>0</v>
      </c>
      <c r="S87" s="93">
        <f t="shared" si="20"/>
        <v>0</v>
      </c>
      <c r="T87" s="93">
        <f t="shared" si="20"/>
        <v>0</v>
      </c>
      <c r="U87" s="93">
        <f t="shared" si="20"/>
        <v>0</v>
      </c>
      <c r="V87" s="93">
        <f t="shared" si="20"/>
        <v>0</v>
      </c>
      <c r="W87" s="93">
        <f t="shared" si="20"/>
        <v>0</v>
      </c>
      <c r="X87" s="93">
        <f t="shared" si="20"/>
        <v>0</v>
      </c>
      <c r="Y87" s="93">
        <f t="shared" si="20"/>
        <v>0</v>
      </c>
      <c r="Z87" s="93">
        <f t="shared" si="20"/>
        <v>0</v>
      </c>
      <c r="AA87" s="93">
        <f t="shared" si="20"/>
        <v>0</v>
      </c>
      <c r="AB87" s="93">
        <f t="shared" si="20"/>
        <v>0</v>
      </c>
      <c r="AC87" s="93">
        <f t="shared" si="20"/>
        <v>0</v>
      </c>
      <c r="AD87" s="93">
        <f t="shared" si="20"/>
        <v>0</v>
      </c>
      <c r="AE87" s="93">
        <f t="shared" si="20"/>
        <v>0</v>
      </c>
      <c r="AF87" s="93">
        <f t="shared" si="20"/>
        <v>0</v>
      </c>
      <c r="AG87" s="92"/>
      <c r="AH87" s="20">
        <f t="shared" si="11"/>
        <v>0</v>
      </c>
      <c r="AI87" s="19">
        <f t="shared" si="16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11"/>
        <v>0</v>
      </c>
      <c r="AI88" s="19">
        <f t="shared" si="16"/>
        <v>0</v>
      </c>
    </row>
    <row r="89" spans="1:37" ht="15.75" thickBot="1" x14ac:dyDescent="0.3">
      <c r="A89" s="88" t="s">
        <v>150</v>
      </c>
      <c r="B89" s="86">
        <f t="shared" ref="B89:AF89" si="21">SUM(B83:B88)</f>
        <v>408</v>
      </c>
      <c r="C89" s="86">
        <f t="shared" si="21"/>
        <v>416</v>
      </c>
      <c r="D89" s="86">
        <f t="shared" si="21"/>
        <v>422</v>
      </c>
      <c r="E89" s="86">
        <f t="shared" si="21"/>
        <v>416</v>
      </c>
      <c r="F89" s="86">
        <f t="shared" si="21"/>
        <v>436</v>
      </c>
      <c r="G89" s="86">
        <f t="shared" si="21"/>
        <v>416</v>
      </c>
      <c r="H89" s="86">
        <f t="shared" si="21"/>
        <v>391</v>
      </c>
      <c r="I89" s="86">
        <f t="shared" si="21"/>
        <v>412</v>
      </c>
      <c r="J89" s="86">
        <f t="shared" si="21"/>
        <v>372</v>
      </c>
      <c r="K89" s="86">
        <f t="shared" si="21"/>
        <v>362</v>
      </c>
      <c r="L89" s="86">
        <f t="shared" si="21"/>
        <v>391</v>
      </c>
      <c r="M89" s="86">
        <f t="shared" si="21"/>
        <v>391</v>
      </c>
      <c r="N89" s="86">
        <f t="shared" si="21"/>
        <v>398</v>
      </c>
      <c r="O89" s="86">
        <f t="shared" si="21"/>
        <v>358</v>
      </c>
      <c r="P89" s="86">
        <f t="shared" si="21"/>
        <v>344</v>
      </c>
      <c r="Q89" s="86">
        <f t="shared" si="21"/>
        <v>331</v>
      </c>
      <c r="R89" s="86">
        <f t="shared" si="21"/>
        <v>352</v>
      </c>
      <c r="S89" s="86">
        <f t="shared" si="21"/>
        <v>352</v>
      </c>
      <c r="T89" s="86">
        <f t="shared" si="21"/>
        <v>346</v>
      </c>
      <c r="U89" s="86">
        <f t="shared" si="21"/>
        <v>330</v>
      </c>
      <c r="V89" s="86">
        <f t="shared" si="21"/>
        <v>380</v>
      </c>
      <c r="W89" s="86">
        <f t="shared" si="21"/>
        <v>392</v>
      </c>
      <c r="X89" s="86">
        <f t="shared" si="21"/>
        <v>250</v>
      </c>
      <c r="Y89" s="86">
        <f t="shared" si="21"/>
        <v>261</v>
      </c>
      <c r="Z89" s="86">
        <f t="shared" si="21"/>
        <v>216</v>
      </c>
      <c r="AA89" s="86">
        <f t="shared" si="21"/>
        <v>281</v>
      </c>
      <c r="AB89" s="86">
        <f t="shared" si="21"/>
        <v>337</v>
      </c>
      <c r="AC89" s="86">
        <f t="shared" si="21"/>
        <v>339.6</v>
      </c>
      <c r="AD89" s="86">
        <f t="shared" si="21"/>
        <v>350.2</v>
      </c>
      <c r="AE89" s="86">
        <f t="shared" si="21"/>
        <v>417.7</v>
      </c>
      <c r="AF89" s="86">
        <f t="shared" si="21"/>
        <v>405</v>
      </c>
      <c r="AG89" s="85"/>
      <c r="AH89" s="20">
        <f t="shared" si="11"/>
        <v>436</v>
      </c>
      <c r="AI89" s="19">
        <f t="shared" si="16"/>
        <v>216</v>
      </c>
      <c r="AK89" s="41"/>
    </row>
    <row r="90" spans="1:37" ht="15.75" thickBot="1" x14ac:dyDescent="0.3">
      <c r="A90" s="87" t="s">
        <v>149</v>
      </c>
      <c r="B90" s="86">
        <f t="shared" ref="B90:AF90" si="22">B74-B89</f>
        <v>-408</v>
      </c>
      <c r="C90" s="86">
        <f t="shared" si="22"/>
        <v>-416</v>
      </c>
      <c r="D90" s="86">
        <f t="shared" si="22"/>
        <v>-422</v>
      </c>
      <c r="E90" s="86">
        <f t="shared" si="22"/>
        <v>-416</v>
      </c>
      <c r="F90" s="86">
        <f t="shared" si="22"/>
        <v>-436</v>
      </c>
      <c r="G90" s="86">
        <f t="shared" si="22"/>
        <v>-416</v>
      </c>
      <c r="H90" s="86">
        <f t="shared" si="22"/>
        <v>-391</v>
      </c>
      <c r="I90" s="86">
        <f t="shared" si="22"/>
        <v>-412</v>
      </c>
      <c r="J90" s="86">
        <f t="shared" si="22"/>
        <v>-372</v>
      </c>
      <c r="K90" s="86">
        <f t="shared" si="22"/>
        <v>-362</v>
      </c>
      <c r="L90" s="86">
        <f t="shared" si="22"/>
        <v>-391</v>
      </c>
      <c r="M90" s="86">
        <f t="shared" si="22"/>
        <v>-391</v>
      </c>
      <c r="N90" s="86">
        <f t="shared" si="22"/>
        <v>-398</v>
      </c>
      <c r="O90" s="86">
        <f t="shared" si="22"/>
        <v>-358</v>
      </c>
      <c r="P90" s="86">
        <f t="shared" si="22"/>
        <v>-344</v>
      </c>
      <c r="Q90" s="86">
        <f t="shared" si="22"/>
        <v>-331</v>
      </c>
      <c r="R90" s="86">
        <f t="shared" si="22"/>
        <v>-352</v>
      </c>
      <c r="S90" s="86">
        <f t="shared" si="22"/>
        <v>-352</v>
      </c>
      <c r="T90" s="86">
        <f t="shared" si="22"/>
        <v>-346</v>
      </c>
      <c r="U90" s="86">
        <f t="shared" si="22"/>
        <v>-330</v>
      </c>
      <c r="V90" s="86">
        <f t="shared" si="22"/>
        <v>-380</v>
      </c>
      <c r="W90" s="86">
        <f t="shared" si="22"/>
        <v>-392</v>
      </c>
      <c r="X90" s="86">
        <f t="shared" si="22"/>
        <v>-250</v>
      </c>
      <c r="Y90" s="86">
        <f t="shared" si="22"/>
        <v>-261</v>
      </c>
      <c r="Z90" s="86">
        <f t="shared" si="22"/>
        <v>-216</v>
      </c>
      <c r="AA90" s="86">
        <f t="shared" si="22"/>
        <v>-281</v>
      </c>
      <c r="AB90" s="86">
        <f t="shared" si="22"/>
        <v>-302.39999999999998</v>
      </c>
      <c r="AC90" s="86">
        <f t="shared" si="22"/>
        <v>-297.90000000000003</v>
      </c>
      <c r="AD90" s="86">
        <f t="shared" si="22"/>
        <v>-350.2</v>
      </c>
      <c r="AE90" s="86">
        <f t="shared" si="22"/>
        <v>-417.7</v>
      </c>
      <c r="AF90" s="86">
        <f t="shared" si="22"/>
        <v>-405</v>
      </c>
      <c r="AG90" s="85"/>
      <c r="AH90" s="20">
        <f t="shared" si="11"/>
        <v>-216</v>
      </c>
      <c r="AI90" s="19">
        <f t="shared" si="16"/>
        <v>-436</v>
      </c>
    </row>
    <row r="91" spans="1:37" x14ac:dyDescent="0.25">
      <c r="A91" s="47" t="s">
        <v>148</v>
      </c>
      <c r="B91" s="84">
        <v>50</v>
      </c>
      <c r="C91" s="84">
        <v>50.042000000000002</v>
      </c>
      <c r="D91" s="84">
        <v>49.98</v>
      </c>
      <c r="E91" s="84">
        <v>49.97</v>
      </c>
      <c r="F91" s="84">
        <v>49.87</v>
      </c>
      <c r="G91" s="84">
        <v>49.86</v>
      </c>
      <c r="H91" s="84">
        <v>50.01</v>
      </c>
      <c r="I91" s="84">
        <v>49.98</v>
      </c>
      <c r="J91" s="84">
        <v>50.07</v>
      </c>
      <c r="K91" s="84">
        <v>50.03</v>
      </c>
      <c r="L91" s="84">
        <v>50.01</v>
      </c>
      <c r="M91" s="84">
        <v>50.036999999999999</v>
      </c>
      <c r="N91" s="84">
        <v>49.970999999999997</v>
      </c>
      <c r="O91" s="84">
        <v>50.058</v>
      </c>
      <c r="P91" s="84">
        <v>50.064</v>
      </c>
      <c r="Q91" s="84">
        <v>50.005000000000003</v>
      </c>
      <c r="R91" s="84">
        <v>50.082999999999998</v>
      </c>
      <c r="S91" s="84">
        <v>50.033999999999999</v>
      </c>
      <c r="T91" s="84">
        <v>50.017000000000003</v>
      </c>
      <c r="U91" s="84">
        <v>50</v>
      </c>
      <c r="V91" s="84">
        <v>50.03</v>
      </c>
      <c r="W91" s="84">
        <v>50.08</v>
      </c>
      <c r="X91" s="84">
        <v>50.06</v>
      </c>
      <c r="Y91" s="84">
        <v>50.036000000000001</v>
      </c>
      <c r="Z91" s="84">
        <v>50.036000000000001</v>
      </c>
      <c r="AA91" s="84">
        <v>49.811999999999998</v>
      </c>
      <c r="AB91" s="84">
        <v>50.04</v>
      </c>
      <c r="AC91" s="84">
        <v>49.899000000000001</v>
      </c>
      <c r="AD91" s="84">
        <v>49.862000000000002</v>
      </c>
      <c r="AE91" s="84">
        <v>50.024999999999999</v>
      </c>
      <c r="AF91" s="84">
        <v>50.055999999999997</v>
      </c>
      <c r="AG91" s="83"/>
      <c r="AH91" s="20">
        <f t="shared" si="11"/>
        <v>50.082999999999998</v>
      </c>
      <c r="AI91" s="19">
        <f t="shared" si="16"/>
        <v>49.811999999999998</v>
      </c>
    </row>
    <row r="92" spans="1:37" x14ac:dyDescent="0.25">
      <c r="A92" s="44" t="s">
        <v>147</v>
      </c>
      <c r="B92" s="80">
        <v>123.9</v>
      </c>
      <c r="C92" s="80">
        <v>123.9</v>
      </c>
      <c r="D92" s="80">
        <v>123.9</v>
      </c>
      <c r="E92" s="80">
        <v>126.5</v>
      </c>
      <c r="F92" s="80">
        <v>126.5</v>
      </c>
      <c r="G92" s="80">
        <v>126.5</v>
      </c>
      <c r="H92" s="80">
        <v>1265</v>
      </c>
      <c r="I92" s="80">
        <v>1265</v>
      </c>
      <c r="J92" s="80">
        <v>1265</v>
      </c>
      <c r="K92" s="80">
        <v>1265</v>
      </c>
      <c r="L92" s="80">
        <v>126.5</v>
      </c>
      <c r="M92" s="80">
        <v>122.5</v>
      </c>
      <c r="N92" s="80">
        <v>123.4</v>
      </c>
      <c r="O92" s="80">
        <v>121.2</v>
      </c>
      <c r="P92" s="80">
        <v>121.5</v>
      </c>
      <c r="Q92" s="80">
        <v>121.5</v>
      </c>
      <c r="R92" s="80">
        <v>121.6</v>
      </c>
      <c r="S92" s="80">
        <v>121.8</v>
      </c>
      <c r="T92" s="80">
        <v>122.4</v>
      </c>
      <c r="U92" s="80">
        <v>122.4</v>
      </c>
      <c r="V92" s="80">
        <v>122.4</v>
      </c>
      <c r="W92" s="80">
        <v>124.5</v>
      </c>
      <c r="X92" s="80">
        <v>124</v>
      </c>
      <c r="Y92" s="80">
        <v>125</v>
      </c>
      <c r="Z92" s="80">
        <v>125</v>
      </c>
      <c r="AA92" s="80">
        <v>125</v>
      </c>
      <c r="AB92" s="80">
        <v>124.4</v>
      </c>
      <c r="AC92" s="80">
        <v>124.1</v>
      </c>
      <c r="AD92" s="80">
        <v>123.8</v>
      </c>
      <c r="AE92" s="80">
        <v>123.8</v>
      </c>
      <c r="AF92" s="80">
        <v>124.3</v>
      </c>
      <c r="AG92" s="79"/>
      <c r="AH92" s="20">
        <f t="shared" si="11"/>
        <v>1265</v>
      </c>
      <c r="AI92" s="19">
        <f t="shared" si="16"/>
        <v>121.2</v>
      </c>
    </row>
    <row r="93" spans="1:37" x14ac:dyDescent="0.25">
      <c r="A93" s="44" t="s">
        <v>146</v>
      </c>
      <c r="B93" s="80">
        <v>129</v>
      </c>
      <c r="C93" s="80">
        <v>129</v>
      </c>
      <c r="D93" s="80">
        <v>129</v>
      </c>
      <c r="E93" s="80">
        <v>131.1</v>
      </c>
      <c r="F93" s="80">
        <v>131.1</v>
      </c>
      <c r="G93" s="80">
        <v>131.1</v>
      </c>
      <c r="H93" s="80">
        <v>130.4</v>
      </c>
      <c r="I93" s="80">
        <v>130.4</v>
      </c>
      <c r="J93" s="80">
        <v>130.4</v>
      </c>
      <c r="K93" s="80">
        <v>130.4</v>
      </c>
      <c r="L93" s="80">
        <v>130.4</v>
      </c>
      <c r="M93" s="80">
        <v>126.7</v>
      </c>
      <c r="N93" s="80">
        <v>127.2</v>
      </c>
      <c r="O93" s="80">
        <v>125.5</v>
      </c>
      <c r="P93" s="80">
        <v>126.1</v>
      </c>
      <c r="Q93" s="80">
        <v>126.1</v>
      </c>
      <c r="R93" s="80">
        <v>126</v>
      </c>
      <c r="S93" s="80">
        <v>126.4</v>
      </c>
      <c r="T93" s="80">
        <v>126.6</v>
      </c>
      <c r="U93" s="80">
        <v>126.6</v>
      </c>
      <c r="V93" s="80">
        <v>126.6</v>
      </c>
      <c r="W93" s="80">
        <v>128</v>
      </c>
      <c r="X93" s="80">
        <v>127</v>
      </c>
      <c r="Y93" s="80">
        <v>128</v>
      </c>
      <c r="Z93" s="80">
        <v>128</v>
      </c>
      <c r="AA93" s="80">
        <v>128</v>
      </c>
      <c r="AB93" s="80">
        <v>128.30000000000001</v>
      </c>
      <c r="AC93" s="80">
        <v>128</v>
      </c>
      <c r="AD93" s="80">
        <v>128.1</v>
      </c>
      <c r="AE93" s="80">
        <v>128.69999999999999</v>
      </c>
      <c r="AF93" s="80">
        <v>129.19999999999999</v>
      </c>
      <c r="AG93" s="79"/>
      <c r="AH93" s="20">
        <f t="shared" si="11"/>
        <v>131.1</v>
      </c>
      <c r="AI93" s="19">
        <f t="shared" si="16"/>
        <v>125.5</v>
      </c>
    </row>
    <row r="94" spans="1:37" x14ac:dyDescent="0.25">
      <c r="A94" s="44" t="s">
        <v>145</v>
      </c>
      <c r="B94" s="80">
        <v>129</v>
      </c>
      <c r="C94" s="80">
        <v>129</v>
      </c>
      <c r="D94" s="80">
        <v>129</v>
      </c>
      <c r="E94" s="80">
        <v>131</v>
      </c>
      <c r="F94" s="80">
        <v>131</v>
      </c>
      <c r="G94" s="80">
        <v>131</v>
      </c>
      <c r="H94" s="80">
        <v>131.19999999999999</v>
      </c>
      <c r="I94" s="80">
        <v>131.19999999999999</v>
      </c>
      <c r="J94" s="80">
        <v>131.19999999999999</v>
      </c>
      <c r="K94" s="80">
        <v>131.19999999999999</v>
      </c>
      <c r="L94" s="80">
        <v>131.19999999999999</v>
      </c>
      <c r="M94" s="80">
        <v>127.9</v>
      </c>
      <c r="N94" s="80">
        <v>126.3</v>
      </c>
      <c r="O94" s="80">
        <v>128.5</v>
      </c>
      <c r="P94" s="80">
        <v>128.1</v>
      </c>
      <c r="Q94" s="80">
        <v>128.1</v>
      </c>
      <c r="R94" s="80">
        <v>126.2</v>
      </c>
      <c r="S94" s="80">
        <v>128.5</v>
      </c>
      <c r="T94" s="80">
        <v>128</v>
      </c>
      <c r="U94" s="80">
        <v>128</v>
      </c>
      <c r="V94" s="80">
        <v>128</v>
      </c>
      <c r="W94" s="80">
        <v>131</v>
      </c>
      <c r="X94" s="80">
        <v>129</v>
      </c>
      <c r="Y94" s="80">
        <v>126.5</v>
      </c>
      <c r="Z94" s="80">
        <v>126.5</v>
      </c>
      <c r="AA94" s="80">
        <v>126.5</v>
      </c>
      <c r="AB94" s="80">
        <v>130</v>
      </c>
      <c r="AC94" s="80">
        <v>128.6</v>
      </c>
      <c r="AD94" s="80">
        <v>131</v>
      </c>
      <c r="AE94" s="80">
        <v>129.9</v>
      </c>
      <c r="AF94" s="80">
        <v>129.1</v>
      </c>
      <c r="AG94" s="79"/>
      <c r="AH94" s="20">
        <f t="shared" si="11"/>
        <v>131.19999999999999</v>
      </c>
      <c r="AI94" s="19">
        <f t="shared" si="16"/>
        <v>126.2</v>
      </c>
    </row>
    <row r="95" spans="1:37" x14ac:dyDescent="0.25">
      <c r="A95" s="82" t="s">
        <v>144</v>
      </c>
      <c r="B95" s="80">
        <v>134</v>
      </c>
      <c r="C95" s="80">
        <v>134</v>
      </c>
      <c r="D95" s="80">
        <v>134</v>
      </c>
      <c r="E95" s="80">
        <v>135.4</v>
      </c>
      <c r="F95" s="80">
        <v>135.4</v>
      </c>
      <c r="G95" s="80">
        <v>135.4</v>
      </c>
      <c r="H95" s="80">
        <v>134</v>
      </c>
      <c r="I95" s="80">
        <v>134</v>
      </c>
      <c r="J95" s="80">
        <v>134</v>
      </c>
      <c r="K95" s="80">
        <v>134</v>
      </c>
      <c r="L95" s="80">
        <v>134</v>
      </c>
      <c r="M95" s="80">
        <v>132.30000000000001</v>
      </c>
      <c r="N95" s="80">
        <v>131.69999999999999</v>
      </c>
      <c r="O95" s="80">
        <v>133.80000000000001</v>
      </c>
      <c r="P95" s="80">
        <v>132.30000000000001</v>
      </c>
      <c r="Q95" s="80">
        <v>132.30000000000001</v>
      </c>
      <c r="R95" s="80">
        <v>131.9</v>
      </c>
      <c r="S95" s="80">
        <v>132.5</v>
      </c>
      <c r="T95" s="80">
        <v>132</v>
      </c>
      <c r="U95" s="80">
        <v>132</v>
      </c>
      <c r="V95" s="80">
        <v>132</v>
      </c>
      <c r="W95" s="80">
        <v>133</v>
      </c>
      <c r="X95" s="80">
        <v>131</v>
      </c>
      <c r="Y95" s="80">
        <v>129.80000000000001</v>
      </c>
      <c r="Z95" s="80">
        <v>129.80000000000001</v>
      </c>
      <c r="AA95" s="80">
        <v>129.80000000000001</v>
      </c>
      <c r="AB95" s="80">
        <v>132.6</v>
      </c>
      <c r="AC95" s="80">
        <v>131.9</v>
      </c>
      <c r="AD95" s="80">
        <v>133.80000000000001</v>
      </c>
      <c r="AE95" s="80">
        <v>133.69999999999999</v>
      </c>
      <c r="AF95" s="80">
        <v>133.30000000000001</v>
      </c>
      <c r="AG95" s="79"/>
      <c r="AH95" s="20">
        <f t="shared" si="11"/>
        <v>135.4</v>
      </c>
      <c r="AI95" s="19">
        <f t="shared" si="16"/>
        <v>129.80000000000001</v>
      </c>
    </row>
    <row r="96" spans="1:37" x14ac:dyDescent="0.25">
      <c r="A96" s="82" t="s">
        <v>143</v>
      </c>
      <c r="B96" s="66">
        <v>129.69999999999999</v>
      </c>
      <c r="C96" s="66">
        <v>129.69999999999999</v>
      </c>
      <c r="D96" s="66">
        <v>129.69999999999999</v>
      </c>
      <c r="E96" s="66">
        <v>132.4</v>
      </c>
      <c r="F96" s="66">
        <v>132.4</v>
      </c>
      <c r="G96" s="66">
        <v>132.4</v>
      </c>
      <c r="H96" s="66">
        <v>131.69999999999999</v>
      </c>
      <c r="I96" s="66">
        <v>131.69999999999999</v>
      </c>
      <c r="J96" s="66">
        <v>131.69999999999999</v>
      </c>
      <c r="K96" s="66">
        <v>131.69999999999999</v>
      </c>
      <c r="L96" s="66">
        <v>131.69999999999999</v>
      </c>
      <c r="M96" s="66">
        <v>130.80000000000001</v>
      </c>
      <c r="N96" s="66">
        <v>133.4</v>
      </c>
      <c r="O96" s="66">
        <v>132.30000000000001</v>
      </c>
      <c r="P96" s="66">
        <v>134.30000000000001</v>
      </c>
      <c r="Q96" s="66">
        <v>134.30000000000001</v>
      </c>
      <c r="R96" s="66">
        <v>132.4</v>
      </c>
      <c r="S96" s="66">
        <v>131.1</v>
      </c>
      <c r="T96" s="66">
        <v>132</v>
      </c>
      <c r="U96" s="66">
        <v>132</v>
      </c>
      <c r="V96" s="66">
        <v>132</v>
      </c>
      <c r="W96" s="66">
        <v>135</v>
      </c>
      <c r="X96" s="66">
        <v>130</v>
      </c>
      <c r="Y96" s="66">
        <v>136.1</v>
      </c>
      <c r="Z96" s="66">
        <v>136.1</v>
      </c>
      <c r="AA96" s="66">
        <v>136.1</v>
      </c>
      <c r="AB96" s="66">
        <v>131.30000000000001</v>
      </c>
      <c r="AC96" s="66">
        <v>131.9</v>
      </c>
      <c r="AD96" s="66">
        <v>132.69999999999999</v>
      </c>
      <c r="AE96" s="66">
        <v>133.19999999999999</v>
      </c>
      <c r="AF96" s="66">
        <v>130.6</v>
      </c>
      <c r="AG96" s="81"/>
      <c r="AH96" s="20">
        <f t="shared" si="11"/>
        <v>136.1</v>
      </c>
      <c r="AI96" s="19">
        <f t="shared" si="16"/>
        <v>129.69999999999999</v>
      </c>
    </row>
    <row r="97" spans="1:37" x14ac:dyDescent="0.25">
      <c r="A97" s="44" t="s">
        <v>142</v>
      </c>
      <c r="B97" s="80">
        <v>129</v>
      </c>
      <c r="C97" s="80">
        <v>129</v>
      </c>
      <c r="D97" s="80">
        <v>129</v>
      </c>
      <c r="E97" s="80">
        <v>131.1</v>
      </c>
      <c r="F97" s="80">
        <v>131.1</v>
      </c>
      <c r="G97" s="80">
        <v>131.1</v>
      </c>
      <c r="H97" s="80">
        <v>132.4</v>
      </c>
      <c r="I97" s="80">
        <v>134</v>
      </c>
      <c r="J97" s="80">
        <v>131.80000000000001</v>
      </c>
      <c r="K97" s="80">
        <v>132.4</v>
      </c>
      <c r="L97" s="80">
        <v>133</v>
      </c>
      <c r="M97" s="80">
        <v>126.7</v>
      </c>
      <c r="N97" s="80">
        <v>128.69999999999999</v>
      </c>
      <c r="O97" s="80">
        <v>129</v>
      </c>
      <c r="P97" s="80">
        <v>131.80000000000001</v>
      </c>
      <c r="Q97" s="80">
        <v>131.80000000000001</v>
      </c>
      <c r="R97" s="80">
        <v>128.6</v>
      </c>
      <c r="S97" s="80">
        <v>126.6</v>
      </c>
      <c r="T97" s="80">
        <v>129</v>
      </c>
      <c r="U97" s="80">
        <v>129</v>
      </c>
      <c r="V97" s="80">
        <v>129</v>
      </c>
      <c r="W97" s="80">
        <v>131</v>
      </c>
      <c r="X97" s="80">
        <v>131</v>
      </c>
      <c r="Y97" s="80">
        <v>131.80000000000001</v>
      </c>
      <c r="Z97" s="80">
        <v>131.80000000000001</v>
      </c>
      <c r="AA97" s="80">
        <v>131.80000000000001</v>
      </c>
      <c r="AB97" s="80">
        <v>131.6</v>
      </c>
      <c r="AC97" s="80">
        <v>128.6</v>
      </c>
      <c r="AD97" s="80">
        <v>125.8</v>
      </c>
      <c r="AE97" s="80">
        <v>127.2</v>
      </c>
      <c r="AF97" s="80">
        <v>126.7</v>
      </c>
      <c r="AG97" s="79"/>
      <c r="AH97" s="20">
        <f t="shared" si="11"/>
        <v>134</v>
      </c>
      <c r="AI97" s="19">
        <f t="shared" si="16"/>
        <v>125.8</v>
      </c>
    </row>
    <row r="98" spans="1:37" ht="15.75" thickBot="1" x14ac:dyDescent="0.3">
      <c r="A98" s="44" t="s">
        <v>141</v>
      </c>
      <c r="B98" s="77">
        <v>65.2</v>
      </c>
      <c r="C98" s="77">
        <v>65.2</v>
      </c>
      <c r="D98" s="77">
        <v>65.2</v>
      </c>
      <c r="E98" s="77">
        <v>66</v>
      </c>
      <c r="F98" s="77">
        <v>66</v>
      </c>
      <c r="G98" s="77">
        <v>66</v>
      </c>
      <c r="H98" s="77">
        <v>65.5</v>
      </c>
      <c r="I98" s="77">
        <v>65.5</v>
      </c>
      <c r="J98" s="77">
        <v>65.5</v>
      </c>
      <c r="K98" s="77">
        <v>65.5</v>
      </c>
      <c r="L98" s="77">
        <v>64.8</v>
      </c>
      <c r="M98" s="77">
        <v>63.6</v>
      </c>
      <c r="N98" s="77">
        <v>64</v>
      </c>
      <c r="O98" s="77">
        <v>63</v>
      </c>
      <c r="P98" s="77">
        <v>63.3</v>
      </c>
      <c r="Q98" s="77">
        <v>63.3</v>
      </c>
      <c r="R98" s="77">
        <v>62.9</v>
      </c>
      <c r="S98" s="77">
        <v>63.2</v>
      </c>
      <c r="T98" s="77">
        <v>63</v>
      </c>
      <c r="U98" s="77">
        <v>63</v>
      </c>
      <c r="V98" s="77">
        <v>63</v>
      </c>
      <c r="W98" s="77">
        <v>64.2</v>
      </c>
      <c r="X98" s="77">
        <v>64.2</v>
      </c>
      <c r="Y98" s="77">
        <v>64.400000000000006</v>
      </c>
      <c r="Z98" s="77">
        <v>64.400000000000006</v>
      </c>
      <c r="AA98" s="77">
        <v>64.400000000000006</v>
      </c>
      <c r="AB98" s="77">
        <v>64.599999999999994</v>
      </c>
      <c r="AC98" s="77">
        <v>64.599999999999994</v>
      </c>
      <c r="AD98" s="77">
        <v>64.7</v>
      </c>
      <c r="AE98" s="77">
        <v>65</v>
      </c>
      <c r="AF98" s="77">
        <v>65.2</v>
      </c>
      <c r="AG98" s="76"/>
      <c r="AH98" s="20">
        <f t="shared" si="11"/>
        <v>66</v>
      </c>
      <c r="AI98" s="19">
        <f t="shared" si="16"/>
        <v>62.9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11"/>
        <v>0</v>
      </c>
      <c r="AI99" s="19">
        <f t="shared" si="16"/>
        <v>0</v>
      </c>
    </row>
    <row r="100" spans="1:37" ht="15.75" thickBot="1" x14ac:dyDescent="0.3">
      <c r="A100" s="75" t="s">
        <v>140</v>
      </c>
      <c r="B100" s="74">
        <f t="shared" ref="B100:AF100" si="23">SUM(B15,B19,B22:B23,B48,B50:B51,B53,B55,B101:B105,B127,B133,B139,B148,B150,B162,B169,B172:B173,B180,B182,B184,B188:B190,B192:B194,B199,B205:B206,B208:B210,B218,B223)</f>
        <v>59.599999999999994</v>
      </c>
      <c r="C100" s="74">
        <f t="shared" si="23"/>
        <v>55.04</v>
      </c>
      <c r="D100" s="74">
        <f t="shared" si="23"/>
        <v>48.440000000000026</v>
      </c>
      <c r="E100" s="74">
        <f t="shared" si="23"/>
        <v>43.240000000000023</v>
      </c>
      <c r="F100" s="74">
        <f t="shared" si="23"/>
        <v>43.240000000000023</v>
      </c>
      <c r="G100" s="74">
        <f t="shared" si="23"/>
        <v>43.240000000000023</v>
      </c>
      <c r="H100" s="74">
        <f t="shared" si="23"/>
        <v>89.240000000000023</v>
      </c>
      <c r="I100" s="74">
        <f t="shared" si="23"/>
        <v>112.44000000000003</v>
      </c>
      <c r="J100" s="74">
        <f t="shared" si="23"/>
        <v>126.84000000000002</v>
      </c>
      <c r="K100" s="74">
        <f t="shared" si="23"/>
        <v>185.44000000000003</v>
      </c>
      <c r="L100" s="74">
        <f t="shared" si="23"/>
        <v>168.04000000000002</v>
      </c>
      <c r="M100" s="74">
        <f t="shared" si="23"/>
        <v>231.64</v>
      </c>
      <c r="N100" s="74">
        <f t="shared" si="23"/>
        <v>227.94000000000003</v>
      </c>
      <c r="O100" s="74">
        <f t="shared" si="23"/>
        <v>243.24000000000004</v>
      </c>
      <c r="P100" s="74">
        <f t="shared" si="23"/>
        <v>244.14</v>
      </c>
      <c r="Q100" s="74">
        <f t="shared" si="23"/>
        <v>239.29999999999995</v>
      </c>
      <c r="R100" s="74">
        <f t="shared" si="23"/>
        <v>232.3</v>
      </c>
      <c r="S100" s="74">
        <f t="shared" si="23"/>
        <v>239.35000000000002</v>
      </c>
      <c r="T100" s="74">
        <f t="shared" si="23"/>
        <v>261.5</v>
      </c>
      <c r="U100" s="74">
        <f t="shared" si="23"/>
        <v>252.5</v>
      </c>
      <c r="V100" s="74">
        <f t="shared" si="23"/>
        <v>241.5</v>
      </c>
      <c r="W100" s="74">
        <f t="shared" si="23"/>
        <v>231.5</v>
      </c>
      <c r="X100" s="74">
        <f t="shared" si="23"/>
        <v>291.29999999999995</v>
      </c>
      <c r="Y100" s="74">
        <f t="shared" si="23"/>
        <v>313.89999999999998</v>
      </c>
      <c r="Z100" s="74">
        <f t="shared" si="23"/>
        <v>372.6</v>
      </c>
      <c r="AA100" s="74">
        <f t="shared" si="23"/>
        <v>277.39999999999998</v>
      </c>
      <c r="AB100" s="74">
        <f t="shared" si="23"/>
        <v>257.7</v>
      </c>
      <c r="AC100" s="74">
        <f t="shared" si="23"/>
        <v>244.7</v>
      </c>
      <c r="AD100" s="74">
        <f t="shared" si="23"/>
        <v>209.10000000000002</v>
      </c>
      <c r="AE100" s="74">
        <f t="shared" si="23"/>
        <v>141.79999999999998</v>
      </c>
      <c r="AF100" s="74">
        <f t="shared" si="23"/>
        <v>105.60000000000002</v>
      </c>
      <c r="AG100" s="73"/>
      <c r="AH100" s="20">
        <f>MAX(C100:AF100)</f>
        <v>372.6</v>
      </c>
      <c r="AI100" s="19">
        <f>MIN(C100:AF100)</f>
        <v>43.240000000000023</v>
      </c>
    </row>
    <row r="101" spans="1:37" x14ac:dyDescent="0.25">
      <c r="A101" s="47" t="s">
        <v>139</v>
      </c>
      <c r="B101" s="72">
        <v>10</v>
      </c>
      <c r="C101" s="72">
        <v>9</v>
      </c>
      <c r="D101" s="72">
        <v>20.3</v>
      </c>
      <c r="E101" s="72">
        <v>9.3000000000000007</v>
      </c>
      <c r="F101" s="72">
        <v>9.3000000000000007</v>
      </c>
      <c r="G101" s="72">
        <v>9.3000000000000007</v>
      </c>
      <c r="H101" s="72">
        <v>12</v>
      </c>
      <c r="I101" s="72">
        <v>28.4</v>
      </c>
      <c r="J101" s="72">
        <v>32</v>
      </c>
      <c r="K101" s="72">
        <v>22</v>
      </c>
      <c r="L101" s="72">
        <v>7.1</v>
      </c>
      <c r="M101" s="72">
        <v>27.4</v>
      </c>
      <c r="N101" s="72">
        <v>39.200000000000003</v>
      </c>
      <c r="O101" s="72">
        <v>44</v>
      </c>
      <c r="P101" s="72">
        <v>43.3</v>
      </c>
      <c r="Q101" s="72">
        <v>43.3</v>
      </c>
      <c r="R101" s="72">
        <v>42.5</v>
      </c>
      <c r="S101" s="72">
        <v>42.2</v>
      </c>
      <c r="T101" s="72">
        <v>41</v>
      </c>
      <c r="U101" s="72">
        <v>40</v>
      </c>
      <c r="V101" s="72">
        <v>39</v>
      </c>
      <c r="W101" s="72">
        <v>37</v>
      </c>
      <c r="X101" s="72">
        <v>30</v>
      </c>
      <c r="Y101" s="72">
        <v>32.4</v>
      </c>
      <c r="Z101" s="72">
        <v>31</v>
      </c>
      <c r="AA101" s="72">
        <v>35</v>
      </c>
      <c r="AB101" s="72">
        <v>38.299999999999997</v>
      </c>
      <c r="AC101" s="72">
        <v>39.1</v>
      </c>
      <c r="AD101" s="72">
        <v>31.5</v>
      </c>
      <c r="AE101" s="72">
        <v>32</v>
      </c>
      <c r="AF101" s="72">
        <v>22.8</v>
      </c>
      <c r="AG101" s="70">
        <v>75</v>
      </c>
      <c r="AH101" s="20">
        <f t="shared" ref="AH101:AH109" si="24">IF(ABS(MAX(C101:AF101))&gt;ABS(MIN(C101:AF101)),MAX(C101:AF101),MIN(C101:AF101))</f>
        <v>44</v>
      </c>
      <c r="AI101" s="65">
        <f t="shared" ref="AI101:AI109" si="25">INDEX($C$9:$AF$9,1,MATCH(AH101,C101:AF101,0))</f>
        <v>0.41666666666666702</v>
      </c>
    </row>
    <row r="102" spans="1:37" x14ac:dyDescent="0.25">
      <c r="A102" s="44" t="s">
        <v>138</v>
      </c>
      <c r="B102" s="71">
        <v>24.5</v>
      </c>
      <c r="C102" s="71">
        <v>22.4</v>
      </c>
      <c r="D102" s="71">
        <v>37.4</v>
      </c>
      <c r="E102" s="71">
        <v>22.5</v>
      </c>
      <c r="F102" s="71">
        <v>22.5</v>
      </c>
      <c r="G102" s="71">
        <v>22.5</v>
      </c>
      <c r="H102" s="71">
        <v>26</v>
      </c>
      <c r="I102" s="71">
        <v>32</v>
      </c>
      <c r="J102" s="71">
        <v>38</v>
      </c>
      <c r="K102" s="71">
        <v>40</v>
      </c>
      <c r="L102" s="71">
        <v>21.3</v>
      </c>
      <c r="M102" s="71">
        <v>46.2</v>
      </c>
      <c r="N102" s="71">
        <v>61.1</v>
      </c>
      <c r="O102" s="71">
        <v>68.099999999999994</v>
      </c>
      <c r="P102" s="71">
        <v>67.5</v>
      </c>
      <c r="Q102" s="71">
        <v>67.5</v>
      </c>
      <c r="R102" s="71">
        <v>66.400000000000006</v>
      </c>
      <c r="S102" s="71">
        <v>64.900000000000006</v>
      </c>
      <c r="T102" s="71">
        <v>63</v>
      </c>
      <c r="U102" s="71">
        <v>62</v>
      </c>
      <c r="V102" s="71">
        <v>61</v>
      </c>
      <c r="W102" s="71">
        <v>61</v>
      </c>
      <c r="X102" s="71">
        <v>49</v>
      </c>
      <c r="Y102" s="71">
        <v>52.4</v>
      </c>
      <c r="Z102" s="71">
        <v>47</v>
      </c>
      <c r="AA102" s="71">
        <v>55</v>
      </c>
      <c r="AB102" s="71">
        <v>60</v>
      </c>
      <c r="AC102" s="71">
        <v>61.9</v>
      </c>
      <c r="AD102" s="71">
        <v>52.2</v>
      </c>
      <c r="AE102" s="71">
        <v>53.4</v>
      </c>
      <c r="AF102" s="71">
        <v>40.799999999999997</v>
      </c>
      <c r="AG102" s="70">
        <v>240</v>
      </c>
      <c r="AH102" s="20">
        <f t="shared" si="24"/>
        <v>68.099999999999994</v>
      </c>
      <c r="AI102" s="65">
        <f t="shared" si="25"/>
        <v>0.41666666666666702</v>
      </c>
    </row>
    <row r="103" spans="1:37" x14ac:dyDescent="0.25">
      <c r="A103" s="44" t="s">
        <v>137</v>
      </c>
      <c r="B103" s="71">
        <v>-134</v>
      </c>
      <c r="C103" s="71">
        <v>-137</v>
      </c>
      <c r="D103" s="71">
        <v>-145</v>
      </c>
      <c r="E103" s="71">
        <f>-60.3-64.3</f>
        <v>-124.6</v>
      </c>
      <c r="F103" s="71">
        <f>-60.3-64.3</f>
        <v>-124.6</v>
      </c>
      <c r="G103" s="71">
        <f>-60.3-64.3</f>
        <v>-124.6</v>
      </c>
      <c r="H103" s="71">
        <f>-41.9-44.8</f>
        <v>-86.699999999999989</v>
      </c>
      <c r="I103" s="71">
        <f>-41.9-44.8</f>
        <v>-86.699999999999989</v>
      </c>
      <c r="J103" s="71">
        <f>-41.9-44.8</f>
        <v>-86.699999999999989</v>
      </c>
      <c r="K103" s="71">
        <f>-41.9-44.8</f>
        <v>-86.699999999999989</v>
      </c>
      <c r="L103" s="71">
        <f>-49-46.1</f>
        <v>-95.1</v>
      </c>
      <c r="M103" s="71">
        <v>-90</v>
      </c>
      <c r="N103" s="71">
        <v>-102</v>
      </c>
      <c r="O103" s="71">
        <v>-104</v>
      </c>
      <c r="P103" s="71">
        <v>-112</v>
      </c>
      <c r="Q103" s="71">
        <v>-112</v>
      </c>
      <c r="R103" s="71">
        <v>-116.7</v>
      </c>
      <c r="S103" s="71">
        <v>-105.7</v>
      </c>
      <c r="T103" s="71">
        <v>-96</v>
      </c>
      <c r="U103" s="71">
        <v>-97</v>
      </c>
      <c r="V103" s="71">
        <v>-100</v>
      </c>
      <c r="W103" s="71">
        <v>-102</v>
      </c>
      <c r="X103" s="71">
        <v>-67</v>
      </c>
      <c r="Y103" s="71">
        <f>-28.6-34.7</f>
        <v>-63.300000000000004</v>
      </c>
      <c r="Z103" s="71">
        <v>-16</v>
      </c>
      <c r="AA103" s="71">
        <v>-74</v>
      </c>
      <c r="AB103" s="71">
        <v>-95</v>
      </c>
      <c r="AC103" s="71">
        <f>-49.5-52.6</f>
        <v>-102.1</v>
      </c>
      <c r="AD103" s="71">
        <f>-53.6-57</f>
        <v>-110.6</v>
      </c>
      <c r="AE103" s="71">
        <f>-63-66</f>
        <v>-129</v>
      </c>
      <c r="AF103" s="71">
        <f>-59.5-63</f>
        <v>-122.5</v>
      </c>
      <c r="AG103" s="70">
        <v>240</v>
      </c>
      <c r="AH103" s="20">
        <f t="shared" si="24"/>
        <v>-145</v>
      </c>
      <c r="AI103" s="65">
        <f t="shared" si="25"/>
        <v>8.3333333333333301E-2</v>
      </c>
    </row>
    <row r="104" spans="1:37" x14ac:dyDescent="0.25">
      <c r="A104" s="44" t="s">
        <v>136</v>
      </c>
      <c r="B104" s="71">
        <v>-3</v>
      </c>
      <c r="C104" s="71">
        <v>-2.4</v>
      </c>
      <c r="D104" s="71">
        <v>-2</v>
      </c>
      <c r="E104" s="71">
        <v>-0.7</v>
      </c>
      <c r="F104" s="71">
        <v>-0.7</v>
      </c>
      <c r="G104" s="71">
        <v>-0.7</v>
      </c>
      <c r="H104" s="71">
        <v>1.2</v>
      </c>
      <c r="I104" s="71">
        <v>2</v>
      </c>
      <c r="J104" s="71">
        <v>6.8</v>
      </c>
      <c r="K104" s="71">
        <v>8.4</v>
      </c>
      <c r="L104" s="71">
        <v>9.8000000000000007</v>
      </c>
      <c r="M104" s="71">
        <v>9.6</v>
      </c>
      <c r="N104" s="71">
        <v>8.6999999999999993</v>
      </c>
      <c r="O104" s="71">
        <v>6.7</v>
      </c>
      <c r="P104" s="71">
        <v>8.1999999999999993</v>
      </c>
      <c r="Q104" s="71">
        <v>8.1999999999999993</v>
      </c>
      <c r="R104" s="71">
        <v>12.5</v>
      </c>
      <c r="S104" s="71">
        <v>11.1</v>
      </c>
      <c r="T104" s="71">
        <v>14</v>
      </c>
      <c r="U104" s="71">
        <v>12</v>
      </c>
      <c r="V104" s="71">
        <v>11</v>
      </c>
      <c r="W104" s="71">
        <v>9</v>
      </c>
      <c r="X104" s="71">
        <v>14</v>
      </c>
      <c r="Y104" s="71">
        <v>30.9</v>
      </c>
      <c r="Z104" s="71">
        <v>42</v>
      </c>
      <c r="AA104" s="71">
        <v>10</v>
      </c>
      <c r="AB104" s="71">
        <v>8.5</v>
      </c>
      <c r="AC104" s="71">
        <v>5</v>
      </c>
      <c r="AD104" s="71">
        <v>4.3</v>
      </c>
      <c r="AE104" s="71">
        <v>1.4</v>
      </c>
      <c r="AF104" s="71">
        <v>0.5</v>
      </c>
      <c r="AG104" s="70">
        <v>60</v>
      </c>
      <c r="AH104" s="20">
        <f t="shared" si="24"/>
        <v>42</v>
      </c>
      <c r="AI104" s="65">
        <f t="shared" si="25"/>
        <v>0.79166666666666663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54</v>
      </c>
      <c r="L105" s="68">
        <v>52.2</v>
      </c>
      <c r="M105" s="68">
        <v>56.3</v>
      </c>
      <c r="N105" s="68">
        <v>35.9</v>
      </c>
      <c r="O105" s="68">
        <v>43.4</v>
      </c>
      <c r="P105" s="68">
        <v>33.799999999999997</v>
      </c>
      <c r="Q105" s="68">
        <v>33.799999999999997</v>
      </c>
      <c r="R105" s="68">
        <v>33.5</v>
      </c>
      <c r="S105" s="68">
        <v>36.6</v>
      </c>
      <c r="T105" s="68">
        <v>54</v>
      </c>
      <c r="U105" s="68">
        <v>50</v>
      </c>
      <c r="V105" s="68">
        <v>45</v>
      </c>
      <c r="W105" s="68">
        <v>41</v>
      </c>
      <c r="X105" s="68">
        <v>88</v>
      </c>
      <c r="Y105" s="68">
        <v>75.099999999999994</v>
      </c>
      <c r="Z105" s="68">
        <v>102</v>
      </c>
      <c r="AA105" s="68">
        <v>68</v>
      </c>
      <c r="AB105" s="68">
        <v>52</v>
      </c>
      <c r="AC105" s="68">
        <v>46.8</v>
      </c>
      <c r="AD105" s="68">
        <v>42.7</v>
      </c>
      <c r="AE105" s="68">
        <v>0</v>
      </c>
      <c r="AF105" s="68">
        <v>0</v>
      </c>
      <c r="AG105" s="69">
        <v>120</v>
      </c>
      <c r="AH105" s="20">
        <f t="shared" si="24"/>
        <v>102</v>
      </c>
      <c r="AI105" s="65">
        <f t="shared" si="25"/>
        <v>0.79166666666666663</v>
      </c>
    </row>
    <row r="106" spans="1:37" x14ac:dyDescent="0.25">
      <c r="A106" s="40" t="s">
        <v>134</v>
      </c>
      <c r="B106" s="68">
        <v>37.799999999999997</v>
      </c>
      <c r="C106" s="68">
        <v>28.6</v>
      </c>
      <c r="D106" s="68">
        <v>14.5</v>
      </c>
      <c r="E106" s="68">
        <v>31.7</v>
      </c>
      <c r="F106" s="68">
        <v>31.7</v>
      </c>
      <c r="G106" s="68">
        <v>31.7</v>
      </c>
      <c r="H106" s="68">
        <v>31.7</v>
      </c>
      <c r="I106" s="68">
        <v>31.7</v>
      </c>
      <c r="J106" s="68">
        <v>31.7</v>
      </c>
      <c r="K106" s="68">
        <v>33</v>
      </c>
      <c r="L106" s="68">
        <v>42.8</v>
      </c>
      <c r="M106" s="68">
        <v>47.9</v>
      </c>
      <c r="N106" s="68">
        <v>37.6</v>
      </c>
      <c r="O106" s="68">
        <v>44.9</v>
      </c>
      <c r="P106" s="68">
        <v>41.8</v>
      </c>
      <c r="Q106" s="68">
        <v>41.8</v>
      </c>
      <c r="R106" s="68">
        <v>41</v>
      </c>
      <c r="S106" s="68">
        <v>39.4</v>
      </c>
      <c r="T106" s="68">
        <v>51</v>
      </c>
      <c r="U106" s="68">
        <v>49</v>
      </c>
      <c r="V106" s="68">
        <v>43</v>
      </c>
      <c r="W106" s="68">
        <v>40</v>
      </c>
      <c r="X106" s="68">
        <v>78</v>
      </c>
      <c r="Y106" s="68">
        <v>61</v>
      </c>
      <c r="Z106" s="68">
        <v>102</v>
      </c>
      <c r="AA106" s="68">
        <v>54</v>
      </c>
      <c r="AB106" s="68">
        <v>41</v>
      </c>
      <c r="AC106" s="68">
        <v>38.200000000000003</v>
      </c>
      <c r="AD106" s="68">
        <v>41.1</v>
      </c>
      <c r="AE106" s="68">
        <v>30.5</v>
      </c>
      <c r="AF106" s="68">
        <v>34</v>
      </c>
      <c r="AG106" s="69"/>
      <c r="AH106" s="20">
        <f t="shared" si="24"/>
        <v>102</v>
      </c>
      <c r="AI106" s="65">
        <f t="shared" si="25"/>
        <v>0.79166666666666663</v>
      </c>
    </row>
    <row r="107" spans="1:37" x14ac:dyDescent="0.25">
      <c r="A107" s="40" t="s">
        <v>133</v>
      </c>
      <c r="B107" s="68">
        <v>59.6</v>
      </c>
      <c r="C107" s="68">
        <v>53.8</v>
      </c>
      <c r="D107" s="68">
        <v>26.8</v>
      </c>
      <c r="E107" s="68">
        <v>33.5</v>
      </c>
      <c r="F107" s="68">
        <v>33.5</v>
      </c>
      <c r="G107" s="68">
        <v>33.5</v>
      </c>
      <c r="H107" s="68">
        <v>33.5</v>
      </c>
      <c r="I107" s="68">
        <v>33.5</v>
      </c>
      <c r="J107" s="68">
        <v>33.5</v>
      </c>
      <c r="K107" s="68">
        <v>33.5</v>
      </c>
      <c r="L107" s="68">
        <v>33.5</v>
      </c>
      <c r="M107" s="68">
        <v>8.9</v>
      </c>
      <c r="N107" s="68">
        <v>6.6</v>
      </c>
      <c r="O107" s="68">
        <v>9.4</v>
      </c>
      <c r="P107" s="68">
        <v>7.8</v>
      </c>
      <c r="Q107" s="68">
        <v>7.8</v>
      </c>
      <c r="R107" s="68">
        <v>4.2</v>
      </c>
      <c r="S107" s="68">
        <v>11.9</v>
      </c>
      <c r="T107" s="68">
        <v>21</v>
      </c>
      <c r="U107" s="68">
        <v>21</v>
      </c>
      <c r="V107" s="68">
        <v>22</v>
      </c>
      <c r="W107" s="68">
        <v>23</v>
      </c>
      <c r="X107" s="68">
        <v>58</v>
      </c>
      <c r="Y107" s="68">
        <v>28.8</v>
      </c>
      <c r="Z107" s="68">
        <v>35</v>
      </c>
      <c r="AA107" s="68">
        <v>19</v>
      </c>
      <c r="AB107" s="68">
        <v>18</v>
      </c>
      <c r="AC107" s="68">
        <v>13.4</v>
      </c>
      <c r="AD107" s="68">
        <v>38.299999999999997</v>
      </c>
      <c r="AE107" s="68">
        <v>34.6</v>
      </c>
      <c r="AF107" s="68">
        <v>29.1</v>
      </c>
      <c r="AG107" s="48"/>
      <c r="AH107" s="20">
        <f t="shared" si="24"/>
        <v>58</v>
      </c>
      <c r="AI107" s="65">
        <f t="shared" si="25"/>
        <v>0.75</v>
      </c>
    </row>
    <row r="108" spans="1:37" x14ac:dyDescent="0.25">
      <c r="A108" s="67" t="s">
        <v>132</v>
      </c>
      <c r="B108" s="66">
        <v>115</v>
      </c>
      <c r="C108" s="66">
        <v>115.8</v>
      </c>
      <c r="D108" s="66">
        <v>113</v>
      </c>
      <c r="E108" s="66">
        <v>114.4</v>
      </c>
      <c r="F108" s="66">
        <v>123</v>
      </c>
      <c r="G108" s="66">
        <v>122.4</v>
      </c>
      <c r="H108" s="66">
        <v>119</v>
      </c>
      <c r="I108" s="66">
        <v>119</v>
      </c>
      <c r="J108" s="66">
        <v>119</v>
      </c>
      <c r="K108" s="66">
        <v>119</v>
      </c>
      <c r="L108" s="66">
        <v>119</v>
      </c>
      <c r="M108" s="66">
        <v>119.3</v>
      </c>
      <c r="N108" s="66">
        <v>116.5</v>
      </c>
      <c r="O108" s="66">
        <v>118.9</v>
      </c>
      <c r="P108" s="66">
        <v>112.9</v>
      </c>
      <c r="Q108" s="66">
        <v>112.9</v>
      </c>
      <c r="R108" s="66">
        <v>119.8</v>
      </c>
      <c r="S108" s="66">
        <v>113.4</v>
      </c>
      <c r="T108" s="66">
        <v>113</v>
      </c>
      <c r="U108" s="66">
        <v>110</v>
      </c>
      <c r="V108" s="66">
        <v>104</v>
      </c>
      <c r="W108" s="66">
        <v>106</v>
      </c>
      <c r="X108" s="66">
        <v>94</v>
      </c>
      <c r="Y108" s="66">
        <v>101.2</v>
      </c>
      <c r="Z108" s="66">
        <v>101</v>
      </c>
      <c r="AA108" s="66">
        <v>103</v>
      </c>
      <c r="AB108" s="66">
        <v>105</v>
      </c>
      <c r="AC108" s="66">
        <v>107.7</v>
      </c>
      <c r="AD108" s="66">
        <v>109.5</v>
      </c>
      <c r="AE108" s="66">
        <v>119.5</v>
      </c>
      <c r="AF108" s="66">
        <v>116.1</v>
      </c>
      <c r="AG108" s="48"/>
      <c r="AH108" s="20">
        <f t="shared" si="24"/>
        <v>123</v>
      </c>
      <c r="AI108" s="65">
        <f t="shared" si="25"/>
        <v>0.16666666666666699</v>
      </c>
    </row>
    <row r="109" spans="1:37" ht="15.75" thickBot="1" x14ac:dyDescent="0.3">
      <c r="A109" s="67" t="s">
        <v>131</v>
      </c>
      <c r="B109" s="66">
        <v>78</v>
      </c>
      <c r="C109" s="66">
        <v>84.9</v>
      </c>
      <c r="D109" s="66">
        <v>99</v>
      </c>
      <c r="E109" s="66">
        <v>85</v>
      </c>
      <c r="F109" s="66">
        <v>78.5</v>
      </c>
      <c r="G109" s="66">
        <v>75</v>
      </c>
      <c r="H109" s="66">
        <v>53</v>
      </c>
      <c r="I109" s="66">
        <v>53</v>
      </c>
      <c r="J109" s="66">
        <v>53</v>
      </c>
      <c r="K109" s="66">
        <v>53</v>
      </c>
      <c r="L109" s="66">
        <v>58.8</v>
      </c>
      <c r="M109" s="66">
        <v>57.5</v>
      </c>
      <c r="N109" s="66">
        <v>71.900000000000006</v>
      </c>
      <c r="O109" s="66">
        <v>68.2</v>
      </c>
      <c r="P109" s="66">
        <v>75.7</v>
      </c>
      <c r="Q109" s="66">
        <v>75.7</v>
      </c>
      <c r="R109" s="66">
        <v>74.5</v>
      </c>
      <c r="S109" s="66">
        <v>71.400000000000006</v>
      </c>
      <c r="T109" s="66">
        <v>63</v>
      </c>
      <c r="U109" s="66">
        <v>63</v>
      </c>
      <c r="V109" s="66">
        <v>63</v>
      </c>
      <c r="W109" s="66">
        <v>65</v>
      </c>
      <c r="X109" s="66">
        <v>32.4</v>
      </c>
      <c r="Y109" s="66">
        <v>49.7</v>
      </c>
      <c r="Z109" s="66">
        <v>21</v>
      </c>
      <c r="AA109" s="66">
        <v>58</v>
      </c>
      <c r="AB109" s="66">
        <v>63</v>
      </c>
      <c r="AC109" s="66">
        <v>65.2</v>
      </c>
      <c r="AD109" s="66">
        <v>69.599999999999994</v>
      </c>
      <c r="AE109" s="66">
        <v>86.5</v>
      </c>
      <c r="AF109" s="66">
        <v>75</v>
      </c>
      <c r="AG109" s="48"/>
      <c r="AH109" s="20">
        <f t="shared" si="24"/>
        <v>99</v>
      </c>
      <c r="AI109" s="65">
        <f t="shared" si="25"/>
        <v>8.3333333333333301E-2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6">SUM(B111:B215)</f>
        <v>0</v>
      </c>
      <c r="C216" s="36">
        <f t="shared" si="26"/>
        <v>0</v>
      </c>
      <c r="D216" s="36">
        <f t="shared" si="26"/>
        <v>0</v>
      </c>
      <c r="E216" s="36">
        <f t="shared" si="26"/>
        <v>0</v>
      </c>
      <c r="F216" s="36">
        <f t="shared" si="26"/>
        <v>0</v>
      </c>
      <c r="G216" s="36">
        <f t="shared" si="26"/>
        <v>0</v>
      </c>
      <c r="H216" s="36">
        <f t="shared" si="26"/>
        <v>0</v>
      </c>
      <c r="I216" s="36">
        <f t="shared" si="26"/>
        <v>0</v>
      </c>
      <c r="J216" s="36">
        <f t="shared" si="26"/>
        <v>0</v>
      </c>
      <c r="K216" s="36">
        <f t="shared" si="26"/>
        <v>0</v>
      </c>
      <c r="L216" s="36">
        <f t="shared" si="26"/>
        <v>0</v>
      </c>
      <c r="M216" s="36">
        <f t="shared" si="26"/>
        <v>0</v>
      </c>
      <c r="N216" s="36">
        <f t="shared" si="26"/>
        <v>0</v>
      </c>
      <c r="O216" s="36">
        <f t="shared" si="26"/>
        <v>0</v>
      </c>
      <c r="P216" s="36">
        <f t="shared" si="26"/>
        <v>0</v>
      </c>
      <c r="Q216" s="36">
        <f t="shared" si="26"/>
        <v>0</v>
      </c>
      <c r="R216" s="36">
        <f t="shared" si="26"/>
        <v>0</v>
      </c>
      <c r="S216" s="36">
        <f t="shared" si="26"/>
        <v>0</v>
      </c>
      <c r="T216" s="36">
        <f t="shared" si="26"/>
        <v>0</v>
      </c>
      <c r="U216" s="36">
        <f t="shared" si="26"/>
        <v>0</v>
      </c>
      <c r="V216" s="36">
        <f t="shared" si="26"/>
        <v>0</v>
      </c>
      <c r="W216" s="36">
        <f t="shared" si="26"/>
        <v>0</v>
      </c>
      <c r="X216" s="36">
        <f t="shared" si="26"/>
        <v>0</v>
      </c>
      <c r="Y216" s="36">
        <f t="shared" si="26"/>
        <v>0</v>
      </c>
      <c r="Z216" s="36">
        <f t="shared" si="26"/>
        <v>0</v>
      </c>
      <c r="AA216" s="36">
        <f t="shared" si="26"/>
        <v>0</v>
      </c>
      <c r="AB216" s="36">
        <f t="shared" si="26"/>
        <v>0</v>
      </c>
      <c r="AC216" s="36">
        <f t="shared" si="26"/>
        <v>0</v>
      </c>
      <c r="AD216" s="36">
        <f t="shared" si="26"/>
        <v>0</v>
      </c>
      <c r="AE216" s="36">
        <f t="shared" si="26"/>
        <v>0</v>
      </c>
      <c r="AF216" s="51">
        <f t="shared" si="26"/>
        <v>0</v>
      </c>
      <c r="AG216" s="50">
        <f t="shared" si="26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7">AF218</f>
        <v>0</v>
      </c>
      <c r="C218" s="46">
        <v>0.3</v>
      </c>
      <c r="D218" s="46">
        <f t="shared" ref="D218:P223" si="28">C218</f>
        <v>0.3</v>
      </c>
      <c r="E218" s="46">
        <f t="shared" si="28"/>
        <v>0.3</v>
      </c>
      <c r="F218" s="46">
        <f t="shared" si="28"/>
        <v>0.3</v>
      </c>
      <c r="G218" s="46">
        <f t="shared" si="28"/>
        <v>0.3</v>
      </c>
      <c r="H218" s="46">
        <f t="shared" si="28"/>
        <v>0.3</v>
      </c>
      <c r="I218" s="46">
        <f t="shared" si="28"/>
        <v>0.3</v>
      </c>
      <c r="J218" s="46">
        <f t="shared" si="28"/>
        <v>0.3</v>
      </c>
      <c r="K218" s="46">
        <f t="shared" si="28"/>
        <v>0.3</v>
      </c>
      <c r="L218" s="46">
        <f t="shared" si="28"/>
        <v>0.3</v>
      </c>
      <c r="M218" s="46">
        <f t="shared" si="28"/>
        <v>0.3</v>
      </c>
      <c r="N218" s="46">
        <f t="shared" si="28"/>
        <v>0.3</v>
      </c>
      <c r="O218" s="46">
        <f t="shared" si="28"/>
        <v>0.3</v>
      </c>
      <c r="P218" s="46">
        <f t="shared" si="28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7"/>
        <v>0</v>
      </c>
      <c r="C219" s="43">
        <v>0.4</v>
      </c>
      <c r="D219" s="43">
        <f t="shared" si="28"/>
        <v>0.4</v>
      </c>
      <c r="E219" s="43">
        <f t="shared" si="28"/>
        <v>0.4</v>
      </c>
      <c r="F219" s="43">
        <f t="shared" si="28"/>
        <v>0.4</v>
      </c>
      <c r="G219" s="43">
        <f t="shared" si="28"/>
        <v>0.4</v>
      </c>
      <c r="H219" s="43">
        <f t="shared" si="28"/>
        <v>0.4</v>
      </c>
      <c r="I219" s="43">
        <f t="shared" si="28"/>
        <v>0.4</v>
      </c>
      <c r="J219" s="43">
        <f t="shared" si="28"/>
        <v>0.4</v>
      </c>
      <c r="K219" s="43">
        <f t="shared" si="28"/>
        <v>0.4</v>
      </c>
      <c r="L219" s="43">
        <f t="shared" si="28"/>
        <v>0.4</v>
      </c>
      <c r="M219" s="43">
        <f t="shared" si="28"/>
        <v>0.4</v>
      </c>
      <c r="N219" s="43">
        <f t="shared" si="28"/>
        <v>0.4</v>
      </c>
      <c r="O219" s="43">
        <f t="shared" si="28"/>
        <v>0.4</v>
      </c>
      <c r="P219" s="43">
        <f t="shared" si="28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7"/>
        <v>0</v>
      </c>
      <c r="C220" s="43">
        <v>1.5</v>
      </c>
      <c r="D220" s="43">
        <f t="shared" si="28"/>
        <v>1.5</v>
      </c>
      <c r="E220" s="43">
        <f t="shared" si="28"/>
        <v>1.5</v>
      </c>
      <c r="F220" s="43">
        <f t="shared" si="28"/>
        <v>1.5</v>
      </c>
      <c r="G220" s="43">
        <f t="shared" si="28"/>
        <v>1.5</v>
      </c>
      <c r="H220" s="43">
        <f t="shared" si="28"/>
        <v>1.5</v>
      </c>
      <c r="I220" s="43">
        <f t="shared" si="28"/>
        <v>1.5</v>
      </c>
      <c r="J220" s="43">
        <f t="shared" si="28"/>
        <v>1.5</v>
      </c>
      <c r="K220" s="43">
        <f t="shared" si="28"/>
        <v>1.5</v>
      </c>
      <c r="L220" s="43">
        <f t="shared" si="28"/>
        <v>1.5</v>
      </c>
      <c r="M220" s="43">
        <f t="shared" si="28"/>
        <v>1.5</v>
      </c>
      <c r="N220" s="43">
        <f t="shared" si="28"/>
        <v>1.5</v>
      </c>
      <c r="O220" s="43">
        <f t="shared" si="28"/>
        <v>1.5</v>
      </c>
      <c r="P220" s="43">
        <f t="shared" si="28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7"/>
        <v>0</v>
      </c>
      <c r="C221" s="43">
        <v>0.3</v>
      </c>
      <c r="D221" s="43">
        <f t="shared" si="28"/>
        <v>0.3</v>
      </c>
      <c r="E221" s="43">
        <f t="shared" si="28"/>
        <v>0.3</v>
      </c>
      <c r="F221" s="43">
        <f t="shared" si="28"/>
        <v>0.3</v>
      </c>
      <c r="G221" s="43">
        <f t="shared" si="28"/>
        <v>0.3</v>
      </c>
      <c r="H221" s="43">
        <f t="shared" si="28"/>
        <v>0.3</v>
      </c>
      <c r="I221" s="43">
        <f t="shared" si="28"/>
        <v>0.3</v>
      </c>
      <c r="J221" s="43">
        <f t="shared" si="28"/>
        <v>0.3</v>
      </c>
      <c r="K221" s="43">
        <f t="shared" si="28"/>
        <v>0.3</v>
      </c>
      <c r="L221" s="43">
        <f t="shared" si="28"/>
        <v>0.3</v>
      </c>
      <c r="M221" s="43">
        <f t="shared" si="28"/>
        <v>0.3</v>
      </c>
      <c r="N221" s="43">
        <f t="shared" si="28"/>
        <v>0.3</v>
      </c>
      <c r="O221" s="43">
        <f t="shared" si="28"/>
        <v>0.3</v>
      </c>
      <c r="P221" s="43">
        <f t="shared" si="28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7"/>
        <v>0</v>
      </c>
      <c r="C222" s="43">
        <v>0.4</v>
      </c>
      <c r="D222" s="43">
        <f t="shared" si="28"/>
        <v>0.4</v>
      </c>
      <c r="E222" s="43">
        <f t="shared" si="28"/>
        <v>0.4</v>
      </c>
      <c r="F222" s="43">
        <f t="shared" si="28"/>
        <v>0.4</v>
      </c>
      <c r="G222" s="43">
        <f t="shared" si="28"/>
        <v>0.4</v>
      </c>
      <c r="H222" s="43">
        <f t="shared" si="28"/>
        <v>0.4</v>
      </c>
      <c r="I222" s="43">
        <f t="shared" si="28"/>
        <v>0.4</v>
      </c>
      <c r="J222" s="43">
        <f t="shared" si="28"/>
        <v>0.4</v>
      </c>
      <c r="K222" s="43">
        <f t="shared" si="28"/>
        <v>0.4</v>
      </c>
      <c r="L222" s="43">
        <f t="shared" si="28"/>
        <v>0.4</v>
      </c>
      <c r="M222" s="43">
        <f t="shared" si="28"/>
        <v>0.4</v>
      </c>
      <c r="N222" s="43">
        <f t="shared" si="28"/>
        <v>0.4</v>
      </c>
      <c r="O222" s="43">
        <f t="shared" si="28"/>
        <v>0.4</v>
      </c>
      <c r="P222" s="43">
        <f t="shared" si="28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7"/>
        <v>0</v>
      </c>
      <c r="C223" s="39">
        <v>0.64</v>
      </c>
      <c r="D223" s="39">
        <f t="shared" si="28"/>
        <v>0.64</v>
      </c>
      <c r="E223" s="39">
        <f t="shared" si="28"/>
        <v>0.64</v>
      </c>
      <c r="F223" s="39">
        <f t="shared" si="28"/>
        <v>0.64</v>
      </c>
      <c r="G223" s="39">
        <f t="shared" si="28"/>
        <v>0.64</v>
      </c>
      <c r="H223" s="39">
        <f t="shared" si="28"/>
        <v>0.64</v>
      </c>
      <c r="I223" s="39">
        <f t="shared" si="28"/>
        <v>0.64</v>
      </c>
      <c r="J223" s="39">
        <f t="shared" si="28"/>
        <v>0.64</v>
      </c>
      <c r="K223" s="39">
        <f t="shared" si="28"/>
        <v>0.64</v>
      </c>
      <c r="L223" s="39">
        <f t="shared" si="28"/>
        <v>0.64</v>
      </c>
      <c r="M223" s="39">
        <f t="shared" si="28"/>
        <v>0.64</v>
      </c>
      <c r="N223" s="39">
        <f t="shared" si="28"/>
        <v>0.64</v>
      </c>
      <c r="O223" s="39">
        <f t="shared" si="28"/>
        <v>0.64</v>
      </c>
      <c r="P223" s="39">
        <f t="shared" si="28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9">SUM(B218:B223)</f>
        <v>0</v>
      </c>
      <c r="C224" s="36">
        <f t="shared" si="29"/>
        <v>3.54</v>
      </c>
      <c r="D224" s="36">
        <f t="shared" si="29"/>
        <v>3.54</v>
      </c>
      <c r="E224" s="36">
        <f t="shared" si="29"/>
        <v>3.54</v>
      </c>
      <c r="F224" s="36">
        <f t="shared" si="29"/>
        <v>3.54</v>
      </c>
      <c r="G224" s="36">
        <f t="shared" si="29"/>
        <v>3.54</v>
      </c>
      <c r="H224" s="36">
        <f t="shared" si="29"/>
        <v>3.54</v>
      </c>
      <c r="I224" s="36">
        <f t="shared" si="29"/>
        <v>3.54</v>
      </c>
      <c r="J224" s="36">
        <f t="shared" si="29"/>
        <v>3.54</v>
      </c>
      <c r="K224" s="36">
        <f t="shared" si="29"/>
        <v>3.54</v>
      </c>
      <c r="L224" s="36">
        <f t="shared" si="29"/>
        <v>3.54</v>
      </c>
      <c r="M224" s="36">
        <f t="shared" si="29"/>
        <v>3.54</v>
      </c>
      <c r="N224" s="36">
        <f t="shared" si="29"/>
        <v>3.54</v>
      </c>
      <c r="O224" s="36">
        <f t="shared" si="29"/>
        <v>3.54</v>
      </c>
      <c r="P224" s="36">
        <f t="shared" si="29"/>
        <v>3.54</v>
      </c>
      <c r="Q224" s="36">
        <f t="shared" si="29"/>
        <v>0</v>
      </c>
      <c r="R224" s="36">
        <f t="shared" si="29"/>
        <v>0</v>
      </c>
      <c r="S224" s="36">
        <f t="shared" si="29"/>
        <v>0</v>
      </c>
      <c r="T224" s="36">
        <f t="shared" si="29"/>
        <v>0</v>
      </c>
      <c r="U224" s="36">
        <f t="shared" si="29"/>
        <v>0</v>
      </c>
      <c r="V224" s="36">
        <f t="shared" si="29"/>
        <v>0</v>
      </c>
      <c r="W224" s="36">
        <f t="shared" si="29"/>
        <v>0</v>
      </c>
      <c r="X224" s="36">
        <f t="shared" si="29"/>
        <v>0</v>
      </c>
      <c r="Y224" s="36">
        <f t="shared" si="29"/>
        <v>0</v>
      </c>
      <c r="Z224" s="36">
        <f t="shared" si="29"/>
        <v>0</v>
      </c>
      <c r="AA224" s="36">
        <f t="shared" si="29"/>
        <v>0</v>
      </c>
      <c r="AB224" s="36">
        <f t="shared" si="29"/>
        <v>0</v>
      </c>
      <c r="AC224" s="36">
        <f t="shared" si="29"/>
        <v>0</v>
      </c>
      <c r="AD224" s="36">
        <f t="shared" si="29"/>
        <v>0</v>
      </c>
      <c r="AE224" s="36">
        <f t="shared" si="29"/>
        <v>0</v>
      </c>
      <c r="AF224" s="36">
        <f t="shared" si="29"/>
        <v>0</v>
      </c>
      <c r="AG224" s="35">
        <f t="shared" si="29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1811.44</v>
      </c>
      <c r="C233" s="16">
        <f>INDEX(G9:N9,1,MATCH(MAX(G81:N81),G81:N81,0))</f>
        <v>0.375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9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2079/06/9)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2079/06/9)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30">B81</f>
        <v>1701.84</v>
      </c>
      <c r="U238" s="9">
        <f t="shared" si="30"/>
        <v>1716.94</v>
      </c>
      <c r="V238" s="9">
        <f t="shared" si="30"/>
        <v>1678.04</v>
      </c>
      <c r="W238" s="9">
        <f t="shared" si="30"/>
        <v>1620.84</v>
      </c>
      <c r="X238" s="9">
        <f t="shared" si="30"/>
        <v>1620.84</v>
      </c>
      <c r="Y238" s="9">
        <f t="shared" si="30"/>
        <v>1620.84</v>
      </c>
      <c r="Z238" s="9">
        <f t="shared" si="30"/>
        <v>1620.84</v>
      </c>
      <c r="AA238" s="9">
        <f t="shared" si="30"/>
        <v>1620.84</v>
      </c>
      <c r="AB238" s="9">
        <f t="shared" si="30"/>
        <v>1635.84</v>
      </c>
      <c r="AC238" s="9">
        <f t="shared" si="30"/>
        <v>1697.6399999999999</v>
      </c>
      <c r="AD238" s="9">
        <f t="shared" si="30"/>
        <v>1744.6399999999999</v>
      </c>
      <c r="AE238" s="9">
        <f t="shared" si="30"/>
        <v>1782.24</v>
      </c>
      <c r="AF238" s="9">
        <f t="shared" si="30"/>
        <v>1811.44</v>
      </c>
      <c r="AG238" s="9">
        <f t="shared" si="30"/>
        <v>1754.8400000000001</v>
      </c>
      <c r="AH238" s="9">
        <f t="shared" si="30"/>
        <v>1772.24</v>
      </c>
      <c r="AI238" s="9">
        <f t="shared" si="30"/>
        <v>1768.34</v>
      </c>
      <c r="AJ238" s="9">
        <f t="shared" si="30"/>
        <v>1763.94</v>
      </c>
      <c r="AK238" s="9">
        <f t="shared" si="30"/>
        <v>1821.19</v>
      </c>
      <c r="AL238" s="9">
        <f t="shared" si="30"/>
        <v>1817.94</v>
      </c>
      <c r="AM238" s="9">
        <f t="shared" si="30"/>
        <v>1817.94</v>
      </c>
      <c r="AN238" s="9">
        <f t="shared" si="30"/>
        <v>1731.94</v>
      </c>
      <c r="AO238" s="9">
        <f t="shared" si="30"/>
        <v>1817.94</v>
      </c>
      <c r="AP238" s="9">
        <f t="shared" si="30"/>
        <v>1803.74</v>
      </c>
      <c r="AQ238" s="9">
        <f t="shared" si="30"/>
        <v>1869.3400000000001</v>
      </c>
      <c r="AR238" s="9">
        <f t="shared" si="30"/>
        <v>1838.74</v>
      </c>
      <c r="AS238" s="9">
        <f t="shared" si="30"/>
        <v>1830.2400000000002</v>
      </c>
      <c r="AT238" s="9">
        <f t="shared" si="30"/>
        <v>1858.54</v>
      </c>
      <c r="AU238" s="9">
        <f t="shared" si="30"/>
        <v>1863.64</v>
      </c>
      <c r="AV238" s="9">
        <f t="shared" si="30"/>
        <v>1818.7400000000002</v>
      </c>
      <c r="AW238" s="9">
        <f t="shared" si="30"/>
        <v>1802.3400000000001</v>
      </c>
      <c r="AX238" s="9">
        <f t="shared" si="30"/>
        <v>1745.34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31">C223</f>
        <v>0.64</v>
      </c>
      <c r="C259" s="4">
        <f t="shared" si="31"/>
        <v>0.64</v>
      </c>
      <c r="D259" s="4">
        <f t="shared" si="31"/>
        <v>0.64</v>
      </c>
      <c r="E259" s="4">
        <f t="shared" si="31"/>
        <v>0.64</v>
      </c>
      <c r="F259" s="4">
        <f t="shared" si="31"/>
        <v>0.64</v>
      </c>
      <c r="G259" s="4">
        <f t="shared" si="31"/>
        <v>0.64</v>
      </c>
      <c r="H259" s="4">
        <f t="shared" si="31"/>
        <v>0.64</v>
      </c>
      <c r="I259" s="4">
        <f t="shared" si="31"/>
        <v>0.64</v>
      </c>
      <c r="J259" s="4">
        <f t="shared" si="31"/>
        <v>0.64</v>
      </c>
      <c r="K259" s="4">
        <f t="shared" si="31"/>
        <v>0.64</v>
      </c>
      <c r="L259" s="4">
        <f t="shared" si="31"/>
        <v>0.64</v>
      </c>
      <c r="M259" s="4">
        <f t="shared" si="31"/>
        <v>0.64</v>
      </c>
      <c r="N259" s="4">
        <f t="shared" si="31"/>
        <v>0.64</v>
      </c>
      <c r="O259" s="4">
        <f t="shared" si="31"/>
        <v>0.64</v>
      </c>
      <c r="P259" s="4">
        <f t="shared" si="31"/>
        <v>0</v>
      </c>
      <c r="Q259" s="4">
        <f t="shared" si="31"/>
        <v>0</v>
      </c>
      <c r="R259" s="4">
        <f t="shared" si="31"/>
        <v>0</v>
      </c>
      <c r="S259" s="4">
        <f t="shared" si="31"/>
        <v>0</v>
      </c>
      <c r="T259" s="4">
        <f t="shared" si="31"/>
        <v>0</v>
      </c>
      <c r="U259" s="4">
        <f t="shared" si="31"/>
        <v>0</v>
      </c>
      <c r="V259" s="4">
        <f t="shared" si="31"/>
        <v>0</v>
      </c>
      <c r="W259" s="4">
        <f t="shared" si="31"/>
        <v>0</v>
      </c>
      <c r="X259" s="4">
        <f t="shared" si="31"/>
        <v>0</v>
      </c>
      <c r="Y259" s="4">
        <f t="shared" si="31"/>
        <v>0</v>
      </c>
      <c r="Z259" s="4">
        <f t="shared" si="31"/>
        <v>0</v>
      </c>
      <c r="AA259" s="4">
        <f t="shared" si="31"/>
        <v>0</v>
      </c>
      <c r="AB259" s="4">
        <f t="shared" si="31"/>
        <v>0</v>
      </c>
      <c r="AC259" s="4">
        <f t="shared" si="31"/>
        <v>0</v>
      </c>
      <c r="AD259" s="4">
        <f t="shared" si="31"/>
        <v>0</v>
      </c>
      <c r="AE259" s="4">
        <f t="shared" si="31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32">IF(B227&lt;100,"",B227-520)</f>
        <v/>
      </c>
      <c r="C260" s="3" t="str">
        <f t="shared" si="32"/>
        <v/>
      </c>
      <c r="D260" s="3" t="str">
        <f t="shared" si="32"/>
        <v/>
      </c>
      <c r="E260" s="3" t="str">
        <f t="shared" si="32"/>
        <v/>
      </c>
      <c r="F260" s="3" t="str">
        <f t="shared" si="32"/>
        <v/>
      </c>
      <c r="G260" s="3" t="str">
        <f t="shared" si="32"/>
        <v/>
      </c>
      <c r="H260" s="3" t="str">
        <f t="shared" si="32"/>
        <v/>
      </c>
      <c r="I260" s="3" t="str">
        <f t="shared" si="32"/>
        <v/>
      </c>
      <c r="J260" s="3" t="str">
        <f t="shared" si="32"/>
        <v/>
      </c>
      <c r="K260" s="3" t="str">
        <f t="shared" si="32"/>
        <v/>
      </c>
      <c r="L260" s="3" t="str">
        <f t="shared" si="32"/>
        <v/>
      </c>
      <c r="M260" s="3" t="str">
        <f t="shared" si="32"/>
        <v/>
      </c>
      <c r="N260" s="3" t="str">
        <f t="shared" si="32"/>
        <v/>
      </c>
      <c r="O260" s="3" t="str">
        <f t="shared" si="32"/>
        <v/>
      </c>
      <c r="P260" s="3" t="str">
        <f t="shared" si="32"/>
        <v/>
      </c>
      <c r="Q260" s="3" t="str">
        <f t="shared" si="32"/>
        <v/>
      </c>
      <c r="R260" s="3" t="str">
        <f t="shared" si="32"/>
        <v/>
      </c>
      <c r="S260" s="3" t="str">
        <f t="shared" si="32"/>
        <v/>
      </c>
      <c r="T260" s="3" t="str">
        <f t="shared" si="32"/>
        <v/>
      </c>
      <c r="U260" s="3" t="str">
        <f t="shared" si="32"/>
        <v/>
      </c>
      <c r="V260" s="3" t="str">
        <f t="shared" si="32"/>
        <v/>
      </c>
      <c r="W260" s="3" t="str">
        <f t="shared" si="32"/>
        <v/>
      </c>
      <c r="X260" s="3" t="str">
        <f t="shared" si="32"/>
        <v/>
      </c>
      <c r="Y260" s="3" t="str">
        <f t="shared" si="32"/>
        <v/>
      </c>
      <c r="Z260" s="3" t="str">
        <f t="shared" si="32"/>
        <v/>
      </c>
      <c r="AA260" s="3" t="str">
        <f t="shared" si="32"/>
        <v/>
      </c>
      <c r="AB260" s="3" t="str">
        <f t="shared" si="32"/>
        <v/>
      </c>
      <c r="AC260" s="3" t="str">
        <f t="shared" si="32"/>
        <v/>
      </c>
      <c r="AD260" s="3" t="str">
        <f t="shared" si="32"/>
        <v/>
      </c>
      <c r="AE260" s="3" t="str">
        <f t="shared" si="32"/>
        <v/>
      </c>
      <c r="AF260" s="3" t="str">
        <f t="shared" si="32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33">IF(B228&lt;100,"",B228-620)</f>
        <v/>
      </c>
      <c r="C261" s="3" t="str">
        <f t="shared" si="33"/>
        <v/>
      </c>
      <c r="D261" s="3" t="str">
        <f t="shared" si="33"/>
        <v/>
      </c>
      <c r="E261" s="3" t="str">
        <f t="shared" si="33"/>
        <v/>
      </c>
      <c r="F261" s="3" t="str">
        <f t="shared" si="33"/>
        <v/>
      </c>
      <c r="G261" s="3" t="str">
        <f t="shared" si="33"/>
        <v/>
      </c>
      <c r="H261" s="3" t="str">
        <f t="shared" si="33"/>
        <v/>
      </c>
      <c r="I261" s="3" t="str">
        <f t="shared" si="33"/>
        <v/>
      </c>
      <c r="J261" s="3" t="str">
        <f t="shared" si="33"/>
        <v/>
      </c>
      <c r="K261" s="3" t="str">
        <f t="shared" si="33"/>
        <v/>
      </c>
      <c r="L261" s="3" t="str">
        <f t="shared" si="33"/>
        <v/>
      </c>
      <c r="M261" s="3" t="str">
        <f t="shared" si="33"/>
        <v/>
      </c>
      <c r="N261" s="3" t="str">
        <f t="shared" si="33"/>
        <v/>
      </c>
      <c r="O261" s="3" t="str">
        <f t="shared" si="33"/>
        <v/>
      </c>
      <c r="P261" s="3" t="str">
        <f t="shared" si="33"/>
        <v/>
      </c>
      <c r="Q261" s="3" t="str">
        <f t="shared" si="33"/>
        <v/>
      </c>
      <c r="R261" s="3" t="str">
        <f t="shared" si="33"/>
        <v/>
      </c>
      <c r="S261" s="3" t="str">
        <f t="shared" si="33"/>
        <v/>
      </c>
      <c r="T261" s="3" t="str">
        <f t="shared" si="33"/>
        <v/>
      </c>
      <c r="U261" s="3" t="str">
        <f t="shared" si="33"/>
        <v/>
      </c>
      <c r="V261" s="3" t="str">
        <f t="shared" si="33"/>
        <v/>
      </c>
      <c r="W261" s="3" t="str">
        <f t="shared" si="33"/>
        <v/>
      </c>
      <c r="X261" s="3" t="str">
        <f t="shared" si="33"/>
        <v/>
      </c>
      <c r="Y261" s="3" t="str">
        <f t="shared" si="33"/>
        <v/>
      </c>
      <c r="Z261" s="3" t="str">
        <f t="shared" si="33"/>
        <v/>
      </c>
      <c r="AA261" s="3" t="str">
        <f t="shared" si="33"/>
        <v/>
      </c>
      <c r="AB261" s="3" t="str">
        <f t="shared" si="33"/>
        <v/>
      </c>
      <c r="AC261" s="3" t="str">
        <f t="shared" si="33"/>
        <v/>
      </c>
      <c r="AD261" s="3" t="str">
        <f t="shared" si="33"/>
        <v/>
      </c>
      <c r="AE261" s="3" t="str">
        <f t="shared" si="33"/>
        <v/>
      </c>
      <c r="AF261" s="3" t="str">
        <f t="shared" si="33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4">IF(B229&lt;100,"",B229-330)</f>
        <v/>
      </c>
      <c r="C262" s="3" t="str">
        <f t="shared" si="34"/>
        <v/>
      </c>
      <c r="D262" s="3" t="str">
        <f t="shared" si="34"/>
        <v/>
      </c>
      <c r="E262" s="3" t="str">
        <f t="shared" si="34"/>
        <v/>
      </c>
      <c r="F262" s="3" t="str">
        <f t="shared" si="34"/>
        <v/>
      </c>
      <c r="G262" s="3" t="str">
        <f t="shared" si="34"/>
        <v/>
      </c>
      <c r="H262" s="3" t="str">
        <f t="shared" si="34"/>
        <v/>
      </c>
      <c r="I262" s="3" t="str">
        <f t="shared" si="34"/>
        <v/>
      </c>
      <c r="J262" s="3" t="str">
        <f t="shared" si="34"/>
        <v/>
      </c>
      <c r="K262" s="3" t="str">
        <f t="shared" si="34"/>
        <v/>
      </c>
      <c r="L262" s="3" t="str">
        <f t="shared" si="34"/>
        <v/>
      </c>
      <c r="M262" s="3" t="str">
        <f t="shared" si="34"/>
        <v/>
      </c>
      <c r="N262" s="3" t="str">
        <f t="shared" si="34"/>
        <v/>
      </c>
      <c r="O262" s="3" t="str">
        <f t="shared" si="34"/>
        <v/>
      </c>
      <c r="P262" s="3" t="str">
        <f t="shared" si="34"/>
        <v/>
      </c>
      <c r="Q262" s="3" t="str">
        <f t="shared" si="34"/>
        <v/>
      </c>
      <c r="R262" s="3" t="str">
        <f t="shared" si="34"/>
        <v/>
      </c>
      <c r="S262" s="3" t="str">
        <f t="shared" si="34"/>
        <v/>
      </c>
      <c r="T262" s="3" t="str">
        <f t="shared" si="34"/>
        <v/>
      </c>
      <c r="U262" s="3" t="str">
        <f t="shared" si="34"/>
        <v/>
      </c>
      <c r="V262" s="3" t="str">
        <f t="shared" si="34"/>
        <v/>
      </c>
      <c r="W262" s="3" t="str">
        <f t="shared" si="34"/>
        <v/>
      </c>
      <c r="X262" s="3" t="str">
        <f t="shared" si="34"/>
        <v/>
      </c>
      <c r="Y262" s="3" t="str">
        <f t="shared" si="34"/>
        <v/>
      </c>
      <c r="Z262" s="3" t="str">
        <f t="shared" si="34"/>
        <v/>
      </c>
      <c r="AA262" s="3" t="str">
        <f t="shared" si="34"/>
        <v/>
      </c>
      <c r="AB262" s="3" t="str">
        <f t="shared" si="34"/>
        <v/>
      </c>
      <c r="AC262" s="3" t="str">
        <f t="shared" si="34"/>
        <v/>
      </c>
      <c r="AD262" s="3" t="str">
        <f t="shared" si="34"/>
        <v/>
      </c>
      <c r="AE262" s="3" t="str">
        <f t="shared" si="34"/>
        <v/>
      </c>
      <c r="AF262" s="3" t="str">
        <f t="shared" si="34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5">IF(B230&lt;100,"",B230-1500)</f>
        <v/>
      </c>
      <c r="C263" s="3" t="str">
        <f t="shared" si="35"/>
        <v/>
      </c>
      <c r="D263" s="3" t="str">
        <f t="shared" si="35"/>
        <v/>
      </c>
      <c r="E263" s="3" t="str">
        <f t="shared" si="35"/>
        <v/>
      </c>
      <c r="F263" s="3" t="str">
        <f t="shared" si="35"/>
        <v/>
      </c>
      <c r="G263" s="3" t="str">
        <f t="shared" si="35"/>
        <v/>
      </c>
      <c r="H263" s="3" t="str">
        <f t="shared" si="35"/>
        <v/>
      </c>
      <c r="I263" s="3" t="str">
        <f t="shared" si="35"/>
        <v/>
      </c>
      <c r="J263" s="3" t="str">
        <f t="shared" si="35"/>
        <v/>
      </c>
      <c r="K263" s="3" t="str">
        <f t="shared" si="35"/>
        <v/>
      </c>
      <c r="L263" s="3" t="str">
        <f t="shared" si="35"/>
        <v/>
      </c>
      <c r="M263" s="3" t="str">
        <f t="shared" si="35"/>
        <v/>
      </c>
      <c r="N263" s="3" t="str">
        <f t="shared" si="35"/>
        <v/>
      </c>
      <c r="O263" s="3" t="str">
        <f t="shared" si="35"/>
        <v/>
      </c>
      <c r="P263" s="3" t="str">
        <f t="shared" si="35"/>
        <v/>
      </c>
      <c r="Q263" s="3" t="str">
        <f t="shared" si="35"/>
        <v/>
      </c>
      <c r="R263" s="3" t="str">
        <f t="shared" si="35"/>
        <v/>
      </c>
      <c r="S263" s="3" t="str">
        <f t="shared" si="35"/>
        <v/>
      </c>
      <c r="T263" s="3" t="str">
        <f t="shared" si="35"/>
        <v/>
      </c>
      <c r="U263" s="3" t="str">
        <f t="shared" si="35"/>
        <v/>
      </c>
      <c r="V263" s="3" t="str">
        <f t="shared" si="35"/>
        <v/>
      </c>
      <c r="W263" s="3" t="str">
        <f t="shared" si="35"/>
        <v/>
      </c>
      <c r="X263" s="3" t="str">
        <f t="shared" si="35"/>
        <v/>
      </c>
      <c r="Y263" s="3" t="str">
        <f t="shared" si="35"/>
        <v/>
      </c>
      <c r="Z263" s="3" t="str">
        <f t="shared" si="35"/>
        <v/>
      </c>
      <c r="AA263" s="3" t="str">
        <f t="shared" si="35"/>
        <v/>
      </c>
      <c r="AB263" s="3" t="str">
        <f t="shared" si="35"/>
        <v/>
      </c>
      <c r="AC263" s="3" t="str">
        <f t="shared" si="35"/>
        <v/>
      </c>
      <c r="AD263" s="3" t="str">
        <f t="shared" si="35"/>
        <v/>
      </c>
      <c r="AE263" s="3" t="str">
        <f t="shared" si="35"/>
        <v/>
      </c>
      <c r="AF263" s="3" t="str">
        <f t="shared" si="35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AB11:AF11">
    <cfRule type="expression" dxfId="7289" priority="239">
      <formula>B$9&gt;=20/24</formula>
    </cfRule>
    <cfRule type="expression" dxfId="7288" priority="240">
      <formula>AND(B$9&gt;=14/24,B$9&lt;20/24)</formula>
    </cfRule>
    <cfRule type="expression" dxfId="7287" priority="241">
      <formula>AND(B$9&gt;=8/24,B$9&lt;14/24)</formula>
    </cfRule>
    <cfRule type="expression" dxfId="7286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7285" priority="234">
      <formula>S$9&gt;=20/24</formula>
    </cfRule>
    <cfRule type="expression" dxfId="7284" priority="235">
      <formula>AND(S$9&gt;=14/24,S$9&lt;20/24)</formula>
    </cfRule>
    <cfRule type="expression" dxfId="7283" priority="236">
      <formula>AND(S$9&gt;=8/24,S$9&lt;14/24)</formula>
    </cfRule>
    <cfRule type="expression" dxfId="7282" priority="237">
      <formula>S$9&lt;8/24</formula>
    </cfRule>
  </conditionalFormatting>
  <conditionalFormatting sqref="AG57 S39:AF39 B12:AA15 AB11:AF15 B17:AF17 B37:AF37">
    <cfRule type="expression" dxfId="7281" priority="233">
      <formula>B11&gt;$AG11</formula>
    </cfRule>
  </conditionalFormatting>
  <conditionalFormatting sqref="A91:A101 A11:A14 A51:A78 A87:A89 A194:A224 A17:A29 A38:A49 A110:A181 A34:A35 A83:A85 A80:A81 A103:A105 A31:A32">
    <cfRule type="expression" dxfId="7280" priority="232">
      <formula>$AH11=0</formula>
    </cfRule>
  </conditionalFormatting>
  <conditionalFormatting sqref="A106">
    <cfRule type="expression" dxfId="7279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7278" priority="229">
      <formula>$AH37=0</formula>
    </cfRule>
  </conditionalFormatting>
  <conditionalFormatting sqref="A90">
    <cfRule type="expression" dxfId="7277" priority="228">
      <formula>$AH90=0</formula>
    </cfRule>
  </conditionalFormatting>
  <conditionalFormatting sqref="A15">
    <cfRule type="expression" dxfId="7276" priority="227">
      <formula>$AH15=0</formula>
    </cfRule>
  </conditionalFormatting>
  <conditionalFormatting sqref="A188:A193">
    <cfRule type="expression" dxfId="7275" priority="226">
      <formula>$AH188=0</formula>
    </cfRule>
  </conditionalFormatting>
  <conditionalFormatting sqref="A182:A187">
    <cfRule type="expression" dxfId="7274" priority="225">
      <formula>$AH182=0</formula>
    </cfRule>
  </conditionalFormatting>
  <conditionalFormatting sqref="A50">
    <cfRule type="expression" dxfId="7273" priority="224">
      <formula>$AH50=0</formula>
    </cfRule>
  </conditionalFormatting>
  <conditionalFormatting sqref="A86">
    <cfRule type="expression" dxfId="7272" priority="223">
      <formula>$AH86=0</formula>
    </cfRule>
  </conditionalFormatting>
  <conditionalFormatting sqref="E91:AF91">
    <cfRule type="expression" dxfId="7271" priority="219">
      <formula>E$9&gt;=20/24</formula>
    </cfRule>
    <cfRule type="expression" dxfId="7270" priority="220">
      <formula>AND(E$9&gt;=14/24,E$9&lt;20/24)</formula>
    </cfRule>
    <cfRule type="expression" dxfId="7269" priority="221">
      <formula>AND(E$9&gt;=8/24,E$9&lt;14/24)</formula>
    </cfRule>
    <cfRule type="expression" dxfId="7268" priority="222">
      <formula>E$9&lt;8/24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267" priority="245">
      <formula>C$9&gt;=20/24</formula>
    </cfRule>
    <cfRule type="expression" dxfId="7266" priority="246">
      <formula>AND(C$9&gt;=14/24,C$9&lt;20/24)</formula>
    </cfRule>
    <cfRule type="expression" dxfId="7265" priority="247">
      <formula>AND(C$9&gt;=8/24,C$9&lt;14/24)</formula>
    </cfRule>
    <cfRule type="expression" dxfId="7264" priority="248">
      <formula>C$9&lt;8/24</formula>
    </cfRule>
  </conditionalFormatting>
  <conditionalFormatting sqref="A225">
    <cfRule type="expression" dxfId="7263" priority="249">
      <formula>$AH225=0</formula>
    </cfRule>
  </conditionalFormatting>
  <conditionalFormatting sqref="AG237">
    <cfRule type="expression" dxfId="7262" priority="250">
      <formula>B$9&gt;=20/24</formula>
    </cfRule>
    <cfRule type="expression" dxfId="7261" priority="251">
      <formula>AND(B$9&gt;=14/24,B$9&lt;20/24)</formula>
    </cfRule>
    <cfRule type="expression" dxfId="7260" priority="252">
      <formula>AND(B$9&gt;=8/24,B$9&lt;14/24)</formula>
    </cfRule>
    <cfRule type="expression" dxfId="7259" priority="253">
      <formula>B$9&lt;8/24</formula>
    </cfRule>
  </conditionalFormatting>
  <conditionalFormatting sqref="S8">
    <cfRule type="expression" dxfId="7258" priority="214">
      <formula>U$9&gt;=20/24</formula>
    </cfRule>
    <cfRule type="expression" dxfId="7257" priority="215">
      <formula>AND(U$9&gt;=14/24,U$9&lt;20/24)</formula>
    </cfRule>
    <cfRule type="expression" dxfId="7256" priority="216">
      <formula>AND(U$9&gt;=8/24,U$9&lt;14/24)</formula>
    </cfRule>
    <cfRule type="expression" dxfId="7255" priority="217">
      <formula>U$9&lt;8/24</formula>
    </cfRule>
  </conditionalFormatting>
  <conditionalFormatting sqref="AB8">
    <cfRule type="expression" dxfId="7254" priority="210">
      <formula>AD$9&gt;=20/24</formula>
    </cfRule>
    <cfRule type="expression" dxfId="7253" priority="211">
      <formula>AND(AD$9&gt;=14/24,AD$9&lt;20/24)</formula>
    </cfRule>
    <cfRule type="expression" dxfId="7252" priority="212">
      <formula>AND(AD$9&gt;=8/24,AD$9&lt;14/24)</formula>
    </cfRule>
    <cfRule type="expression" dxfId="7251" priority="213">
      <formula>AD$9&lt;8/24</formula>
    </cfRule>
  </conditionalFormatting>
  <conditionalFormatting sqref="AH237:AX237">
    <cfRule type="expression" dxfId="7250" priority="254">
      <formula>AG$9&gt;=20/24</formula>
    </cfRule>
    <cfRule type="expression" dxfId="7249" priority="255">
      <formula>AND(AG$9&gt;=14/24,AG$9&lt;20/24)</formula>
    </cfRule>
    <cfRule type="expression" dxfId="7248" priority="256">
      <formula>AND(AG$9&gt;=8/24,AG$9&lt;14/24)</formula>
    </cfRule>
    <cfRule type="expression" dxfId="7247" priority="257">
      <formula>AG$9&lt;8/24</formula>
    </cfRule>
  </conditionalFormatting>
  <conditionalFormatting sqref="T237">
    <cfRule type="expression" dxfId="7246" priority="258">
      <formula>AX$9&gt;=20/24</formula>
    </cfRule>
    <cfRule type="expression" dxfId="7245" priority="259">
      <formula>AND(AX$9&gt;=14/24,AX$9&lt;20/24)</formula>
    </cfRule>
    <cfRule type="expression" dxfId="7244" priority="260">
      <formula>AND(AX$9&gt;=8/24,AX$9&lt;14/24)</formula>
    </cfRule>
    <cfRule type="expression" dxfId="7243" priority="261">
      <formula>AX$9&lt;8/24</formula>
    </cfRule>
  </conditionalFormatting>
  <conditionalFormatting sqref="A107:A108">
    <cfRule type="expression" dxfId="7242" priority="209">
      <formula>$AH107=0</formula>
    </cfRule>
  </conditionalFormatting>
  <conditionalFormatting sqref="P63:AF63 AB38:AF38 AB46:AF47">
    <cfRule type="expression" dxfId="7241" priority="205">
      <formula>P$9&gt;=20/24</formula>
    </cfRule>
    <cfRule type="expression" dxfId="7240" priority="206">
      <formula>AND(P$9&gt;=14/24,P$9&lt;20/24)</formula>
    </cfRule>
    <cfRule type="expression" dxfId="7239" priority="207">
      <formula>AND(P$9&gt;=8/24,P$9&lt;14/24)</formula>
    </cfRule>
    <cfRule type="expression" dxfId="7238" priority="208">
      <formula>P$9&lt;8/24</formula>
    </cfRule>
  </conditionalFormatting>
  <conditionalFormatting sqref="AB45:AF45">
    <cfRule type="expression" dxfId="7237" priority="201">
      <formula>AB$9&gt;=20/24</formula>
    </cfRule>
    <cfRule type="expression" dxfId="7236" priority="202">
      <formula>AND(AB$9&gt;=14/24,AB$9&lt;20/24)</formula>
    </cfRule>
    <cfRule type="expression" dxfId="7235" priority="203">
      <formula>AND(AB$9&gt;=8/24,AB$9&lt;14/24)</formula>
    </cfRule>
    <cfRule type="expression" dxfId="7234" priority="204">
      <formula>AB$9&lt;8/24</formula>
    </cfRule>
  </conditionalFormatting>
  <conditionalFormatting sqref="AB38:AF38 AB45:AF47">
    <cfRule type="expression" dxfId="7233" priority="200">
      <formula>AB38&gt;$AG38</formula>
    </cfRule>
  </conditionalFormatting>
  <conditionalFormatting sqref="C88:AF88 C78:AF78 M39:R39 P64:W65 Y38:AA38 E92:AF98 E75:AF77 AB19:AF23 AB25:AF27 AB29:AF29 AB12:AF14 AB17:AF17 AB31:AF34 S59:AF61 X64:AF73">
    <cfRule type="expression" dxfId="7232" priority="196">
      <formula>C$9&gt;=20/24</formula>
    </cfRule>
    <cfRule type="expression" dxfId="7231" priority="197">
      <formula>AND(C$9&gt;=14/24,C$9&lt;20/24)</formula>
    </cfRule>
    <cfRule type="expression" dxfId="7230" priority="198">
      <formula>AND(C$9&gt;=8/24,C$9&lt;14/24)</formula>
    </cfRule>
    <cfRule type="expression" dxfId="7229" priority="199">
      <formula>C$9&lt;8/24</formula>
    </cfRule>
  </conditionalFormatting>
  <conditionalFormatting sqref="AB35:AF35">
    <cfRule type="expression" dxfId="7228" priority="192">
      <formula>AB$9&gt;=20/24</formula>
    </cfRule>
    <cfRule type="expression" dxfId="7227" priority="193">
      <formula>AND(AB$9&gt;=14/24,AB$9&lt;20/24)</formula>
    </cfRule>
    <cfRule type="expression" dxfId="7226" priority="194">
      <formula>AND(AB$9&gt;=8/24,AB$9&lt;14/24)</formula>
    </cfRule>
    <cfRule type="expression" dxfId="7225" priority="195">
      <formula>AB$9&lt;8/24</formula>
    </cfRule>
  </conditionalFormatting>
  <conditionalFormatting sqref="M39:R39 C57:AF57 Y38:AA38 AB19:AF23 AB25:AF29 AB31:AF35 AB48:AF49 S59:AF61">
    <cfRule type="expression" dxfId="7224" priority="191">
      <formula>C19&gt;$AG19</formula>
    </cfRule>
  </conditionalFormatting>
  <conditionalFormatting sqref="AB37:AF37">
    <cfRule type="expression" dxfId="7223" priority="187">
      <formula>AB$9&gt;=20/24</formula>
    </cfRule>
    <cfRule type="expression" dxfId="7222" priority="188">
      <formula>AND(AB$9&gt;=14/24,AB$9&lt;20/24)</formula>
    </cfRule>
    <cfRule type="expression" dxfId="7221" priority="189">
      <formula>AND(AB$9&gt;=8/24,AB$9&lt;14/24)</formula>
    </cfRule>
    <cfRule type="expression" dxfId="7220" priority="190">
      <formula>AB$9&lt;8/24</formula>
    </cfRule>
  </conditionalFormatting>
  <conditionalFormatting sqref="AB15:AF15">
    <cfRule type="expression" dxfId="7219" priority="183">
      <formula>AB$9&gt;=20/24</formula>
    </cfRule>
    <cfRule type="expression" dxfId="7218" priority="184">
      <formula>AND(AB$9&gt;=14/24,AB$9&lt;20/24)</formula>
    </cfRule>
    <cfRule type="expression" dxfId="7217" priority="185">
      <formula>AND(AB$9&gt;=8/24,AB$9&lt;14/24)</formula>
    </cfRule>
    <cfRule type="expression" dxfId="7216" priority="186">
      <formula>AB$9&lt;8/24</formula>
    </cfRule>
  </conditionalFormatting>
  <conditionalFormatting sqref="AB36:AF36">
    <cfRule type="expression" dxfId="7215" priority="179">
      <formula>AB$9&gt;=20/24</formula>
    </cfRule>
    <cfRule type="expression" dxfId="7214" priority="180">
      <formula>AND(AB$9&gt;=14/24,AB$9&lt;20/24)</formula>
    </cfRule>
    <cfRule type="expression" dxfId="7213" priority="181">
      <formula>AND(AB$9&gt;=8/24,AB$9&lt;14/24)</formula>
    </cfRule>
    <cfRule type="expression" dxfId="7212" priority="182">
      <formula>AB$9&lt;8/24</formula>
    </cfRule>
  </conditionalFormatting>
  <conditionalFormatting sqref="AB36:AF36">
    <cfRule type="expression" dxfId="7211" priority="178">
      <formula>AB36&gt;$AG36</formula>
    </cfRule>
  </conditionalFormatting>
  <conditionalFormatting sqref="AB50:AF56">
    <cfRule type="expression" dxfId="7210" priority="174">
      <formula>AB$9&gt;=20/24</formula>
    </cfRule>
    <cfRule type="expression" dxfId="7209" priority="175">
      <formula>AND(AB$9&gt;=14/24,AB$9&lt;20/24)</formula>
    </cfRule>
    <cfRule type="expression" dxfId="7208" priority="176">
      <formula>AND(AB$9&gt;=8/24,AB$9&lt;14/24)</formula>
    </cfRule>
    <cfRule type="expression" dxfId="7207" priority="177">
      <formula>AB$9&lt;8/24</formula>
    </cfRule>
  </conditionalFormatting>
  <conditionalFormatting sqref="AB50:AF56">
    <cfRule type="expression" dxfId="7206" priority="173">
      <formula>AB50&gt;$AG50</formula>
    </cfRule>
  </conditionalFormatting>
  <conditionalFormatting sqref="P45:AA54">
    <cfRule type="expression" dxfId="7205" priority="169">
      <formula>P$9&gt;=20/24</formula>
    </cfRule>
    <cfRule type="expression" dxfId="7204" priority="170">
      <formula>AND(P$9&gt;=14/24,P$9&lt;20/24)</formula>
    </cfRule>
    <cfRule type="expression" dxfId="7203" priority="171">
      <formula>AND(P$9&gt;=8/24,P$9&lt;14/24)</formula>
    </cfRule>
    <cfRule type="expression" dxfId="7202" priority="172">
      <formula>P$9&lt;8/24</formula>
    </cfRule>
  </conditionalFormatting>
  <conditionalFormatting sqref="P45:AA54">
    <cfRule type="expression" dxfId="7201" priority="168">
      <formula>P45&gt;$AG45</formula>
    </cfRule>
  </conditionalFormatting>
  <conditionalFormatting sqref="AB28:AF28">
    <cfRule type="expression" dxfId="7200" priority="164">
      <formula>AB$9&gt;=20/24</formula>
    </cfRule>
    <cfRule type="expression" dxfId="7199" priority="165">
      <formula>AND(AB$9&gt;=14/24,AB$9&lt;20/24)</formula>
    </cfRule>
    <cfRule type="expression" dxfId="7198" priority="166">
      <formula>AND(AB$9&gt;=8/24,AB$9&lt;14/24)</formula>
    </cfRule>
    <cfRule type="expression" dxfId="7197" priority="167">
      <formula>AB$9&lt;8/24</formula>
    </cfRule>
  </conditionalFormatting>
  <conditionalFormatting sqref="AF18 AB24:AF24">
    <cfRule type="expression" dxfId="7196" priority="160">
      <formula>AB$9&gt;=20/24</formula>
    </cfRule>
    <cfRule type="expression" dxfId="7195" priority="161">
      <formula>AND(AB$9&gt;=14/24,AB$9&lt;20/24)</formula>
    </cfRule>
    <cfRule type="expression" dxfId="7194" priority="162">
      <formula>AND(AB$9&gt;=8/24,AB$9&lt;14/24)</formula>
    </cfRule>
    <cfRule type="expression" dxfId="7193" priority="163">
      <formula>AB$9&lt;8/24</formula>
    </cfRule>
  </conditionalFormatting>
  <conditionalFormatting sqref="AF18 AB24:AF24">
    <cfRule type="expression" dxfId="7192" priority="159">
      <formula>AB18&gt;$AG18</formula>
    </cfRule>
  </conditionalFormatting>
  <conditionalFormatting sqref="B101 B80:AF80 B89:AF89 B103:B108 B11:AA11">
    <cfRule type="expression" dxfId="7191" priority="141">
      <formula>B$9&gt;=20/24</formula>
    </cfRule>
    <cfRule type="expression" dxfId="7190" priority="142">
      <formula>AND(B$9&gt;=14/24,B$9&lt;20/24)</formula>
    </cfRule>
    <cfRule type="expression" dxfId="7189" priority="143">
      <formula>AND(B$9&gt;=8/24,B$9&lt;14/24)</formula>
    </cfRule>
    <cfRule type="expression" dxfId="7188" priority="144">
      <formula>B$9&lt;8/24</formula>
    </cfRule>
  </conditionalFormatting>
  <conditionalFormatting sqref="B39:L39">
    <cfRule type="expression" dxfId="7187" priority="137">
      <formula>B$9&gt;=20/24</formula>
    </cfRule>
    <cfRule type="expression" dxfId="7186" priority="138">
      <formula>AND(B$9&gt;=14/24,B$9&lt;20/24)</formula>
    </cfRule>
    <cfRule type="expression" dxfId="7185" priority="139">
      <formula>AND(B$9&gt;=8/24,B$9&lt;14/24)</formula>
    </cfRule>
    <cfRule type="expression" dxfId="7184" priority="140">
      <formula>B$9&lt;8/24</formula>
    </cfRule>
  </conditionalFormatting>
  <conditionalFormatting sqref="B39:L39 B11:AA11">
    <cfRule type="expression" dxfId="7183" priority="136">
      <formula>B11&gt;$AG11</formula>
    </cfRule>
  </conditionalFormatting>
  <conditionalFormatting sqref="B91:D91">
    <cfRule type="expression" dxfId="7182" priority="132">
      <formula>B$9&gt;=20/24</formula>
    </cfRule>
    <cfRule type="expression" dxfId="7181" priority="133">
      <formula>AND(B$9&gt;=14/24,B$9&lt;20/24)</formula>
    </cfRule>
    <cfRule type="expression" dxfId="7180" priority="134">
      <formula>AND(B$9&gt;=8/24,B$9&lt;14/24)</formula>
    </cfRule>
    <cfRule type="expression" dxfId="7179" priority="135">
      <formula>B$9&lt;8/24</formula>
    </cfRule>
  </conditionalFormatting>
  <conditionalFormatting sqref="B46:O47 B63:O63 B38:X38">
    <cfRule type="expression" dxfId="7178" priority="128">
      <formula>B$9&gt;=20/24</formula>
    </cfRule>
    <cfRule type="expression" dxfId="7177" priority="129">
      <formula>AND(B$9&gt;=14/24,B$9&lt;20/24)</formula>
    </cfRule>
    <cfRule type="expression" dxfId="7176" priority="130">
      <formula>AND(B$9&gt;=8/24,B$9&lt;14/24)</formula>
    </cfRule>
    <cfRule type="expression" dxfId="7175" priority="131">
      <formula>B$9&lt;8/24</formula>
    </cfRule>
  </conditionalFormatting>
  <conditionalFormatting sqref="B45:O45">
    <cfRule type="expression" dxfId="7174" priority="124">
      <formula>B$9&gt;=20/24</formula>
    </cfRule>
    <cfRule type="expression" dxfId="7173" priority="125">
      <formula>AND(B$9&gt;=14/24,B$9&lt;20/24)</formula>
    </cfRule>
    <cfRule type="expression" dxfId="7172" priority="126">
      <formula>AND(B$9&gt;=8/24,B$9&lt;14/24)</formula>
    </cfRule>
    <cfRule type="expression" dxfId="7171" priority="127">
      <formula>B$9&lt;8/24</formula>
    </cfRule>
  </conditionalFormatting>
  <conditionalFormatting sqref="B45:O47 B38:X38">
    <cfRule type="expression" dxfId="7170" priority="123">
      <formula>B38&gt;$AG38</formula>
    </cfRule>
  </conditionalFormatting>
  <conditionalFormatting sqref="B59:B62 B75:B79 B81:AF81 B88 C62:AG62 C79:AG79 B90:AF90 C75:D77 B92:D98 B64:O73 C59:R61 P66:W73 B17:AA17 B12:AA14 B25:AA27 B29:AA29 B31:AA34 B19:AA23">
    <cfRule type="expression" dxfId="7169" priority="119">
      <formula>B$9&gt;=20/24</formula>
    </cfRule>
    <cfRule type="expression" dxfId="7168" priority="120">
      <formula>AND(B$9&gt;=14/24,B$9&lt;20/24)</formula>
    </cfRule>
    <cfRule type="expression" dxfId="7167" priority="121">
      <formula>AND(B$9&gt;=8/24,B$9&lt;14/24)</formula>
    </cfRule>
    <cfRule type="expression" dxfId="7166" priority="122">
      <formula>B$9&lt;8/24</formula>
    </cfRule>
  </conditionalFormatting>
  <conditionalFormatting sqref="B35:AA35">
    <cfRule type="expression" dxfId="7165" priority="115">
      <formula>B$9&gt;=20/24</formula>
    </cfRule>
    <cfRule type="expression" dxfId="7164" priority="116">
      <formula>AND(B$9&gt;=14/24,B$9&lt;20/24)</formula>
    </cfRule>
    <cfRule type="expression" dxfId="7163" priority="117">
      <formula>AND(B$9&gt;=8/24,B$9&lt;14/24)</formula>
    </cfRule>
    <cfRule type="expression" dxfId="7162" priority="118">
      <formula>B$9&lt;8/24</formula>
    </cfRule>
  </conditionalFormatting>
  <conditionalFormatting sqref="B57:B62 B40:AG40 C58:AG58 C62:AG62 B48:O49 C59:R61 B25:AA29 B31:AA35 B19:AA23 P49:AA49">
    <cfRule type="expression" dxfId="7161" priority="114">
      <formula>B19&gt;$AG19</formula>
    </cfRule>
  </conditionalFormatting>
  <conditionalFormatting sqref="B37:AA37">
    <cfRule type="expression" dxfId="7160" priority="110">
      <formula>B$9&gt;=20/24</formula>
    </cfRule>
    <cfRule type="expression" dxfId="7159" priority="111">
      <formula>AND(B$9&gt;=14/24,B$9&lt;20/24)</formula>
    </cfRule>
    <cfRule type="expression" dxfId="7158" priority="112">
      <formula>AND(B$9&gt;=8/24,B$9&lt;14/24)</formula>
    </cfRule>
    <cfRule type="expression" dxfId="7157" priority="113">
      <formula>B$9&lt;8/24</formula>
    </cfRule>
  </conditionalFormatting>
  <conditionalFormatting sqref="B15:AA15">
    <cfRule type="expression" dxfId="7156" priority="106">
      <formula>B$9&gt;=20/24</formula>
    </cfRule>
    <cfRule type="expression" dxfId="7155" priority="107">
      <formula>AND(B$9&gt;=14/24,B$9&lt;20/24)</formula>
    </cfRule>
    <cfRule type="expression" dxfId="7154" priority="108">
      <formula>AND(B$9&gt;=8/24,B$9&lt;14/24)</formula>
    </cfRule>
    <cfRule type="expression" dxfId="7153" priority="109">
      <formula>B$9&lt;8/24</formula>
    </cfRule>
  </conditionalFormatting>
  <conditionalFormatting sqref="B36:AA36">
    <cfRule type="expression" dxfId="7152" priority="102">
      <formula>B$9&gt;=20/24</formula>
    </cfRule>
    <cfRule type="expression" dxfId="7151" priority="103">
      <formula>AND(B$9&gt;=14/24,B$9&lt;20/24)</formula>
    </cfRule>
    <cfRule type="expression" dxfId="7150" priority="104">
      <formula>AND(B$9&gt;=8/24,B$9&lt;14/24)</formula>
    </cfRule>
    <cfRule type="expression" dxfId="7149" priority="105">
      <formula>B$9&lt;8/24</formula>
    </cfRule>
  </conditionalFormatting>
  <conditionalFormatting sqref="B36:AA36">
    <cfRule type="expression" dxfId="7148" priority="101">
      <formula>B36&gt;$AG36</formula>
    </cfRule>
  </conditionalFormatting>
  <conditionalFormatting sqref="B50:AA56">
    <cfRule type="expression" dxfId="7147" priority="97">
      <formula>B$9&gt;=20/24</formula>
    </cfRule>
    <cfRule type="expression" dxfId="7146" priority="98">
      <formula>AND(B$9&gt;=14/24,B$9&lt;20/24)</formula>
    </cfRule>
    <cfRule type="expression" dxfId="7145" priority="99">
      <formula>AND(B$9&gt;=8/24,B$9&lt;14/24)</formula>
    </cfRule>
    <cfRule type="expression" dxfId="7144" priority="100">
      <formula>B$9&lt;8/24</formula>
    </cfRule>
  </conditionalFormatting>
  <conditionalFormatting sqref="B50:AA56">
    <cfRule type="expression" dxfId="7143" priority="96">
      <formula>B50&gt;$AG50</formula>
    </cfRule>
  </conditionalFormatting>
  <conditionalFormatting sqref="B28:AA28">
    <cfRule type="expression" dxfId="7142" priority="92">
      <formula>B$9&gt;=20/24</formula>
    </cfRule>
    <cfRule type="expression" dxfId="7141" priority="93">
      <formula>AND(B$9&gt;=14/24,B$9&lt;20/24)</formula>
    </cfRule>
    <cfRule type="expression" dxfId="7140" priority="94">
      <formula>AND(B$9&gt;=8/24,B$9&lt;14/24)</formula>
    </cfRule>
    <cfRule type="expression" dxfId="7139" priority="95">
      <formula>B$9&lt;8/24</formula>
    </cfRule>
  </conditionalFormatting>
  <conditionalFormatting sqref="B24:AA24 B18:AE18">
    <cfRule type="expression" dxfId="7138" priority="88">
      <formula>B$9&gt;=20/24</formula>
    </cfRule>
    <cfRule type="expression" dxfId="7137" priority="89">
      <formula>AND(B$9&gt;=14/24,B$9&lt;20/24)</formula>
    </cfRule>
    <cfRule type="expression" dxfId="7136" priority="90">
      <formula>AND(B$9&gt;=8/24,B$9&lt;14/24)</formula>
    </cfRule>
    <cfRule type="expression" dxfId="7135" priority="91">
      <formula>B$9&lt;8/24</formula>
    </cfRule>
  </conditionalFormatting>
  <conditionalFormatting sqref="B24:AA24 B18:AE18">
    <cfRule type="expression" dxfId="7134" priority="87">
      <formula>B18&gt;$AG18</formula>
    </cfRule>
  </conditionalFormatting>
  <conditionalFormatting sqref="A36">
    <cfRule type="expression" dxfId="7133" priority="86">
      <formula>$AH36=0</formula>
    </cfRule>
  </conditionalFormatting>
  <conditionalFormatting sqref="B74:AF74">
    <cfRule type="expression" dxfId="7132" priority="82">
      <formula>B$9&gt;=20/24</formula>
    </cfRule>
    <cfRule type="expression" dxfId="7131" priority="83">
      <formula>AND(B$9&gt;=14/24,B$9&lt;20/24)</formula>
    </cfRule>
    <cfRule type="expression" dxfId="7130" priority="84">
      <formula>AND(B$9&gt;=8/24,B$9&lt;14/24)</formula>
    </cfRule>
    <cfRule type="expression" dxfId="7129" priority="85">
      <formula>B$9&lt;8/24</formula>
    </cfRule>
  </conditionalFormatting>
  <conditionalFormatting sqref="B83:AF87">
    <cfRule type="expression" dxfId="7128" priority="78">
      <formula>B$9&gt;=20/24</formula>
    </cfRule>
    <cfRule type="expression" dxfId="7127" priority="79">
      <formula>AND(B$9&gt;=14/24,B$9&lt;20/24)</formula>
    </cfRule>
    <cfRule type="expression" dxfId="7126" priority="80">
      <formula>AND(B$9&gt;=8/24,B$9&lt;14/24)</formula>
    </cfRule>
    <cfRule type="expression" dxfId="7125" priority="81">
      <formula>B$9&lt;8/24</formula>
    </cfRule>
  </conditionalFormatting>
  <conditionalFormatting sqref="AL37 AL7:AL15 AL34 AL17:AL29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N41:AF43">
    <cfRule type="expression" dxfId="7124" priority="74">
      <formula>N$9&gt;=20/24</formula>
    </cfRule>
    <cfRule type="expression" dxfId="7123" priority="75">
      <formula>AND(N$9&gt;=14/24,N$9&lt;20/24)</formula>
    </cfRule>
    <cfRule type="expression" dxfId="7122" priority="76">
      <formula>AND(N$9&gt;=8/24,N$9&lt;14/24)</formula>
    </cfRule>
    <cfRule type="expression" dxfId="7121" priority="77">
      <formula>N$9&lt;8/24</formula>
    </cfRule>
  </conditionalFormatting>
  <conditionalFormatting sqref="N41:AF43">
    <cfRule type="expression" dxfId="7120" priority="73">
      <formula>N41&gt;$AG41</formula>
    </cfRule>
  </conditionalFormatting>
  <conditionalFormatting sqref="B41:B44 C44:AG44 C41:M43">
    <cfRule type="expression" dxfId="7119" priority="69">
      <formula>B$9&gt;=20/24</formula>
    </cfRule>
    <cfRule type="expression" dxfId="7118" priority="70">
      <formula>AND(B$9&gt;=14/24,B$9&lt;20/24)</formula>
    </cfRule>
    <cfRule type="expression" dxfId="7117" priority="71">
      <formula>AND(B$9&gt;=8/24,B$9&lt;14/24)</formula>
    </cfRule>
    <cfRule type="expression" dxfId="7116" priority="72">
      <formula>B$9&lt;8/24</formula>
    </cfRule>
  </conditionalFormatting>
  <conditionalFormatting sqref="B41:B44 C44:AG44 C41:M43">
    <cfRule type="expression" dxfId="7115" priority="68">
      <formula>B41&gt;$AG41</formula>
    </cfRule>
  </conditionalFormatting>
  <conditionalFormatting sqref="C99:AF99">
    <cfRule type="expression" dxfId="7114" priority="64">
      <formula>C$9&gt;=20/24</formula>
    </cfRule>
    <cfRule type="expression" dxfId="7113" priority="65">
      <formula>AND(C$9&gt;=14/24,C$9&lt;20/24)</formula>
    </cfRule>
    <cfRule type="expression" dxfId="7112" priority="66">
      <formula>AND(C$9&gt;=8/24,C$9&lt;14/24)</formula>
    </cfRule>
    <cfRule type="expression" dxfId="7111" priority="67">
      <formula>C$9&lt;8/24</formula>
    </cfRule>
  </conditionalFormatting>
  <conditionalFormatting sqref="B99">
    <cfRule type="expression" dxfId="7110" priority="60">
      <formula>B$9&gt;=20/24</formula>
    </cfRule>
    <cfRule type="expression" dxfId="7109" priority="61">
      <formula>AND(B$9&gt;=14/24,B$9&lt;20/24)</formula>
    </cfRule>
    <cfRule type="expression" dxfId="7108" priority="62">
      <formula>AND(B$9&gt;=8/24,B$9&lt;14/24)</formula>
    </cfRule>
    <cfRule type="expression" dxfId="7107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7106" priority="54">
      <formula>$AH33=0</formula>
    </cfRule>
  </conditionalFormatting>
  <conditionalFormatting sqref="A82">
    <cfRule type="expression" dxfId="7105" priority="52">
      <formula>$AH82=0</formula>
    </cfRule>
  </conditionalFormatting>
  <conditionalFormatting sqref="A79">
    <cfRule type="expression" dxfId="7104" priority="53">
      <formula>$AH79=0</formula>
    </cfRule>
  </conditionalFormatting>
  <conditionalFormatting sqref="A109">
    <cfRule type="expression" dxfId="7103" priority="43">
      <formula>$AH109=0</formula>
    </cfRule>
  </conditionalFormatting>
  <conditionalFormatting sqref="C102:AF102">
    <cfRule type="expression" dxfId="7102" priority="39">
      <formula>C$9&gt;=20/24</formula>
    </cfRule>
    <cfRule type="expression" dxfId="7101" priority="40">
      <formula>AND(C$9&gt;=14/24,C$9&lt;20/24)</formula>
    </cfRule>
    <cfRule type="expression" dxfId="7100" priority="41">
      <formula>AND(C$9&gt;=8/24,C$9&lt;14/24)</formula>
    </cfRule>
    <cfRule type="expression" dxfId="7099" priority="42">
      <formula>C$9&lt;8/24</formula>
    </cfRule>
  </conditionalFormatting>
  <conditionalFormatting sqref="A102">
    <cfRule type="expression" dxfId="7098" priority="38">
      <formula>$AH102=0</formula>
    </cfRule>
  </conditionalFormatting>
  <conditionalFormatting sqref="B102">
    <cfRule type="expression" dxfId="7097" priority="34">
      <formula>B$9&gt;=20/24</formula>
    </cfRule>
    <cfRule type="expression" dxfId="7096" priority="35">
      <formula>AND(B$9&gt;=14/24,B$9&lt;20/24)</formula>
    </cfRule>
    <cfRule type="expression" dxfId="7095" priority="36">
      <formula>AND(B$9&gt;=8/24,B$9&lt;14/24)</formula>
    </cfRule>
    <cfRule type="expression" dxfId="7094" priority="37">
      <formula>B$9&lt;8/24</formula>
    </cfRule>
  </conditionalFormatting>
  <conditionalFormatting sqref="B16:AF16">
    <cfRule type="expression" dxfId="7093" priority="27">
      <formula>B16&gt;$AG16</formula>
    </cfRule>
  </conditionalFormatting>
  <conditionalFormatting sqref="A16">
    <cfRule type="expression" dxfId="7092" priority="26">
      <formula>$AH16=0</formula>
    </cfRule>
  </conditionalFormatting>
  <conditionalFormatting sqref="AB16:AF16">
    <cfRule type="expression" dxfId="7091" priority="22">
      <formula>AB$9&gt;=20/24</formula>
    </cfRule>
    <cfRule type="expression" dxfId="7090" priority="23">
      <formula>AND(AB$9&gt;=14/24,AB$9&lt;20/24)</formula>
    </cfRule>
    <cfRule type="expression" dxfId="7089" priority="24">
      <formula>AND(AB$9&gt;=8/24,AB$9&lt;14/24)</formula>
    </cfRule>
    <cfRule type="expression" dxfId="7088" priority="25">
      <formula>AB$9&lt;8/24</formula>
    </cfRule>
  </conditionalFormatting>
  <conditionalFormatting sqref="B16:AA16">
    <cfRule type="expression" dxfId="7087" priority="18">
      <formula>B$9&gt;=20/24</formula>
    </cfRule>
    <cfRule type="expression" dxfId="7086" priority="19">
      <formula>AND(B$9&gt;=14/24,B$9&lt;20/24)</formula>
    </cfRule>
    <cfRule type="expression" dxfId="7085" priority="20">
      <formula>AND(B$9&gt;=8/24,B$9&lt;14/24)</formula>
    </cfRule>
    <cfRule type="expression" dxfId="7084" priority="21">
      <formula>B$9&lt;8/24</formula>
    </cfRule>
  </conditionalFormatting>
  <conditionalFormatting sqref="AL16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7083" priority="16">
      <formula>$AH30=0</formula>
    </cfRule>
  </conditionalFormatting>
  <conditionalFormatting sqref="AB30:AF30">
    <cfRule type="expression" dxfId="7082" priority="12">
      <formula>AB$9&gt;=20/24</formula>
    </cfRule>
    <cfRule type="expression" dxfId="7081" priority="13">
      <formula>AND(AB$9&gt;=14/24,AB$9&lt;20/24)</formula>
    </cfRule>
    <cfRule type="expression" dxfId="7080" priority="14">
      <formula>AND(AB$9&gt;=8/24,AB$9&lt;14/24)</formula>
    </cfRule>
    <cfRule type="expression" dxfId="7079" priority="15">
      <formula>AB$9&lt;8/24</formula>
    </cfRule>
  </conditionalFormatting>
  <conditionalFormatting sqref="AB30:AF30">
    <cfRule type="expression" dxfId="7078" priority="11">
      <formula>AB30&gt;$AG30</formula>
    </cfRule>
  </conditionalFormatting>
  <conditionalFormatting sqref="B30:AA30">
    <cfRule type="expression" dxfId="7077" priority="2">
      <formula>B$9&gt;=20/24</formula>
    </cfRule>
    <cfRule type="expression" dxfId="7076" priority="3">
      <formula>AND(B$9&gt;=14/24,B$9&lt;20/24)</formula>
    </cfRule>
    <cfRule type="expression" dxfId="7075" priority="4">
      <formula>AND(B$9&gt;=8/24,B$9&lt;14/24)</formula>
    </cfRule>
    <cfRule type="expression" dxfId="7074" priority="5">
      <formula>B$9&lt;8/24</formula>
    </cfRule>
  </conditionalFormatting>
  <conditionalFormatting sqref="B30:AA30">
    <cfRule type="expression" dxfId="7073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680902BC-6B45-45B1-BF53-EE6F3BF2F14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17F387CC-301D-4479-96D9-0D529F4080E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3DE6575A-AF6A-428B-B170-415AC4B31FA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22D8310C-FC71-40FC-ACD7-51074D23158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19DE61F7-365B-4CA0-8104-C29406F8F1F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EC27F4A1-B43F-42CA-911B-A0FA2E44DCE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B2265B15-F18F-4D7F-A05B-D2B0363330F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EE3CBA62-6FBD-4D09-A6BC-E9E993D38C9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F37ADDA4-02A9-4EA3-BB86-42E7F52D8F9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7867BA81-EFE4-44C1-BAB7-805E0A665C6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3D783017-BFB2-4C1C-8745-5A644DBDF2C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0AD341D0-B6ED-4C1B-A9BD-829FB6AD3EE7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V33" sqref="V3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2079/06/10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6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13.21</v>
      </c>
      <c r="S5" s="148">
        <f t="shared" si="0"/>
        <v>15.5</v>
      </c>
      <c r="T5" s="148">
        <f t="shared" si="0"/>
        <v>38</v>
      </c>
      <c r="U5" s="148">
        <f t="shared" si="0"/>
        <v>15.7</v>
      </c>
      <c r="V5" s="148">
        <f t="shared" si="0"/>
        <v>14.5</v>
      </c>
      <c r="W5" s="148">
        <f t="shared" si="0"/>
        <v>46.1</v>
      </c>
      <c r="X5" s="148">
        <f t="shared" si="0"/>
        <v>54</v>
      </c>
      <c r="Y5" s="148">
        <f t="shared" si="0"/>
        <v>67</v>
      </c>
      <c r="Z5" s="148">
        <f t="shared" si="0"/>
        <v>68.3</v>
      </c>
      <c r="AA5" s="148">
        <f t="shared" si="0"/>
        <v>32</v>
      </c>
      <c r="AB5" s="148">
        <f t="shared" si="0"/>
        <v>33</v>
      </c>
      <c r="AC5" s="148">
        <f t="shared" si="0"/>
        <v>33</v>
      </c>
      <c r="AD5" s="148">
        <f t="shared" si="0"/>
        <v>5</v>
      </c>
      <c r="AE5" s="148">
        <f t="shared" si="0"/>
        <v>4</v>
      </c>
      <c r="AF5" s="148">
        <f>B74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1737MW at 9:00hr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Load=1651</v>
      </c>
      <c r="B7" s="137">
        <f t="shared" ref="B7:AF7" si="1">B81</f>
        <v>1741.04</v>
      </c>
      <c r="C7" s="137">
        <f t="shared" si="1"/>
        <v>1716.6399999999999</v>
      </c>
      <c r="D7" s="137">
        <f t="shared" si="1"/>
        <v>1706.6399999999999</v>
      </c>
      <c r="E7" s="137">
        <f t="shared" si="1"/>
        <v>1666.84</v>
      </c>
      <c r="F7" s="137">
        <f t="shared" si="1"/>
        <v>1678.1399999999999</v>
      </c>
      <c r="G7" s="137">
        <f t="shared" si="1"/>
        <v>1651.24</v>
      </c>
      <c r="H7" s="137">
        <f t="shared" si="1"/>
        <v>1673.1399999999999</v>
      </c>
      <c r="I7" s="137">
        <f t="shared" si="1"/>
        <v>1668.54</v>
      </c>
      <c r="J7" s="137">
        <f t="shared" si="1"/>
        <v>1693.6399999999999</v>
      </c>
      <c r="K7" s="137">
        <f t="shared" si="1"/>
        <v>1704.94</v>
      </c>
      <c r="L7" s="137">
        <f t="shared" si="1"/>
        <v>1703.1399999999999</v>
      </c>
      <c r="M7" s="137">
        <f t="shared" si="1"/>
        <v>1725.6399999999999</v>
      </c>
      <c r="N7" s="137">
        <f t="shared" si="1"/>
        <v>1736.6399999999999</v>
      </c>
      <c r="O7" s="137">
        <f t="shared" si="1"/>
        <v>1763.74</v>
      </c>
      <c r="P7" s="137">
        <f t="shared" si="1"/>
        <v>1745.2399999999998</v>
      </c>
      <c r="Q7" s="137">
        <f t="shared" si="1"/>
        <v>1741.94</v>
      </c>
      <c r="R7" s="137">
        <f t="shared" si="1"/>
        <v>1741.94</v>
      </c>
      <c r="S7" s="137">
        <f t="shared" si="1"/>
        <v>1744.7500000000002</v>
      </c>
      <c r="T7" s="137">
        <f t="shared" si="1"/>
        <v>1747.0400000000002</v>
      </c>
      <c r="U7" s="137">
        <f t="shared" si="1"/>
        <v>1773.5400000000002</v>
      </c>
      <c r="V7" s="137">
        <f t="shared" si="1"/>
        <v>1750.64</v>
      </c>
      <c r="W7" s="137">
        <f t="shared" si="1"/>
        <v>1758.44</v>
      </c>
      <c r="X7" s="137">
        <f t="shared" si="1"/>
        <v>1788.04</v>
      </c>
      <c r="Y7" s="137">
        <f t="shared" si="1"/>
        <v>1905.14</v>
      </c>
      <c r="Z7" s="137">
        <f t="shared" si="1"/>
        <v>1845.3200000000002</v>
      </c>
      <c r="AA7" s="137">
        <f t="shared" si="1"/>
        <v>1865.24</v>
      </c>
      <c r="AB7" s="137">
        <f t="shared" si="1"/>
        <v>1847.6399999999999</v>
      </c>
      <c r="AC7" s="137">
        <f t="shared" si="1"/>
        <v>1844.6399999999999</v>
      </c>
      <c r="AD7" s="137">
        <f t="shared" si="1"/>
        <v>1844.6399999999999</v>
      </c>
      <c r="AE7" s="137">
        <f t="shared" si="1"/>
        <v>1808.6399999999999</v>
      </c>
      <c r="AF7" s="137">
        <f t="shared" si="1"/>
        <v>1755.3400000000001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54</v>
      </c>
      <c r="C11" s="105">
        <v>54</v>
      </c>
      <c r="D11" s="105">
        <v>54</v>
      </c>
      <c r="E11" s="105">
        <v>54</v>
      </c>
      <c r="F11" s="105">
        <v>54</v>
      </c>
      <c r="G11" s="105">
        <v>54</v>
      </c>
      <c r="H11" s="105">
        <v>54</v>
      </c>
      <c r="I11" s="105">
        <v>54</v>
      </c>
      <c r="J11" s="105">
        <v>54</v>
      </c>
      <c r="K11" s="105">
        <v>54</v>
      </c>
      <c r="L11" s="105">
        <v>54</v>
      </c>
      <c r="M11" s="105">
        <v>53.9</v>
      </c>
      <c r="N11" s="105">
        <v>53.9</v>
      </c>
      <c r="O11" s="105">
        <v>53.9</v>
      </c>
      <c r="P11" s="105">
        <v>53.9</v>
      </c>
      <c r="Q11" s="105">
        <v>54</v>
      </c>
      <c r="R11" s="105">
        <v>54</v>
      </c>
      <c r="S11" s="105">
        <v>54</v>
      </c>
      <c r="T11" s="105">
        <v>54</v>
      </c>
      <c r="U11" s="105">
        <v>54</v>
      </c>
      <c r="V11" s="105">
        <v>54</v>
      </c>
      <c r="W11" s="105">
        <v>54</v>
      </c>
      <c r="X11" s="105">
        <v>54</v>
      </c>
      <c r="Y11" s="128">
        <v>54</v>
      </c>
      <c r="Z11" s="128">
        <v>54</v>
      </c>
      <c r="AA11" s="128">
        <v>54</v>
      </c>
      <c r="AB11" s="128">
        <v>54</v>
      </c>
      <c r="AC11" s="128">
        <v>54</v>
      </c>
      <c r="AD11" s="128">
        <v>54</v>
      </c>
      <c r="AE11" s="128">
        <v>54</v>
      </c>
      <c r="AF11" s="128">
        <v>54</v>
      </c>
      <c r="AG11" s="127">
        <v>52.4</v>
      </c>
      <c r="AH11" s="20">
        <f t="shared" ref="AH11:AH76" si="2">MAX(B11:AF11)</f>
        <v>54</v>
      </c>
      <c r="AI11" s="19">
        <f t="shared" ref="AI11:AI76" si="3">MIN(B11:AF11)</f>
        <v>53.9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50.5</v>
      </c>
      <c r="C12" s="105">
        <v>50.5</v>
      </c>
      <c r="D12" s="105">
        <v>50.5</v>
      </c>
      <c r="E12" s="105">
        <v>50.5</v>
      </c>
      <c r="F12" s="105">
        <v>50.5</v>
      </c>
      <c r="G12" s="105">
        <v>50.5</v>
      </c>
      <c r="H12" s="105">
        <v>50.5</v>
      </c>
      <c r="I12" s="105">
        <v>50.5</v>
      </c>
      <c r="J12" s="105">
        <v>50.5</v>
      </c>
      <c r="K12" s="105">
        <v>50.5</v>
      </c>
      <c r="L12" s="105">
        <v>50.5</v>
      </c>
      <c r="M12" s="105">
        <v>50.3</v>
      </c>
      <c r="N12" s="105">
        <v>50.3</v>
      </c>
      <c r="O12" s="105">
        <v>50.3</v>
      </c>
      <c r="P12" s="105">
        <v>50.3</v>
      </c>
      <c r="Q12" s="105">
        <v>50.4</v>
      </c>
      <c r="R12" s="105">
        <v>50.4</v>
      </c>
      <c r="S12" s="105">
        <v>50.4</v>
      </c>
      <c r="T12" s="105">
        <v>50.4</v>
      </c>
      <c r="U12" s="105">
        <v>50.4</v>
      </c>
      <c r="V12" s="105">
        <v>50.4</v>
      </c>
      <c r="W12" s="105">
        <v>50.4</v>
      </c>
      <c r="X12" s="105">
        <v>50.4</v>
      </c>
      <c r="Y12" s="105">
        <v>50.4</v>
      </c>
      <c r="Z12" s="105">
        <v>50.4</v>
      </c>
      <c r="AA12" s="105">
        <v>50.4</v>
      </c>
      <c r="AB12" s="105">
        <v>50.1</v>
      </c>
      <c r="AC12" s="105">
        <v>50.1</v>
      </c>
      <c r="AD12" s="105">
        <v>50.1</v>
      </c>
      <c r="AE12" s="105">
        <v>50.1</v>
      </c>
      <c r="AF12" s="105">
        <v>50.1</v>
      </c>
      <c r="AG12" s="126">
        <v>50</v>
      </c>
      <c r="AH12" s="20">
        <f t="shared" si="2"/>
        <v>50.5</v>
      </c>
      <c r="AI12" s="19">
        <f t="shared" si="3"/>
        <v>50.1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46</v>
      </c>
      <c r="C13" s="105">
        <v>46</v>
      </c>
      <c r="D13" s="105">
        <v>46</v>
      </c>
      <c r="E13" s="105">
        <v>46</v>
      </c>
      <c r="F13" s="105">
        <v>46</v>
      </c>
      <c r="G13" s="105">
        <v>46</v>
      </c>
      <c r="H13" s="105">
        <v>46</v>
      </c>
      <c r="I13" s="105">
        <v>46</v>
      </c>
      <c r="J13" s="105">
        <v>46</v>
      </c>
      <c r="K13" s="105">
        <v>46</v>
      </c>
      <c r="L13" s="105">
        <v>46</v>
      </c>
      <c r="M13" s="105">
        <v>46</v>
      </c>
      <c r="N13" s="105">
        <v>46</v>
      </c>
      <c r="O13" s="105">
        <v>46</v>
      </c>
      <c r="P13" s="105">
        <v>46</v>
      </c>
      <c r="Q13" s="105">
        <v>46</v>
      </c>
      <c r="R13" s="105">
        <v>46</v>
      </c>
      <c r="S13" s="105">
        <v>46</v>
      </c>
      <c r="T13" s="105">
        <v>46</v>
      </c>
      <c r="U13" s="105">
        <v>46</v>
      </c>
      <c r="V13" s="105">
        <v>46</v>
      </c>
      <c r="W13" s="105">
        <v>46</v>
      </c>
      <c r="X13" s="105">
        <v>46</v>
      </c>
      <c r="Y13" s="105">
        <v>46</v>
      </c>
      <c r="Z13" s="105">
        <v>46</v>
      </c>
      <c r="AA13" s="105">
        <v>46</v>
      </c>
      <c r="AB13" s="105">
        <v>46.2</v>
      </c>
      <c r="AC13" s="105">
        <v>46.2</v>
      </c>
      <c r="AD13" s="105">
        <v>46.2</v>
      </c>
      <c r="AE13" s="105">
        <v>46.2</v>
      </c>
      <c r="AF13" s="105">
        <v>46.2</v>
      </c>
      <c r="AG13" s="126">
        <v>45</v>
      </c>
      <c r="AH13" s="20">
        <f t="shared" si="2"/>
        <v>46.2</v>
      </c>
      <c r="AI13" s="19">
        <f t="shared" si="3"/>
        <v>46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26</v>
      </c>
      <c r="C14" s="105">
        <v>26</v>
      </c>
      <c r="D14" s="105">
        <v>26</v>
      </c>
      <c r="E14" s="105">
        <v>26</v>
      </c>
      <c r="F14" s="105">
        <v>26</v>
      </c>
      <c r="G14" s="105">
        <v>26</v>
      </c>
      <c r="H14" s="105">
        <v>26</v>
      </c>
      <c r="I14" s="105">
        <v>26</v>
      </c>
      <c r="J14" s="105">
        <v>26</v>
      </c>
      <c r="K14" s="105">
        <v>26</v>
      </c>
      <c r="L14" s="105">
        <v>26</v>
      </c>
      <c r="M14" s="105">
        <v>32</v>
      </c>
      <c r="N14" s="105">
        <v>32</v>
      </c>
      <c r="O14" s="105">
        <v>32</v>
      </c>
      <c r="P14" s="105">
        <v>32</v>
      </c>
      <c r="Q14" s="105">
        <v>28</v>
      </c>
      <c r="R14" s="105">
        <v>28</v>
      </c>
      <c r="S14" s="105">
        <v>28</v>
      </c>
      <c r="T14" s="105">
        <v>28</v>
      </c>
      <c r="U14" s="105">
        <v>32</v>
      </c>
      <c r="V14" s="105">
        <v>32</v>
      </c>
      <c r="W14" s="105">
        <v>36</v>
      </c>
      <c r="X14" s="105">
        <v>36</v>
      </c>
      <c r="Y14" s="105">
        <v>36</v>
      </c>
      <c r="Z14" s="105">
        <v>36</v>
      </c>
      <c r="AA14" s="105">
        <v>36</v>
      </c>
      <c r="AB14" s="105">
        <v>34</v>
      </c>
      <c r="AC14" s="105">
        <v>34</v>
      </c>
      <c r="AD14" s="105">
        <v>34</v>
      </c>
      <c r="AE14" s="105">
        <v>32</v>
      </c>
      <c r="AF14" s="105">
        <v>27</v>
      </c>
      <c r="AG14" s="126">
        <v>42</v>
      </c>
      <c r="AH14" s="20">
        <f t="shared" si="2"/>
        <v>36</v>
      </c>
      <c r="AI14" s="19">
        <f t="shared" si="3"/>
        <v>26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14</v>
      </c>
      <c r="L15" s="105">
        <v>14</v>
      </c>
      <c r="M15" s="105">
        <v>17</v>
      </c>
      <c r="N15" s="105">
        <v>17</v>
      </c>
      <c r="O15" s="105">
        <v>30</v>
      </c>
      <c r="P15" s="105">
        <v>29.6</v>
      </c>
      <c r="Q15" s="105">
        <v>30</v>
      </c>
      <c r="R15" s="105">
        <v>30</v>
      </c>
      <c r="S15" s="105">
        <v>30</v>
      </c>
      <c r="T15" s="105">
        <v>30</v>
      </c>
      <c r="U15" s="105">
        <v>30</v>
      </c>
      <c r="V15" s="105">
        <v>25</v>
      </c>
      <c r="W15" s="105">
        <v>30</v>
      </c>
      <c r="X15" s="105">
        <v>30</v>
      </c>
      <c r="Y15" s="105">
        <v>25</v>
      </c>
      <c r="Z15" s="105">
        <v>25</v>
      </c>
      <c r="AA15" s="105">
        <v>25</v>
      </c>
      <c r="AB15" s="105">
        <v>15</v>
      </c>
      <c r="AC15" s="105">
        <v>11</v>
      </c>
      <c r="AD15" s="105">
        <v>11</v>
      </c>
      <c r="AE15" s="105">
        <v>5</v>
      </c>
      <c r="AF15" s="105">
        <v>0</v>
      </c>
      <c r="AG15" s="96">
        <v>30</v>
      </c>
      <c r="AH15" s="20">
        <f t="shared" si="2"/>
        <v>30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25.6</v>
      </c>
      <c r="C16" s="105">
        <v>25.6</v>
      </c>
      <c r="D16" s="105">
        <v>25.6</v>
      </c>
      <c r="E16" s="105">
        <v>25.6</v>
      </c>
      <c r="F16" s="105">
        <v>25.6</v>
      </c>
      <c r="G16" s="105">
        <v>25.6</v>
      </c>
      <c r="H16" s="105">
        <v>25.6</v>
      </c>
      <c r="I16" s="105">
        <v>25.6</v>
      </c>
      <c r="J16" s="105">
        <v>25.6</v>
      </c>
      <c r="K16" s="105">
        <v>25.6</v>
      </c>
      <c r="L16" s="105">
        <v>25.6</v>
      </c>
      <c r="M16" s="105">
        <v>33.1</v>
      </c>
      <c r="N16" s="105">
        <v>33.1</v>
      </c>
      <c r="O16" s="105">
        <v>33.1</v>
      </c>
      <c r="P16" s="105">
        <v>33.1</v>
      </c>
      <c r="Q16" s="105">
        <v>33.200000000000003</v>
      </c>
      <c r="R16" s="105">
        <v>33.200000000000003</v>
      </c>
      <c r="S16" s="105">
        <v>33.200000000000003</v>
      </c>
      <c r="T16" s="105">
        <v>33.200000000000003</v>
      </c>
      <c r="U16" s="105">
        <v>33.200000000000003</v>
      </c>
      <c r="V16" s="105">
        <v>33.200000000000003</v>
      </c>
      <c r="W16" s="105">
        <v>33.200000000000003</v>
      </c>
      <c r="X16" s="105">
        <v>33.200000000000003</v>
      </c>
      <c r="Y16" s="105">
        <v>33.200000000000003</v>
      </c>
      <c r="Z16" s="105">
        <v>33.200000000000003</v>
      </c>
      <c r="AA16" s="105">
        <v>33.200000000000003</v>
      </c>
      <c r="AB16" s="105">
        <v>33</v>
      </c>
      <c r="AC16" s="105">
        <v>33</v>
      </c>
      <c r="AD16" s="105">
        <v>33</v>
      </c>
      <c r="AE16" s="105">
        <v>33</v>
      </c>
      <c r="AF16" s="105">
        <v>27</v>
      </c>
      <c r="AG16" s="126">
        <v>24.2</v>
      </c>
      <c r="AH16" s="20">
        <f t="shared" si="2"/>
        <v>33.200000000000003</v>
      </c>
      <c r="AI16" s="19">
        <f t="shared" si="3"/>
        <v>25.6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22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15</v>
      </c>
      <c r="I17" s="105">
        <v>15</v>
      </c>
      <c r="J17" s="105">
        <v>27</v>
      </c>
      <c r="K17" s="105">
        <v>27</v>
      </c>
      <c r="L17" s="105">
        <v>27</v>
      </c>
      <c r="M17" s="105">
        <v>18</v>
      </c>
      <c r="N17" s="105">
        <v>18</v>
      </c>
      <c r="O17" s="105">
        <v>27</v>
      </c>
      <c r="P17" s="105">
        <v>27</v>
      </c>
      <c r="Q17" s="105">
        <v>27</v>
      </c>
      <c r="R17" s="105">
        <v>27</v>
      </c>
      <c r="S17" s="105">
        <v>27</v>
      </c>
      <c r="T17" s="105">
        <v>27</v>
      </c>
      <c r="U17" s="105">
        <v>27</v>
      </c>
      <c r="V17" s="105">
        <v>27</v>
      </c>
      <c r="W17" s="105">
        <v>27</v>
      </c>
      <c r="X17" s="105">
        <v>27</v>
      </c>
      <c r="Y17" s="105">
        <v>27</v>
      </c>
      <c r="Z17" s="105">
        <v>0</v>
      </c>
      <c r="AA17" s="105">
        <v>27</v>
      </c>
      <c r="AB17" s="105">
        <v>27</v>
      </c>
      <c r="AC17" s="105">
        <v>27</v>
      </c>
      <c r="AD17" s="105">
        <v>27</v>
      </c>
      <c r="AE17" s="105">
        <v>27</v>
      </c>
      <c r="AF17" s="105">
        <v>17</v>
      </c>
      <c r="AG17" s="96">
        <v>30</v>
      </c>
      <c r="AH17" s="20">
        <f t="shared" si="2"/>
        <v>27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25</v>
      </c>
      <c r="C18" s="105">
        <v>25</v>
      </c>
      <c r="D18" s="105">
        <v>25</v>
      </c>
      <c r="E18" s="105">
        <v>25</v>
      </c>
      <c r="F18" s="105">
        <v>25</v>
      </c>
      <c r="G18" s="105">
        <v>25</v>
      </c>
      <c r="H18" s="105">
        <v>25</v>
      </c>
      <c r="I18" s="105">
        <v>25</v>
      </c>
      <c r="J18" s="105">
        <v>25</v>
      </c>
      <c r="K18" s="105">
        <v>13</v>
      </c>
      <c r="L18" s="105">
        <v>13</v>
      </c>
      <c r="M18" s="105">
        <v>25</v>
      </c>
      <c r="N18" s="105">
        <v>25</v>
      </c>
      <c r="O18" s="105">
        <v>25</v>
      </c>
      <c r="P18" s="105">
        <v>25</v>
      </c>
      <c r="Q18" s="105">
        <v>26.3</v>
      </c>
      <c r="R18" s="105">
        <v>26.3</v>
      </c>
      <c r="S18" s="105">
        <v>26.3</v>
      </c>
      <c r="T18" s="105">
        <v>26.3</v>
      </c>
      <c r="U18" s="105">
        <v>26.3</v>
      </c>
      <c r="V18" s="105">
        <v>26.3</v>
      </c>
      <c r="W18" s="105">
        <v>26.3</v>
      </c>
      <c r="X18" s="105">
        <v>26.3</v>
      </c>
      <c r="Y18" s="105">
        <v>26.3</v>
      </c>
      <c r="Z18" s="105">
        <v>26.3</v>
      </c>
      <c r="AA18" s="105">
        <v>26.3</v>
      </c>
      <c r="AB18" s="105">
        <v>26.3</v>
      </c>
      <c r="AC18" s="105">
        <v>26.3</v>
      </c>
      <c r="AD18" s="105">
        <v>26.3</v>
      </c>
      <c r="AE18" s="105">
        <v>26.3</v>
      </c>
      <c r="AF18" s="105">
        <v>25.1</v>
      </c>
      <c r="AG18" s="126">
        <v>25</v>
      </c>
      <c r="AH18" s="20">
        <f t="shared" si="2"/>
        <v>26.3</v>
      </c>
      <c r="AI18" s="19">
        <f t="shared" si="3"/>
        <v>13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22</v>
      </c>
      <c r="C19" s="105">
        <v>22</v>
      </c>
      <c r="D19" s="105">
        <v>22</v>
      </c>
      <c r="E19" s="105">
        <v>22</v>
      </c>
      <c r="F19" s="105">
        <v>22</v>
      </c>
      <c r="G19" s="105">
        <v>22</v>
      </c>
      <c r="H19" s="105">
        <v>22</v>
      </c>
      <c r="I19" s="105">
        <v>22</v>
      </c>
      <c r="J19" s="105">
        <v>22</v>
      </c>
      <c r="K19" s="105">
        <v>22</v>
      </c>
      <c r="L19" s="105">
        <v>22</v>
      </c>
      <c r="M19" s="105">
        <v>22</v>
      </c>
      <c r="N19" s="105">
        <v>22</v>
      </c>
      <c r="O19" s="105">
        <v>22</v>
      </c>
      <c r="P19" s="105">
        <v>22</v>
      </c>
      <c r="Q19" s="105">
        <v>22</v>
      </c>
      <c r="R19" s="105">
        <v>22</v>
      </c>
      <c r="S19" s="105">
        <v>22</v>
      </c>
      <c r="T19" s="105">
        <v>22</v>
      </c>
      <c r="U19" s="105">
        <v>22</v>
      </c>
      <c r="V19" s="105">
        <v>22</v>
      </c>
      <c r="W19" s="105">
        <v>22</v>
      </c>
      <c r="X19" s="105">
        <v>22</v>
      </c>
      <c r="Y19" s="105">
        <v>22</v>
      </c>
      <c r="Z19" s="105">
        <v>25</v>
      </c>
      <c r="AA19" s="105">
        <v>25</v>
      </c>
      <c r="AB19" s="105">
        <v>25</v>
      </c>
      <c r="AC19" s="105">
        <v>25</v>
      </c>
      <c r="AD19" s="105">
        <v>25</v>
      </c>
      <c r="AE19" s="105">
        <v>25</v>
      </c>
      <c r="AF19" s="105">
        <v>25</v>
      </c>
      <c r="AG19" s="126">
        <v>25</v>
      </c>
      <c r="AH19" s="20">
        <f t="shared" si="2"/>
        <v>25</v>
      </c>
      <c r="AI19" s="19">
        <f t="shared" si="3"/>
        <v>22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25.5</v>
      </c>
      <c r="C20" s="105">
        <v>23</v>
      </c>
      <c r="D20" s="105">
        <v>23</v>
      </c>
      <c r="E20" s="105">
        <v>23</v>
      </c>
      <c r="F20" s="105">
        <v>23</v>
      </c>
      <c r="G20" s="105">
        <v>23</v>
      </c>
      <c r="H20" s="105">
        <v>23</v>
      </c>
      <c r="I20" s="105">
        <v>25</v>
      </c>
      <c r="J20" s="105">
        <v>25</v>
      </c>
      <c r="K20" s="105">
        <v>25</v>
      </c>
      <c r="L20" s="105">
        <v>25</v>
      </c>
      <c r="M20" s="105">
        <v>25</v>
      </c>
      <c r="N20" s="105">
        <v>25</v>
      </c>
      <c r="O20" s="105">
        <v>25</v>
      </c>
      <c r="P20" s="105">
        <v>25</v>
      </c>
      <c r="Q20" s="105">
        <v>25</v>
      </c>
      <c r="R20" s="105">
        <v>25</v>
      </c>
      <c r="S20" s="105">
        <v>25</v>
      </c>
      <c r="T20" s="105">
        <v>25</v>
      </c>
      <c r="U20" s="105">
        <v>25</v>
      </c>
      <c r="V20" s="105">
        <v>25</v>
      </c>
      <c r="W20" s="105">
        <v>25</v>
      </c>
      <c r="X20" s="105">
        <v>25</v>
      </c>
      <c r="Y20" s="105">
        <v>25</v>
      </c>
      <c r="Z20" s="105">
        <v>25</v>
      </c>
      <c r="AA20" s="105">
        <v>25</v>
      </c>
      <c r="AB20" s="105">
        <v>25</v>
      </c>
      <c r="AC20" s="105">
        <v>25</v>
      </c>
      <c r="AD20" s="105">
        <v>25</v>
      </c>
      <c r="AE20" s="105">
        <v>25</v>
      </c>
      <c r="AF20" s="105">
        <v>23</v>
      </c>
      <c r="AG20" s="126">
        <v>25</v>
      </c>
      <c r="AH20" s="20">
        <f t="shared" si="2"/>
        <v>25.5</v>
      </c>
      <c r="AI20" s="19">
        <f t="shared" si="3"/>
        <v>23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23.4</v>
      </c>
      <c r="C21" s="105">
        <v>23.4</v>
      </c>
      <c r="D21" s="105">
        <v>23.4</v>
      </c>
      <c r="E21" s="105">
        <v>23.4</v>
      </c>
      <c r="F21" s="105">
        <v>23.4</v>
      </c>
      <c r="G21" s="105">
        <v>23.4</v>
      </c>
      <c r="H21" s="105">
        <v>23.4</v>
      </c>
      <c r="I21" s="105">
        <v>23.4</v>
      </c>
      <c r="J21" s="105">
        <v>23.4</v>
      </c>
      <c r="K21" s="105">
        <v>23.4</v>
      </c>
      <c r="L21" s="105">
        <v>23.4</v>
      </c>
      <c r="M21" s="105">
        <v>23.4</v>
      </c>
      <c r="N21" s="105">
        <v>23.4</v>
      </c>
      <c r="O21" s="105">
        <v>23.4</v>
      </c>
      <c r="P21" s="105">
        <v>23.4</v>
      </c>
      <c r="Q21" s="105">
        <v>23.2</v>
      </c>
      <c r="R21" s="105">
        <v>23.2</v>
      </c>
      <c r="S21" s="105">
        <v>23.2</v>
      </c>
      <c r="T21" s="105">
        <v>23.2</v>
      </c>
      <c r="U21" s="105">
        <v>23.2</v>
      </c>
      <c r="V21" s="105">
        <v>23.2</v>
      </c>
      <c r="W21" s="105">
        <v>23.2</v>
      </c>
      <c r="X21" s="105">
        <v>23.2</v>
      </c>
      <c r="Y21" s="105">
        <v>23.2</v>
      </c>
      <c r="Z21" s="105">
        <v>23.2</v>
      </c>
      <c r="AA21" s="105">
        <v>23.2</v>
      </c>
      <c r="AB21" s="105">
        <v>23.2</v>
      </c>
      <c r="AC21" s="105">
        <v>23.2</v>
      </c>
      <c r="AD21" s="105">
        <v>23.2</v>
      </c>
      <c r="AE21" s="105">
        <v>23.2</v>
      </c>
      <c r="AF21" s="105">
        <v>23.2</v>
      </c>
      <c r="AG21" s="126">
        <v>23.5</v>
      </c>
      <c r="AH21" s="20">
        <f t="shared" si="2"/>
        <v>23.4</v>
      </c>
      <c r="AI21" s="19">
        <f t="shared" si="3"/>
        <v>23.2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9</v>
      </c>
      <c r="C22" s="105">
        <v>9</v>
      </c>
      <c r="D22" s="105">
        <v>9</v>
      </c>
      <c r="E22" s="105">
        <v>9</v>
      </c>
      <c r="F22" s="105">
        <v>9</v>
      </c>
      <c r="G22" s="105">
        <v>9</v>
      </c>
      <c r="H22" s="105">
        <v>9</v>
      </c>
      <c r="I22" s="105">
        <v>9</v>
      </c>
      <c r="J22" s="105">
        <v>9</v>
      </c>
      <c r="K22" s="105">
        <v>9</v>
      </c>
      <c r="L22" s="105">
        <v>9</v>
      </c>
      <c r="M22" s="105">
        <v>9</v>
      </c>
      <c r="N22" s="105">
        <v>9</v>
      </c>
      <c r="O22" s="105">
        <v>9</v>
      </c>
      <c r="P22" s="105">
        <v>9</v>
      </c>
      <c r="Q22" s="105">
        <v>9</v>
      </c>
      <c r="R22" s="105">
        <v>9</v>
      </c>
      <c r="S22" s="105">
        <v>9</v>
      </c>
      <c r="T22" s="105">
        <v>9</v>
      </c>
      <c r="U22" s="105">
        <v>9</v>
      </c>
      <c r="V22" s="105">
        <v>9</v>
      </c>
      <c r="W22" s="105">
        <v>9</v>
      </c>
      <c r="X22" s="105">
        <v>9</v>
      </c>
      <c r="Y22" s="105">
        <v>20</v>
      </c>
      <c r="Z22" s="105">
        <v>20</v>
      </c>
      <c r="AA22" s="105">
        <v>20</v>
      </c>
      <c r="AB22" s="105">
        <v>20</v>
      </c>
      <c r="AC22" s="105">
        <v>20</v>
      </c>
      <c r="AD22" s="105">
        <v>20</v>
      </c>
      <c r="AE22" s="105">
        <v>20</v>
      </c>
      <c r="AF22" s="105">
        <v>20</v>
      </c>
      <c r="AG22" s="126">
        <v>22.2</v>
      </c>
      <c r="AH22" s="20">
        <f t="shared" si="2"/>
        <v>20</v>
      </c>
      <c r="AI22" s="19">
        <f t="shared" si="3"/>
        <v>9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21</v>
      </c>
      <c r="C23" s="105">
        <v>21</v>
      </c>
      <c r="D23" s="105">
        <v>21</v>
      </c>
      <c r="E23" s="105">
        <v>21</v>
      </c>
      <c r="F23" s="105">
        <v>21</v>
      </c>
      <c r="G23" s="105">
        <v>21</v>
      </c>
      <c r="H23" s="105">
        <v>21</v>
      </c>
      <c r="I23" s="105">
        <v>21</v>
      </c>
      <c r="J23" s="105">
        <v>21</v>
      </c>
      <c r="K23" s="105">
        <v>21</v>
      </c>
      <c r="L23" s="105">
        <v>21</v>
      </c>
      <c r="M23" s="105">
        <v>21</v>
      </c>
      <c r="N23" s="105">
        <v>21</v>
      </c>
      <c r="O23" s="105">
        <v>21</v>
      </c>
      <c r="P23" s="105">
        <v>21</v>
      </c>
      <c r="Q23" s="105">
        <v>21</v>
      </c>
      <c r="R23" s="105">
        <v>21</v>
      </c>
      <c r="S23" s="105">
        <v>21</v>
      </c>
      <c r="T23" s="105">
        <v>21</v>
      </c>
      <c r="U23" s="105">
        <v>21</v>
      </c>
      <c r="V23" s="105">
        <v>21</v>
      </c>
      <c r="W23" s="105">
        <v>21</v>
      </c>
      <c r="X23" s="105">
        <v>21</v>
      </c>
      <c r="Y23" s="105">
        <v>21</v>
      </c>
      <c r="Z23" s="105">
        <v>21</v>
      </c>
      <c r="AA23" s="105">
        <v>21</v>
      </c>
      <c r="AB23" s="105">
        <v>21</v>
      </c>
      <c r="AC23" s="105">
        <v>21</v>
      </c>
      <c r="AD23" s="105">
        <v>21</v>
      </c>
      <c r="AE23" s="105">
        <v>21</v>
      </c>
      <c r="AF23" s="105">
        <v>21</v>
      </c>
      <c r="AG23" s="126">
        <v>22.1</v>
      </c>
      <c r="AH23" s="20">
        <f t="shared" si="2"/>
        <v>21</v>
      </c>
      <c r="AI23" s="19">
        <f t="shared" si="3"/>
        <v>21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21</v>
      </c>
      <c r="C24" s="105">
        <v>21</v>
      </c>
      <c r="D24" s="105">
        <v>21</v>
      </c>
      <c r="E24" s="105">
        <v>21</v>
      </c>
      <c r="F24" s="105">
        <v>21</v>
      </c>
      <c r="G24" s="105">
        <v>21</v>
      </c>
      <c r="H24" s="105">
        <v>21</v>
      </c>
      <c r="I24" s="105">
        <v>21</v>
      </c>
      <c r="J24" s="105">
        <v>21</v>
      </c>
      <c r="K24" s="105">
        <v>21</v>
      </c>
      <c r="L24" s="105">
        <v>21</v>
      </c>
      <c r="M24" s="105">
        <v>21</v>
      </c>
      <c r="N24" s="105">
        <v>21</v>
      </c>
      <c r="O24" s="105">
        <v>21</v>
      </c>
      <c r="P24" s="105">
        <v>21</v>
      </c>
      <c r="Q24" s="105">
        <v>21</v>
      </c>
      <c r="R24" s="105">
        <v>21</v>
      </c>
      <c r="S24" s="105">
        <v>21</v>
      </c>
      <c r="T24" s="105">
        <v>21</v>
      </c>
      <c r="U24" s="105">
        <v>21</v>
      </c>
      <c r="V24" s="105">
        <v>21</v>
      </c>
      <c r="W24" s="105">
        <v>21</v>
      </c>
      <c r="X24" s="105">
        <v>21</v>
      </c>
      <c r="Y24" s="105">
        <v>21</v>
      </c>
      <c r="Z24" s="105">
        <v>21</v>
      </c>
      <c r="AA24" s="105">
        <v>21</v>
      </c>
      <c r="AB24" s="105">
        <v>21</v>
      </c>
      <c r="AC24" s="105">
        <v>21</v>
      </c>
      <c r="AD24" s="105">
        <v>21</v>
      </c>
      <c r="AE24" s="105">
        <v>21</v>
      </c>
      <c r="AF24" s="105">
        <v>21</v>
      </c>
      <c r="AG24" s="126">
        <v>22</v>
      </c>
      <c r="AH24" s="20">
        <f t="shared" si="2"/>
        <v>21</v>
      </c>
      <c r="AI24" s="19">
        <f t="shared" si="3"/>
        <v>21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22</v>
      </c>
      <c r="C25" s="105">
        <v>22</v>
      </c>
      <c r="D25" s="105">
        <v>22</v>
      </c>
      <c r="E25" s="105">
        <v>22</v>
      </c>
      <c r="F25" s="105">
        <v>22</v>
      </c>
      <c r="G25" s="105">
        <v>22</v>
      </c>
      <c r="H25" s="105">
        <v>22</v>
      </c>
      <c r="I25" s="105">
        <v>22</v>
      </c>
      <c r="J25" s="105">
        <v>22</v>
      </c>
      <c r="K25" s="105">
        <v>22</v>
      </c>
      <c r="L25" s="105">
        <v>22</v>
      </c>
      <c r="M25" s="105">
        <v>22</v>
      </c>
      <c r="N25" s="105">
        <v>22</v>
      </c>
      <c r="O25" s="105">
        <v>22</v>
      </c>
      <c r="P25" s="105">
        <v>0</v>
      </c>
      <c r="Q25" s="105">
        <v>0</v>
      </c>
      <c r="R25" s="105">
        <v>0</v>
      </c>
      <c r="S25" s="105">
        <v>0</v>
      </c>
      <c r="T25" s="105">
        <v>0</v>
      </c>
      <c r="U25" s="105">
        <v>0</v>
      </c>
      <c r="V25" s="105">
        <v>0</v>
      </c>
      <c r="W25" s="105">
        <v>0</v>
      </c>
      <c r="X25" s="105">
        <v>0</v>
      </c>
      <c r="Y25" s="105">
        <v>0</v>
      </c>
      <c r="Z25" s="105">
        <v>0</v>
      </c>
      <c r="AA25" s="105">
        <v>0</v>
      </c>
      <c r="AB25" s="105">
        <v>22</v>
      </c>
      <c r="AC25" s="105">
        <v>22</v>
      </c>
      <c r="AD25" s="105">
        <v>22</v>
      </c>
      <c r="AE25" s="105">
        <v>22</v>
      </c>
      <c r="AF25" s="105">
        <v>22</v>
      </c>
      <c r="AG25" s="126">
        <v>22</v>
      </c>
      <c r="AH25" s="20">
        <f t="shared" si="2"/>
        <v>22</v>
      </c>
      <c r="AI25" s="19">
        <f t="shared" si="3"/>
        <v>0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10</v>
      </c>
      <c r="L26" s="105">
        <v>10</v>
      </c>
      <c r="M26" s="105">
        <v>10</v>
      </c>
      <c r="N26" s="105">
        <v>10</v>
      </c>
      <c r="O26" s="105">
        <v>10</v>
      </c>
      <c r="P26" s="105">
        <v>10</v>
      </c>
      <c r="Q26" s="105">
        <v>10</v>
      </c>
      <c r="R26" s="105">
        <v>10</v>
      </c>
      <c r="S26" s="105">
        <v>5</v>
      </c>
      <c r="T26" s="105">
        <v>5</v>
      </c>
      <c r="U26" s="105">
        <v>5</v>
      </c>
      <c r="V26" s="105">
        <v>5</v>
      </c>
      <c r="W26" s="105">
        <v>5</v>
      </c>
      <c r="X26" s="105">
        <v>5</v>
      </c>
      <c r="Y26" s="105">
        <v>5</v>
      </c>
      <c r="Z26" s="105">
        <v>5</v>
      </c>
      <c r="AA26" s="105">
        <v>5</v>
      </c>
      <c r="AB26" s="105">
        <v>10</v>
      </c>
      <c r="AC26" s="105">
        <v>10</v>
      </c>
      <c r="AD26" s="105">
        <v>10</v>
      </c>
      <c r="AE26" s="105">
        <v>10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</v>
      </c>
      <c r="C27" s="105">
        <v>14</v>
      </c>
      <c r="D27" s="105">
        <v>14</v>
      </c>
      <c r="E27" s="105">
        <v>14</v>
      </c>
      <c r="F27" s="105">
        <v>14</v>
      </c>
      <c r="G27" s="105">
        <v>14</v>
      </c>
      <c r="H27" s="105">
        <v>14</v>
      </c>
      <c r="I27" s="105">
        <v>14</v>
      </c>
      <c r="J27" s="105">
        <v>14</v>
      </c>
      <c r="K27" s="105">
        <v>14</v>
      </c>
      <c r="L27" s="105">
        <v>14</v>
      </c>
      <c r="M27" s="105">
        <v>14</v>
      </c>
      <c r="N27" s="105">
        <v>14</v>
      </c>
      <c r="O27" s="105">
        <v>14</v>
      </c>
      <c r="P27" s="105">
        <v>14</v>
      </c>
      <c r="Q27" s="105">
        <v>14</v>
      </c>
      <c r="R27" s="105">
        <v>14</v>
      </c>
      <c r="S27" s="105">
        <v>14</v>
      </c>
      <c r="T27" s="105">
        <v>14</v>
      </c>
      <c r="U27" s="105">
        <v>14</v>
      </c>
      <c r="V27" s="105">
        <v>14</v>
      </c>
      <c r="W27" s="105">
        <v>14</v>
      </c>
      <c r="X27" s="105">
        <v>14</v>
      </c>
      <c r="Y27" s="105">
        <v>14</v>
      </c>
      <c r="Z27" s="105">
        <v>14</v>
      </c>
      <c r="AA27" s="105">
        <v>14</v>
      </c>
      <c r="AB27" s="105">
        <v>14</v>
      </c>
      <c r="AC27" s="105">
        <v>14</v>
      </c>
      <c r="AD27" s="105">
        <v>14</v>
      </c>
      <c r="AE27" s="105">
        <v>14</v>
      </c>
      <c r="AF27" s="105">
        <v>14</v>
      </c>
      <c r="AG27" s="126">
        <v>14.9</v>
      </c>
      <c r="AH27" s="20">
        <f t="shared" si="2"/>
        <v>14</v>
      </c>
      <c r="AI27" s="19">
        <f t="shared" si="3"/>
        <v>14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>
        <v>6.8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>
        <v>6.8</v>
      </c>
      <c r="AE28" s="105">
        <v>6.8</v>
      </c>
      <c r="AF28" s="105">
        <v>6.8</v>
      </c>
      <c r="AG28" s="126">
        <v>13.6</v>
      </c>
      <c r="AH28" s="20">
        <f t="shared" si="2"/>
        <v>6.8</v>
      </c>
      <c r="AI28" s="19">
        <f t="shared" si="3"/>
        <v>6.8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13</v>
      </c>
      <c r="C29" s="105">
        <v>13</v>
      </c>
      <c r="D29" s="105">
        <v>13</v>
      </c>
      <c r="E29" s="105">
        <v>13</v>
      </c>
      <c r="F29" s="105">
        <v>13</v>
      </c>
      <c r="G29" s="105">
        <v>13</v>
      </c>
      <c r="H29" s="105">
        <v>13</v>
      </c>
      <c r="I29" s="105">
        <v>13</v>
      </c>
      <c r="J29" s="105">
        <v>13</v>
      </c>
      <c r="K29" s="105">
        <v>13</v>
      </c>
      <c r="L29" s="105">
        <v>13</v>
      </c>
      <c r="M29" s="105">
        <v>13</v>
      </c>
      <c r="N29" s="105">
        <v>13</v>
      </c>
      <c r="O29" s="105">
        <v>13</v>
      </c>
      <c r="P29" s="105">
        <v>13</v>
      </c>
      <c r="Q29" s="105">
        <v>13</v>
      </c>
      <c r="R29" s="105">
        <v>13</v>
      </c>
      <c r="S29" s="105">
        <v>13</v>
      </c>
      <c r="T29" s="105">
        <v>13</v>
      </c>
      <c r="U29" s="105">
        <v>13</v>
      </c>
      <c r="V29" s="105">
        <v>13</v>
      </c>
      <c r="W29" s="105">
        <v>13</v>
      </c>
      <c r="X29" s="105">
        <v>13</v>
      </c>
      <c r="Y29" s="105">
        <v>13</v>
      </c>
      <c r="Z29" s="105">
        <v>13</v>
      </c>
      <c r="AA29" s="105">
        <v>13</v>
      </c>
      <c r="AB29" s="105">
        <v>13</v>
      </c>
      <c r="AC29" s="105">
        <v>13</v>
      </c>
      <c r="AD29" s="105">
        <v>13</v>
      </c>
      <c r="AE29" s="105">
        <v>13</v>
      </c>
      <c r="AF29" s="105">
        <v>13</v>
      </c>
      <c r="AG29" s="126">
        <v>13</v>
      </c>
      <c r="AH29" s="20">
        <f t="shared" si="2"/>
        <v>13</v>
      </c>
      <c r="AI29" s="19">
        <f t="shared" si="3"/>
        <v>13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6</v>
      </c>
      <c r="I30" s="105">
        <v>6</v>
      </c>
      <c r="J30" s="105">
        <v>12</v>
      </c>
      <c r="K30" s="105">
        <v>12</v>
      </c>
      <c r="L30" s="105">
        <v>12</v>
      </c>
      <c r="M30" s="105">
        <v>9</v>
      </c>
      <c r="N30" s="105">
        <v>9</v>
      </c>
      <c r="O30" s="105">
        <v>9</v>
      </c>
      <c r="P30" s="105">
        <v>9</v>
      </c>
      <c r="Q30" s="105">
        <v>9</v>
      </c>
      <c r="R30" s="105">
        <v>9</v>
      </c>
      <c r="S30" s="105">
        <v>9</v>
      </c>
      <c r="T30" s="105">
        <v>9</v>
      </c>
      <c r="U30" s="105">
        <v>9</v>
      </c>
      <c r="V30" s="105">
        <v>9</v>
      </c>
      <c r="W30" s="105">
        <v>9</v>
      </c>
      <c r="X30" s="105">
        <v>9</v>
      </c>
      <c r="Y30" s="105">
        <v>9</v>
      </c>
      <c r="Z30" s="105">
        <v>9</v>
      </c>
      <c r="AA30" s="105">
        <v>9</v>
      </c>
      <c r="AB30" s="105">
        <v>9</v>
      </c>
      <c r="AC30" s="105">
        <v>9</v>
      </c>
      <c r="AD30" s="105">
        <v>9</v>
      </c>
      <c r="AE30" s="105">
        <v>9</v>
      </c>
      <c r="AF30" s="105">
        <v>5</v>
      </c>
      <c r="AG30" s="126">
        <v>12</v>
      </c>
      <c r="AH30" s="20">
        <f t="shared" si="2"/>
        <v>12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8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>
        <v>12</v>
      </c>
      <c r="AE31" s="105">
        <v>12</v>
      </c>
      <c r="AF31" s="105">
        <v>12</v>
      </c>
      <c r="AG31" s="126">
        <v>12</v>
      </c>
      <c r="AH31" s="20">
        <f t="shared" si="2"/>
        <v>12</v>
      </c>
      <c r="AI31" s="19">
        <f t="shared" si="3"/>
        <v>8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2</v>
      </c>
      <c r="C32" s="105">
        <v>2</v>
      </c>
      <c r="D32" s="105">
        <v>2</v>
      </c>
      <c r="E32" s="105">
        <v>2</v>
      </c>
      <c r="F32" s="105">
        <v>2</v>
      </c>
      <c r="G32" s="105">
        <v>2</v>
      </c>
      <c r="H32" s="105">
        <v>2</v>
      </c>
      <c r="I32" s="105">
        <v>2</v>
      </c>
      <c r="J32" s="105">
        <v>2</v>
      </c>
      <c r="K32" s="105">
        <v>2</v>
      </c>
      <c r="L32" s="105">
        <v>2</v>
      </c>
      <c r="M32" s="105">
        <v>2</v>
      </c>
      <c r="N32" s="105">
        <v>2</v>
      </c>
      <c r="O32" s="105">
        <v>2</v>
      </c>
      <c r="P32" s="105">
        <v>2</v>
      </c>
      <c r="Q32" s="105">
        <v>2</v>
      </c>
      <c r="R32" s="105">
        <v>2</v>
      </c>
      <c r="S32" s="105">
        <v>2</v>
      </c>
      <c r="T32" s="105">
        <v>2</v>
      </c>
      <c r="U32" s="105">
        <v>2</v>
      </c>
      <c r="V32" s="105">
        <v>2</v>
      </c>
      <c r="W32" s="105">
        <v>2</v>
      </c>
      <c r="X32" s="105">
        <v>2</v>
      </c>
      <c r="Y32" s="105">
        <v>2</v>
      </c>
      <c r="Z32" s="105">
        <v>2</v>
      </c>
      <c r="AA32" s="105">
        <v>2</v>
      </c>
      <c r="AB32" s="105">
        <v>2</v>
      </c>
      <c r="AC32" s="105">
        <v>2</v>
      </c>
      <c r="AD32" s="105">
        <v>2</v>
      </c>
      <c r="AE32" s="105">
        <v>2</v>
      </c>
      <c r="AF32" s="105">
        <v>2</v>
      </c>
      <c r="AG32" s="126">
        <v>12</v>
      </c>
      <c r="AH32" s="20">
        <f t="shared" si="2"/>
        <v>2</v>
      </c>
      <c r="AI32" s="19">
        <f t="shared" si="3"/>
        <v>2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10</v>
      </c>
      <c r="C33" s="105">
        <v>10</v>
      </c>
      <c r="D33" s="105">
        <v>10</v>
      </c>
      <c r="E33" s="105">
        <v>10</v>
      </c>
      <c r="F33" s="105">
        <v>10</v>
      </c>
      <c r="G33" s="105">
        <v>10</v>
      </c>
      <c r="H33" s="105">
        <v>10</v>
      </c>
      <c r="I33" s="105">
        <v>10</v>
      </c>
      <c r="J33" s="105">
        <v>10</v>
      </c>
      <c r="K33" s="105">
        <v>10</v>
      </c>
      <c r="L33" s="105">
        <v>10</v>
      </c>
      <c r="M33" s="105">
        <v>10</v>
      </c>
      <c r="N33" s="105">
        <v>10</v>
      </c>
      <c r="O33" s="105">
        <v>10</v>
      </c>
      <c r="P33" s="105">
        <v>10</v>
      </c>
      <c r="Q33" s="105">
        <v>10</v>
      </c>
      <c r="R33" s="105">
        <v>10</v>
      </c>
      <c r="S33" s="105">
        <v>10</v>
      </c>
      <c r="T33" s="105">
        <v>10</v>
      </c>
      <c r="U33" s="105">
        <v>10</v>
      </c>
      <c r="V33" s="105">
        <v>10</v>
      </c>
      <c r="W33" s="105">
        <v>10</v>
      </c>
      <c r="X33" s="105">
        <v>10</v>
      </c>
      <c r="Y33" s="105">
        <v>10</v>
      </c>
      <c r="Z33" s="105">
        <v>10</v>
      </c>
      <c r="AA33" s="105">
        <v>10</v>
      </c>
      <c r="AB33" s="105">
        <v>10</v>
      </c>
      <c r="AC33" s="105">
        <v>10</v>
      </c>
      <c r="AD33" s="105">
        <v>10</v>
      </c>
      <c r="AE33" s="105">
        <v>10</v>
      </c>
      <c r="AF33" s="105">
        <v>10</v>
      </c>
      <c r="AG33" s="125">
        <v>22</v>
      </c>
      <c r="AH33" s="20">
        <f t="shared" si="2"/>
        <v>10</v>
      </c>
      <c r="AI33" s="19">
        <f t="shared" si="3"/>
        <v>10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12</v>
      </c>
      <c r="C34" s="105">
        <v>12</v>
      </c>
      <c r="D34" s="105">
        <v>12</v>
      </c>
      <c r="E34" s="105">
        <v>12</v>
      </c>
      <c r="F34" s="105">
        <v>12</v>
      </c>
      <c r="G34" s="105">
        <v>12</v>
      </c>
      <c r="H34" s="105">
        <v>12</v>
      </c>
      <c r="I34" s="105">
        <v>12</v>
      </c>
      <c r="J34" s="105">
        <v>12</v>
      </c>
      <c r="K34" s="105">
        <v>12</v>
      </c>
      <c r="L34" s="105">
        <v>12</v>
      </c>
      <c r="M34" s="105">
        <v>12</v>
      </c>
      <c r="N34" s="105">
        <v>12</v>
      </c>
      <c r="O34" s="105">
        <v>12</v>
      </c>
      <c r="P34" s="105">
        <v>12</v>
      </c>
      <c r="Q34" s="105">
        <v>12</v>
      </c>
      <c r="R34" s="105">
        <v>12</v>
      </c>
      <c r="S34" s="105">
        <v>12</v>
      </c>
      <c r="T34" s="105">
        <v>12</v>
      </c>
      <c r="U34" s="105">
        <v>12</v>
      </c>
      <c r="V34" s="105">
        <v>12</v>
      </c>
      <c r="W34" s="105">
        <v>12</v>
      </c>
      <c r="X34" s="105">
        <v>12</v>
      </c>
      <c r="Y34" s="105">
        <v>12</v>
      </c>
      <c r="Z34" s="105">
        <v>12</v>
      </c>
      <c r="AA34" s="105">
        <v>12</v>
      </c>
      <c r="AB34" s="105">
        <v>12</v>
      </c>
      <c r="AC34" s="105">
        <v>12</v>
      </c>
      <c r="AD34" s="105">
        <v>12</v>
      </c>
      <c r="AE34" s="105">
        <v>12</v>
      </c>
      <c r="AF34" s="105">
        <v>12</v>
      </c>
      <c r="AG34" s="96">
        <v>11.88</v>
      </c>
      <c r="AH34" s="20">
        <f t="shared" si="2"/>
        <v>12</v>
      </c>
      <c r="AI34" s="19">
        <f t="shared" si="3"/>
        <v>12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>
        <v>11</v>
      </c>
      <c r="AG35" s="94">
        <v>11</v>
      </c>
      <c r="AH35" s="20">
        <f t="shared" si="2"/>
        <v>11</v>
      </c>
      <c r="AI35" s="19">
        <f t="shared" si="3"/>
        <v>11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>
        <v>9</v>
      </c>
      <c r="E36" s="105">
        <v>9</v>
      </c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>
        <v>9</v>
      </c>
      <c r="N36" s="105">
        <v>9</v>
      </c>
      <c r="O36" s="105">
        <v>9</v>
      </c>
      <c r="P36" s="105">
        <v>9</v>
      </c>
      <c r="Q36" s="105">
        <v>9</v>
      </c>
      <c r="R36" s="105">
        <v>9</v>
      </c>
      <c r="S36" s="105">
        <v>9</v>
      </c>
      <c r="T36" s="105">
        <v>9</v>
      </c>
      <c r="U36" s="105">
        <v>9</v>
      </c>
      <c r="V36" s="105">
        <v>9</v>
      </c>
      <c r="W36" s="105">
        <v>9</v>
      </c>
      <c r="X36" s="105">
        <v>9</v>
      </c>
      <c r="Y36" s="105">
        <v>9</v>
      </c>
      <c r="Z36" s="105">
        <v>9</v>
      </c>
      <c r="AA36" s="105">
        <v>9</v>
      </c>
      <c r="AB36" s="105">
        <v>9</v>
      </c>
      <c r="AC36" s="105">
        <v>9</v>
      </c>
      <c r="AD36" s="105">
        <v>9</v>
      </c>
      <c r="AE36" s="105">
        <v>9</v>
      </c>
      <c r="AF36" s="105">
        <v>9</v>
      </c>
      <c r="AG36" s="94">
        <v>10</v>
      </c>
      <c r="AH36" s="20">
        <f t="shared" si="2"/>
        <v>9</v>
      </c>
      <c r="AI36" s="19">
        <f t="shared" si="3"/>
        <v>9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2</v>
      </c>
      <c r="N37" s="105">
        <v>2</v>
      </c>
      <c r="O37" s="105">
        <v>2</v>
      </c>
      <c r="P37" s="105">
        <v>2</v>
      </c>
      <c r="Q37" s="105">
        <v>2</v>
      </c>
      <c r="R37" s="105">
        <v>2</v>
      </c>
      <c r="S37" s="105">
        <v>2</v>
      </c>
      <c r="T37" s="105">
        <v>2</v>
      </c>
      <c r="U37" s="105">
        <v>2</v>
      </c>
      <c r="V37" s="105">
        <v>2</v>
      </c>
      <c r="W37" s="105">
        <v>2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2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f>95.2+79.5</f>
        <v>174.7</v>
      </c>
      <c r="C39" s="119">
        <f>96.7+80.6</f>
        <v>177.3</v>
      </c>
      <c r="D39" s="119">
        <f>96.9+81.1</f>
        <v>178</v>
      </c>
      <c r="E39" s="119">
        <f>94.3+81.4</f>
        <v>175.7</v>
      </c>
      <c r="F39" s="119">
        <f>92.1+81.7</f>
        <v>173.8</v>
      </c>
      <c r="G39" s="119">
        <f>93.2+81.3</f>
        <v>174.5</v>
      </c>
      <c r="H39" s="119">
        <f>92.8+81.5</f>
        <v>174.3</v>
      </c>
      <c r="I39" s="119">
        <f>92.2+81.2</f>
        <v>173.4</v>
      </c>
      <c r="J39" s="119">
        <f>91.8+80.7</f>
        <v>172.5</v>
      </c>
      <c r="K39" s="119">
        <f>91.3+80.5</f>
        <v>171.8</v>
      </c>
      <c r="L39" s="113">
        <f>92+80.2</f>
        <v>172.2</v>
      </c>
      <c r="M39" s="113">
        <f>83+97.7</f>
        <v>180.7</v>
      </c>
      <c r="N39" s="113">
        <f>83.9+88</f>
        <v>171.9</v>
      </c>
      <c r="O39" s="113">
        <f>84.2+97.9</f>
        <v>182.10000000000002</v>
      </c>
      <c r="P39" s="113">
        <f>84.3+99.1</f>
        <v>183.39999999999998</v>
      </c>
      <c r="Q39" s="113">
        <f>84.5+98</f>
        <v>182.5</v>
      </c>
      <c r="R39" s="113">
        <f>84.4+99.3</f>
        <v>183.7</v>
      </c>
      <c r="S39" s="119">
        <f>83.9+99.7</f>
        <v>183.60000000000002</v>
      </c>
      <c r="T39" s="119">
        <f>83.7+99.3</f>
        <v>183</v>
      </c>
      <c r="U39" s="119">
        <f>84+98.7</f>
        <v>182.7</v>
      </c>
      <c r="V39" s="119">
        <f>77.6+98.1</f>
        <v>175.7</v>
      </c>
      <c r="W39" s="119">
        <f>83.6+97.7</f>
        <v>181.3</v>
      </c>
      <c r="X39" s="119">
        <f>83.1+96.6</f>
        <v>179.7</v>
      </c>
      <c r="Y39" s="119">
        <v>179.7</v>
      </c>
      <c r="Z39" s="119">
        <f>79.9+96</f>
        <v>175.9</v>
      </c>
      <c r="AA39" s="119">
        <f>79.9+96</f>
        <v>175.9</v>
      </c>
      <c r="AB39" s="119">
        <v>180</v>
      </c>
      <c r="AC39" s="119">
        <v>180</v>
      </c>
      <c r="AD39" s="119">
        <v>180</v>
      </c>
      <c r="AE39" s="119">
        <v>180</v>
      </c>
      <c r="AF39" s="119">
        <v>180</v>
      </c>
      <c r="AG39" s="94">
        <v>240</v>
      </c>
      <c r="AH39" s="20">
        <f t="shared" si="2"/>
        <v>183.7</v>
      </c>
      <c r="AI39" s="19">
        <f t="shared" si="3"/>
        <v>171.8</v>
      </c>
      <c r="AK39" s="41"/>
    </row>
    <row r="40" spans="1:88" ht="15.75" thickBot="1" x14ac:dyDescent="0.3">
      <c r="A40" s="118" t="s">
        <v>195</v>
      </c>
      <c r="B40" s="86">
        <f>SUM(B11:B38)</f>
        <v>778.8</v>
      </c>
      <c r="C40" s="86">
        <f t="shared" ref="C40:AG40" si="4">SUM(C11:C38)</f>
        <v>758.3</v>
      </c>
      <c r="D40" s="86">
        <f t="shared" si="4"/>
        <v>758.3</v>
      </c>
      <c r="E40" s="86">
        <f t="shared" si="4"/>
        <v>758.3</v>
      </c>
      <c r="F40" s="86">
        <f t="shared" si="4"/>
        <v>758.3</v>
      </c>
      <c r="G40" s="86">
        <f t="shared" si="4"/>
        <v>758.3</v>
      </c>
      <c r="H40" s="86">
        <f t="shared" si="4"/>
        <v>779.3</v>
      </c>
      <c r="I40" s="86">
        <f t="shared" si="4"/>
        <v>781.3</v>
      </c>
      <c r="J40" s="86">
        <f t="shared" si="4"/>
        <v>799.3</v>
      </c>
      <c r="K40" s="86">
        <f t="shared" si="4"/>
        <v>811.3</v>
      </c>
      <c r="L40" s="86">
        <f t="shared" si="4"/>
        <v>811.3</v>
      </c>
      <c r="M40" s="86">
        <f t="shared" si="4"/>
        <v>829.5</v>
      </c>
      <c r="N40" s="86">
        <f t="shared" si="4"/>
        <v>829.5</v>
      </c>
      <c r="O40" s="86">
        <f t="shared" si="4"/>
        <v>851.5</v>
      </c>
      <c r="P40" s="86">
        <f t="shared" si="4"/>
        <v>829.09999999999991</v>
      </c>
      <c r="Q40" s="86">
        <f t="shared" si="4"/>
        <v>826.90000000000009</v>
      </c>
      <c r="R40" s="86">
        <f t="shared" si="4"/>
        <v>826.90000000000009</v>
      </c>
      <c r="S40" s="86">
        <f t="shared" si="4"/>
        <v>821.90000000000009</v>
      </c>
      <c r="T40" s="86">
        <f t="shared" si="4"/>
        <v>821.90000000000009</v>
      </c>
      <c r="U40" s="86">
        <f t="shared" si="4"/>
        <v>825.90000000000009</v>
      </c>
      <c r="V40" s="86">
        <f t="shared" si="4"/>
        <v>820.90000000000009</v>
      </c>
      <c r="W40" s="86">
        <f t="shared" si="4"/>
        <v>829.90000000000009</v>
      </c>
      <c r="X40" s="86">
        <f t="shared" si="4"/>
        <v>827.90000000000009</v>
      </c>
      <c r="Y40" s="86">
        <f t="shared" si="4"/>
        <v>833.90000000000009</v>
      </c>
      <c r="Z40" s="86">
        <f t="shared" si="4"/>
        <v>809.90000000000009</v>
      </c>
      <c r="AA40" s="86">
        <f t="shared" si="4"/>
        <v>836.90000000000009</v>
      </c>
      <c r="AB40" s="86">
        <f t="shared" si="4"/>
        <v>851.6</v>
      </c>
      <c r="AC40" s="86">
        <f t="shared" si="4"/>
        <v>847.6</v>
      </c>
      <c r="AD40" s="86">
        <f t="shared" si="4"/>
        <v>847.6</v>
      </c>
      <c r="AE40" s="86">
        <f t="shared" si="4"/>
        <v>839.6</v>
      </c>
      <c r="AF40" s="86">
        <f t="shared" si="4"/>
        <v>796.4</v>
      </c>
      <c r="AG40" s="101">
        <f t="shared" si="4"/>
        <v>707.78000000000009</v>
      </c>
      <c r="AH40" s="20">
        <f t="shared" si="2"/>
        <v>851.6</v>
      </c>
      <c r="AI40" s="19">
        <f t="shared" si="3"/>
        <v>758.3</v>
      </c>
      <c r="AK40" s="41"/>
    </row>
    <row r="41" spans="1:88" x14ac:dyDescent="0.25">
      <c r="A41" s="117" t="s">
        <v>194</v>
      </c>
      <c r="B41" s="105">
        <v>456</v>
      </c>
      <c r="C41" s="105">
        <v>456</v>
      </c>
      <c r="D41" s="105">
        <v>456</v>
      </c>
      <c r="E41" s="105">
        <v>456</v>
      </c>
      <c r="F41" s="105">
        <v>456</v>
      </c>
      <c r="G41" s="105">
        <v>456</v>
      </c>
      <c r="H41" s="105">
        <v>456</v>
      </c>
      <c r="I41" s="105">
        <v>456</v>
      </c>
      <c r="J41" s="105">
        <v>456</v>
      </c>
      <c r="K41" s="105">
        <v>456</v>
      </c>
      <c r="L41" s="105">
        <v>456</v>
      </c>
      <c r="M41" s="105">
        <v>456</v>
      </c>
      <c r="N41" s="105">
        <v>456</v>
      </c>
      <c r="O41" s="105">
        <v>456</v>
      </c>
      <c r="P41" s="105">
        <v>456</v>
      </c>
      <c r="Q41" s="105">
        <v>456</v>
      </c>
      <c r="R41" s="105">
        <v>456</v>
      </c>
      <c r="S41" s="105">
        <v>456</v>
      </c>
      <c r="T41" s="105">
        <v>456</v>
      </c>
      <c r="U41" s="105">
        <v>456</v>
      </c>
      <c r="V41" s="105">
        <v>456</v>
      </c>
      <c r="W41" s="105">
        <v>456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456</v>
      </c>
      <c r="AD41" s="105">
        <v>456</v>
      </c>
      <c r="AE41" s="105">
        <v>456</v>
      </c>
      <c r="AF41" s="105">
        <v>456</v>
      </c>
      <c r="AG41" s="96">
        <v>456</v>
      </c>
      <c r="AH41" s="20">
        <f t="shared" si="2"/>
        <v>456</v>
      </c>
      <c r="AI41" s="19">
        <f t="shared" si="3"/>
        <v>456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>
        <v>60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>
        <v>22</v>
      </c>
      <c r="S43" s="107">
        <v>22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>
        <v>22</v>
      </c>
      <c r="AG43" s="106">
        <v>22.1</v>
      </c>
      <c r="AH43" s="20">
        <f t="shared" si="2"/>
        <v>22</v>
      </c>
      <c r="AI43" s="19">
        <f t="shared" si="3"/>
        <v>22</v>
      </c>
      <c r="AK43" s="41"/>
    </row>
    <row r="44" spans="1:88" ht="15.75" thickBot="1" x14ac:dyDescent="0.3">
      <c r="A44" s="114" t="s">
        <v>191</v>
      </c>
      <c r="B44" s="86">
        <f>SUM(B41:B43)</f>
        <v>538</v>
      </c>
      <c r="C44" s="86">
        <f t="shared" ref="C44:AG44" si="5">SUM(C41:C43)</f>
        <v>538</v>
      </c>
      <c r="D44" s="86">
        <f t="shared" si="5"/>
        <v>538</v>
      </c>
      <c r="E44" s="86">
        <f t="shared" si="5"/>
        <v>538</v>
      </c>
      <c r="F44" s="86">
        <f t="shared" si="5"/>
        <v>538</v>
      </c>
      <c r="G44" s="86">
        <f t="shared" si="5"/>
        <v>538</v>
      </c>
      <c r="H44" s="86">
        <f t="shared" si="5"/>
        <v>538</v>
      </c>
      <c r="I44" s="86">
        <f t="shared" si="5"/>
        <v>538</v>
      </c>
      <c r="J44" s="86">
        <f t="shared" si="5"/>
        <v>538</v>
      </c>
      <c r="K44" s="86">
        <f t="shared" si="5"/>
        <v>538</v>
      </c>
      <c r="L44" s="86">
        <f t="shared" si="5"/>
        <v>538</v>
      </c>
      <c r="M44" s="86">
        <f t="shared" si="5"/>
        <v>538</v>
      </c>
      <c r="N44" s="86">
        <f t="shared" si="5"/>
        <v>538</v>
      </c>
      <c r="O44" s="86">
        <f t="shared" si="5"/>
        <v>538</v>
      </c>
      <c r="P44" s="86">
        <f t="shared" si="5"/>
        <v>538</v>
      </c>
      <c r="Q44" s="86">
        <f t="shared" si="5"/>
        <v>538</v>
      </c>
      <c r="R44" s="86">
        <f t="shared" si="5"/>
        <v>538</v>
      </c>
      <c r="S44" s="86">
        <f t="shared" si="5"/>
        <v>538</v>
      </c>
      <c r="T44" s="86">
        <f t="shared" si="5"/>
        <v>538</v>
      </c>
      <c r="U44" s="86">
        <f t="shared" si="5"/>
        <v>538</v>
      </c>
      <c r="V44" s="86">
        <f t="shared" si="5"/>
        <v>538</v>
      </c>
      <c r="W44" s="86">
        <f t="shared" si="5"/>
        <v>538</v>
      </c>
      <c r="X44" s="86">
        <f t="shared" si="5"/>
        <v>538</v>
      </c>
      <c r="Y44" s="86">
        <f t="shared" si="5"/>
        <v>538</v>
      </c>
      <c r="Z44" s="86">
        <f t="shared" si="5"/>
        <v>538</v>
      </c>
      <c r="AA44" s="86">
        <f t="shared" si="5"/>
        <v>538</v>
      </c>
      <c r="AB44" s="86">
        <f t="shared" si="5"/>
        <v>538</v>
      </c>
      <c r="AC44" s="86">
        <f t="shared" si="5"/>
        <v>538</v>
      </c>
      <c r="AD44" s="86">
        <f t="shared" si="5"/>
        <v>538</v>
      </c>
      <c r="AE44" s="86">
        <f t="shared" si="5"/>
        <v>538</v>
      </c>
      <c r="AF44" s="86">
        <f t="shared" si="5"/>
        <v>538</v>
      </c>
      <c r="AG44" s="101">
        <f t="shared" si="5"/>
        <v>538.1</v>
      </c>
      <c r="AH44" s="20">
        <f t="shared" si="2"/>
        <v>538</v>
      </c>
      <c r="AI44" s="19">
        <f t="shared" si="3"/>
        <v>538</v>
      </c>
      <c r="AK44" s="41"/>
    </row>
    <row r="45" spans="1:88" x14ac:dyDescent="0.25">
      <c r="A45" s="97" t="s">
        <v>190</v>
      </c>
      <c r="B45" s="105">
        <v>143.5</v>
      </c>
      <c r="C45" s="105">
        <v>143.5</v>
      </c>
      <c r="D45" s="105">
        <v>131.30000000000001</v>
      </c>
      <c r="E45" s="105">
        <v>98</v>
      </c>
      <c r="F45" s="105">
        <v>127</v>
      </c>
      <c r="G45" s="105">
        <v>142.19999999999999</v>
      </c>
      <c r="H45" s="105">
        <v>142.5</v>
      </c>
      <c r="I45" s="105">
        <v>142.5</v>
      </c>
      <c r="J45" s="105">
        <v>142.5</v>
      </c>
      <c r="K45" s="105">
        <v>142.69999999999999</v>
      </c>
      <c r="L45" s="105">
        <v>142.6</v>
      </c>
      <c r="M45" s="105">
        <v>143.19999999999999</v>
      </c>
      <c r="N45" s="105">
        <v>143.19999999999999</v>
      </c>
      <c r="O45" s="105">
        <v>143.19999999999999</v>
      </c>
      <c r="P45" s="105">
        <v>143.19999999999999</v>
      </c>
      <c r="Q45" s="105">
        <v>144.5</v>
      </c>
      <c r="R45" s="105">
        <v>144.5</v>
      </c>
      <c r="S45" s="105">
        <v>144.5</v>
      </c>
      <c r="T45" s="105">
        <v>144.5</v>
      </c>
      <c r="U45" s="105">
        <v>144.5</v>
      </c>
      <c r="V45" s="105">
        <v>144.5</v>
      </c>
      <c r="W45" s="105">
        <v>144.5</v>
      </c>
      <c r="X45" s="105">
        <v>144.5</v>
      </c>
      <c r="Y45" s="105">
        <v>144.5</v>
      </c>
      <c r="Z45" s="105">
        <v>144.5</v>
      </c>
      <c r="AA45" s="105">
        <v>144.5</v>
      </c>
      <c r="AB45" s="105">
        <v>144.5</v>
      </c>
      <c r="AC45" s="105">
        <v>144.5</v>
      </c>
      <c r="AD45" s="105">
        <v>144.5</v>
      </c>
      <c r="AE45" s="105">
        <v>144.5</v>
      </c>
      <c r="AF45" s="105">
        <v>144.5</v>
      </c>
      <c r="AG45" s="96">
        <v>144</v>
      </c>
      <c r="AH45" s="20">
        <f t="shared" si="2"/>
        <v>144.5</v>
      </c>
      <c r="AI45" s="19">
        <f t="shared" si="3"/>
        <v>98</v>
      </c>
      <c r="AK45" s="41"/>
    </row>
    <row r="46" spans="1:88" x14ac:dyDescent="0.25">
      <c r="A46" s="95" t="s">
        <v>189</v>
      </c>
      <c r="B46" s="80">
        <v>70.099999999999994</v>
      </c>
      <c r="C46" s="80">
        <v>70.099999999999994</v>
      </c>
      <c r="D46" s="80">
        <v>72.099999999999994</v>
      </c>
      <c r="E46" s="80">
        <v>69.599999999999994</v>
      </c>
      <c r="F46" s="80">
        <v>72.5</v>
      </c>
      <c r="G46" s="80">
        <v>71.3</v>
      </c>
      <c r="H46" s="80">
        <v>71.599999999999994</v>
      </c>
      <c r="I46" s="80">
        <v>72</v>
      </c>
      <c r="J46" s="80">
        <v>72</v>
      </c>
      <c r="K46" s="80">
        <v>71.099999999999994</v>
      </c>
      <c r="L46" s="80">
        <v>71.5</v>
      </c>
      <c r="M46" s="80">
        <v>70.5</v>
      </c>
      <c r="N46" s="80">
        <v>70.5</v>
      </c>
      <c r="O46" s="80">
        <v>70.5</v>
      </c>
      <c r="P46" s="80">
        <v>70.5</v>
      </c>
      <c r="Q46" s="105">
        <v>71.3</v>
      </c>
      <c r="R46" s="105">
        <v>71.3</v>
      </c>
      <c r="S46" s="105">
        <v>71.3</v>
      </c>
      <c r="T46" s="105">
        <v>71.3</v>
      </c>
      <c r="U46" s="105">
        <v>71.3</v>
      </c>
      <c r="V46" s="105">
        <v>71.3</v>
      </c>
      <c r="W46" s="105">
        <v>71.3</v>
      </c>
      <c r="X46" s="105">
        <v>71.3</v>
      </c>
      <c r="Y46" s="80">
        <v>71.3</v>
      </c>
      <c r="Z46" s="80">
        <v>71.3</v>
      </c>
      <c r="AA46" s="80">
        <v>71.099999999999994</v>
      </c>
      <c r="AB46" s="80">
        <v>71.099999999999994</v>
      </c>
      <c r="AC46" s="80">
        <v>71.099999999999994</v>
      </c>
      <c r="AD46" s="80">
        <v>71.099999999999994</v>
      </c>
      <c r="AE46" s="80">
        <v>71.099999999999994</v>
      </c>
      <c r="AF46" s="80">
        <v>62</v>
      </c>
      <c r="AG46" s="94">
        <v>70</v>
      </c>
      <c r="AH46" s="20">
        <f t="shared" si="2"/>
        <v>72.5</v>
      </c>
      <c r="AI46" s="19">
        <f t="shared" si="3"/>
        <v>62</v>
      </c>
      <c r="AK46" s="41"/>
    </row>
    <row r="47" spans="1:88" x14ac:dyDescent="0.25">
      <c r="A47" s="95" t="s">
        <v>188</v>
      </c>
      <c r="B47" s="80">
        <v>61.6</v>
      </c>
      <c r="C47" s="80">
        <v>61.6</v>
      </c>
      <c r="D47" s="80">
        <v>61.6</v>
      </c>
      <c r="E47" s="80">
        <v>61.5</v>
      </c>
      <c r="F47" s="80">
        <v>61.5</v>
      </c>
      <c r="G47" s="80">
        <v>0</v>
      </c>
      <c r="H47" s="80">
        <v>0</v>
      </c>
      <c r="I47" s="80">
        <v>0</v>
      </c>
      <c r="J47" s="80">
        <v>0</v>
      </c>
      <c r="K47" s="80">
        <v>0</v>
      </c>
      <c r="L47" s="80">
        <v>0</v>
      </c>
      <c r="M47" s="80">
        <v>0</v>
      </c>
      <c r="N47" s="80">
        <v>0</v>
      </c>
      <c r="O47" s="80">
        <v>0</v>
      </c>
      <c r="P47" s="80">
        <v>0</v>
      </c>
      <c r="Q47" s="105">
        <v>0</v>
      </c>
      <c r="R47" s="105">
        <v>0</v>
      </c>
      <c r="S47" s="105">
        <v>0</v>
      </c>
      <c r="T47" s="105">
        <v>0</v>
      </c>
      <c r="U47" s="105">
        <v>0</v>
      </c>
      <c r="V47" s="105">
        <v>0</v>
      </c>
      <c r="W47" s="105">
        <v>0</v>
      </c>
      <c r="X47" s="105">
        <v>0</v>
      </c>
      <c r="Y47" s="80">
        <v>63</v>
      </c>
      <c r="Z47" s="80">
        <v>63</v>
      </c>
      <c r="AA47" s="80">
        <v>62.2</v>
      </c>
      <c r="AB47" s="80">
        <v>62.2</v>
      </c>
      <c r="AC47" s="80">
        <v>62.2</v>
      </c>
      <c r="AD47" s="80">
        <v>62.2</v>
      </c>
      <c r="AE47" s="80">
        <v>62.2</v>
      </c>
      <c r="AF47" s="80">
        <v>62.2</v>
      </c>
      <c r="AG47" s="94">
        <v>69</v>
      </c>
      <c r="AH47" s="20">
        <f t="shared" si="2"/>
        <v>63</v>
      </c>
      <c r="AI47" s="19">
        <f t="shared" si="3"/>
        <v>0</v>
      </c>
      <c r="AK47" s="41"/>
    </row>
    <row r="48" spans="1:88" x14ac:dyDescent="0.25">
      <c r="A48" s="95" t="s">
        <v>187</v>
      </c>
      <c r="B48" s="113">
        <v>61.2</v>
      </c>
      <c r="C48" s="113">
        <v>61.2</v>
      </c>
      <c r="D48" s="113">
        <v>61.4</v>
      </c>
      <c r="E48" s="113">
        <v>61.4</v>
      </c>
      <c r="F48" s="113">
        <v>40.299999999999997</v>
      </c>
      <c r="G48" s="113">
        <v>60.9</v>
      </c>
      <c r="H48" s="113">
        <v>61.2</v>
      </c>
      <c r="I48" s="113">
        <v>60.9</v>
      </c>
      <c r="J48" s="113">
        <v>60.9</v>
      </c>
      <c r="K48" s="113">
        <v>60.9</v>
      </c>
      <c r="L48" s="113">
        <v>60.9</v>
      </c>
      <c r="M48" s="80">
        <v>61.4</v>
      </c>
      <c r="N48" s="80">
        <v>61.4</v>
      </c>
      <c r="O48" s="80">
        <v>61.4</v>
      </c>
      <c r="P48" s="80">
        <v>61.4</v>
      </c>
      <c r="Q48" s="105">
        <v>61.4</v>
      </c>
      <c r="R48" s="105">
        <v>61.4</v>
      </c>
      <c r="S48" s="105">
        <v>56</v>
      </c>
      <c r="T48" s="105">
        <v>56</v>
      </c>
      <c r="U48" s="105">
        <v>56</v>
      </c>
      <c r="V48" s="105">
        <v>60.4</v>
      </c>
      <c r="W48" s="105">
        <v>60.4</v>
      </c>
      <c r="X48" s="105">
        <v>60.4</v>
      </c>
      <c r="Y48" s="80">
        <v>60.4</v>
      </c>
      <c r="Z48" s="80">
        <v>60.4</v>
      </c>
      <c r="AA48" s="80">
        <v>60.4</v>
      </c>
      <c r="AB48" s="80">
        <v>60.4</v>
      </c>
      <c r="AC48" s="80">
        <v>60.4</v>
      </c>
      <c r="AD48" s="80">
        <v>60.4</v>
      </c>
      <c r="AE48" s="80">
        <v>60.4</v>
      </c>
      <c r="AF48" s="80">
        <v>60.4</v>
      </c>
      <c r="AG48" s="94">
        <v>60</v>
      </c>
      <c r="AH48" s="20">
        <f t="shared" si="2"/>
        <v>61.4</v>
      </c>
      <c r="AI48" s="19">
        <f t="shared" si="3"/>
        <v>40.299999999999997</v>
      </c>
      <c r="AK48" s="41"/>
    </row>
    <row r="49" spans="1:41" x14ac:dyDescent="0.25">
      <c r="A49" s="95" t="s">
        <v>186</v>
      </c>
      <c r="B49" s="113">
        <v>28.3</v>
      </c>
      <c r="C49" s="113">
        <v>28.3</v>
      </c>
      <c r="D49" s="113">
        <v>28.3</v>
      </c>
      <c r="E49" s="113">
        <v>27.6</v>
      </c>
      <c r="F49" s="113">
        <v>28.1</v>
      </c>
      <c r="G49" s="113">
        <v>28.1</v>
      </c>
      <c r="H49" s="113">
        <v>28.1</v>
      </c>
      <c r="I49" s="113">
        <v>28.1</v>
      </c>
      <c r="J49" s="113">
        <v>28.1</v>
      </c>
      <c r="K49" s="113">
        <v>28.1</v>
      </c>
      <c r="L49" s="113">
        <v>28.1</v>
      </c>
      <c r="M49" s="80">
        <v>28.5</v>
      </c>
      <c r="N49" s="80">
        <v>28.5</v>
      </c>
      <c r="O49" s="80">
        <v>28.5</v>
      </c>
      <c r="P49" s="80">
        <v>28.5</v>
      </c>
      <c r="Q49" s="105">
        <v>28.7</v>
      </c>
      <c r="R49" s="105">
        <v>28.7</v>
      </c>
      <c r="S49" s="105">
        <v>28.7</v>
      </c>
      <c r="T49" s="105">
        <v>28.7</v>
      </c>
      <c r="U49" s="105">
        <v>28.7</v>
      </c>
      <c r="V49" s="105">
        <v>28.7</v>
      </c>
      <c r="W49" s="105">
        <v>28.7</v>
      </c>
      <c r="X49" s="105">
        <v>28.7</v>
      </c>
      <c r="Y49" s="80">
        <v>28.7</v>
      </c>
      <c r="Z49" s="80">
        <v>28.7</v>
      </c>
      <c r="AA49" s="80">
        <v>28.7</v>
      </c>
      <c r="AB49" s="80">
        <v>28.7</v>
      </c>
      <c r="AC49" s="80">
        <v>28.7</v>
      </c>
      <c r="AD49" s="80">
        <v>28.7</v>
      </c>
      <c r="AE49" s="80">
        <v>28.7</v>
      </c>
      <c r="AF49" s="80">
        <v>28.7</v>
      </c>
      <c r="AG49" s="94">
        <v>30</v>
      </c>
      <c r="AH49" s="20">
        <f t="shared" si="2"/>
        <v>28.7</v>
      </c>
      <c r="AI49" s="19">
        <f t="shared" si="3"/>
        <v>27.6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4</v>
      </c>
      <c r="N50" s="80">
        <v>8</v>
      </c>
      <c r="O50" s="80">
        <v>12</v>
      </c>
      <c r="P50" s="80">
        <v>16</v>
      </c>
      <c r="Q50" s="80">
        <v>16</v>
      </c>
      <c r="R50" s="80">
        <v>16</v>
      </c>
      <c r="S50" s="80">
        <v>16</v>
      </c>
      <c r="T50" s="80">
        <v>16</v>
      </c>
      <c r="U50" s="80">
        <v>16</v>
      </c>
      <c r="V50" s="80">
        <v>16</v>
      </c>
      <c r="W50" s="80">
        <v>16</v>
      </c>
      <c r="X50" s="80">
        <v>16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105">
        <v>0</v>
      </c>
      <c r="AG50" s="94">
        <v>25</v>
      </c>
      <c r="AH50" s="20">
        <f t="shared" si="2"/>
        <v>16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16.8</v>
      </c>
      <c r="C51" s="80">
        <v>16.8</v>
      </c>
      <c r="D51" s="80">
        <v>16.8</v>
      </c>
      <c r="E51" s="80">
        <v>16.8</v>
      </c>
      <c r="F51" s="80">
        <v>16.8</v>
      </c>
      <c r="G51" s="80">
        <v>16.8</v>
      </c>
      <c r="H51" s="80">
        <v>16.8</v>
      </c>
      <c r="I51" s="80">
        <v>16.8</v>
      </c>
      <c r="J51" s="80">
        <v>16.8</v>
      </c>
      <c r="K51" s="80">
        <v>16.8</v>
      </c>
      <c r="L51" s="80">
        <v>16.8</v>
      </c>
      <c r="M51" s="80">
        <v>16.3</v>
      </c>
      <c r="N51" s="80">
        <v>16.3</v>
      </c>
      <c r="O51" s="80">
        <v>16.3</v>
      </c>
      <c r="P51" s="80">
        <v>16.2</v>
      </c>
      <c r="Q51" s="80">
        <v>17.3</v>
      </c>
      <c r="R51" s="80">
        <v>17.3</v>
      </c>
      <c r="S51" s="80">
        <v>17.3</v>
      </c>
      <c r="T51" s="80">
        <v>17.3</v>
      </c>
      <c r="U51" s="80">
        <v>17.3</v>
      </c>
      <c r="V51" s="80">
        <v>17.3</v>
      </c>
      <c r="W51" s="80">
        <v>17.3</v>
      </c>
      <c r="X51" s="80">
        <v>17.3</v>
      </c>
      <c r="Y51" s="105">
        <v>17.3</v>
      </c>
      <c r="Z51" s="105">
        <v>17.3</v>
      </c>
      <c r="AA51" s="105">
        <v>17.3</v>
      </c>
      <c r="AB51" s="105">
        <v>17.3</v>
      </c>
      <c r="AC51" s="105">
        <v>17.3</v>
      </c>
      <c r="AD51" s="105">
        <v>17.3</v>
      </c>
      <c r="AE51" s="105">
        <v>17.3</v>
      </c>
      <c r="AF51" s="105">
        <v>17.3</v>
      </c>
      <c r="AG51" s="94">
        <v>24</v>
      </c>
      <c r="AH51" s="20">
        <f t="shared" si="2"/>
        <v>17.3</v>
      </c>
      <c r="AI51" s="19">
        <f t="shared" si="3"/>
        <v>16.2</v>
      </c>
      <c r="AK51" s="41"/>
    </row>
    <row r="52" spans="1:41" x14ac:dyDescent="0.25">
      <c r="A52" s="95" t="s">
        <v>183</v>
      </c>
      <c r="B52" s="80">
        <v>3</v>
      </c>
      <c r="C52" s="80">
        <v>3</v>
      </c>
      <c r="D52" s="80">
        <v>3</v>
      </c>
      <c r="E52" s="80">
        <v>3</v>
      </c>
      <c r="F52" s="80">
        <v>3</v>
      </c>
      <c r="G52" s="80">
        <v>3</v>
      </c>
      <c r="H52" s="80">
        <v>3</v>
      </c>
      <c r="I52" s="80">
        <v>3</v>
      </c>
      <c r="J52" s="80">
        <v>3</v>
      </c>
      <c r="K52" s="80">
        <v>3</v>
      </c>
      <c r="L52" s="80">
        <v>3</v>
      </c>
      <c r="M52" s="80">
        <v>3</v>
      </c>
      <c r="N52" s="80">
        <v>3</v>
      </c>
      <c r="O52" s="80">
        <v>3</v>
      </c>
      <c r="P52" s="80">
        <v>3</v>
      </c>
      <c r="Q52" s="80">
        <v>0</v>
      </c>
      <c r="R52" s="80">
        <v>0</v>
      </c>
      <c r="S52" s="80">
        <v>0</v>
      </c>
      <c r="T52" s="80">
        <v>0</v>
      </c>
      <c r="U52" s="80">
        <v>0</v>
      </c>
      <c r="V52" s="80">
        <v>0</v>
      </c>
      <c r="W52" s="80">
        <v>0</v>
      </c>
      <c r="X52" s="80">
        <v>0</v>
      </c>
      <c r="Y52" s="80">
        <v>0</v>
      </c>
      <c r="Z52" s="80">
        <v>0</v>
      </c>
      <c r="AA52" s="80">
        <v>0</v>
      </c>
      <c r="AB52" s="80">
        <v>4</v>
      </c>
      <c r="AC52" s="80">
        <v>4</v>
      </c>
      <c r="AD52" s="80">
        <v>4</v>
      </c>
      <c r="AE52" s="80">
        <v>4</v>
      </c>
      <c r="AF52" s="80">
        <v>4</v>
      </c>
      <c r="AG52" s="94">
        <v>15</v>
      </c>
      <c r="AH52" s="20">
        <f t="shared" si="2"/>
        <v>4</v>
      </c>
      <c r="AI52" s="19">
        <f t="shared" si="3"/>
        <v>0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8</v>
      </c>
      <c r="C53" s="80">
        <v>3.2</v>
      </c>
      <c r="D53" s="80">
        <v>3.2</v>
      </c>
      <c r="E53" s="80">
        <v>3.2</v>
      </c>
      <c r="F53" s="80">
        <v>3.2</v>
      </c>
      <c r="G53" s="80">
        <v>3.2</v>
      </c>
      <c r="H53" s="80">
        <v>3.2</v>
      </c>
      <c r="I53" s="80">
        <v>3.2</v>
      </c>
      <c r="J53" s="80">
        <v>3.2</v>
      </c>
      <c r="K53" s="80">
        <v>3.2</v>
      </c>
      <c r="L53" s="80">
        <v>3.2</v>
      </c>
      <c r="M53" s="80">
        <v>7.9</v>
      </c>
      <c r="N53" s="80">
        <v>8.9</v>
      </c>
      <c r="O53" s="80">
        <v>9.6</v>
      </c>
      <c r="P53" s="80">
        <v>9.6</v>
      </c>
      <c r="Q53" s="80">
        <v>8.1</v>
      </c>
      <c r="R53" s="80">
        <v>8.1</v>
      </c>
      <c r="S53" s="80">
        <v>8.1</v>
      </c>
      <c r="T53" s="80">
        <v>8.1</v>
      </c>
      <c r="U53" s="80">
        <v>8.1</v>
      </c>
      <c r="V53" s="80">
        <v>8.1</v>
      </c>
      <c r="W53" s="80">
        <v>8.1</v>
      </c>
      <c r="X53" s="80">
        <v>8.1</v>
      </c>
      <c r="Y53" s="80">
        <v>8.1</v>
      </c>
      <c r="Z53" s="80">
        <v>8.1</v>
      </c>
      <c r="AA53" s="80">
        <v>8.1</v>
      </c>
      <c r="AB53" s="80">
        <v>8.1</v>
      </c>
      <c r="AC53" s="80">
        <v>8.1</v>
      </c>
      <c r="AD53" s="80">
        <v>8.1</v>
      </c>
      <c r="AE53" s="80">
        <v>8.1</v>
      </c>
      <c r="AF53" s="80">
        <v>8.1</v>
      </c>
      <c r="AG53" s="94">
        <v>14.1</v>
      </c>
      <c r="AH53" s="20">
        <f t="shared" si="2"/>
        <v>9.6</v>
      </c>
      <c r="AI53" s="19">
        <f t="shared" si="3"/>
        <v>3.2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13</v>
      </c>
      <c r="C54" s="80">
        <v>13.9</v>
      </c>
      <c r="D54" s="80">
        <v>13.9</v>
      </c>
      <c r="E54" s="80">
        <v>13.9</v>
      </c>
      <c r="F54" s="80">
        <v>13.9</v>
      </c>
      <c r="G54" s="80">
        <v>13.9</v>
      </c>
      <c r="H54" s="80">
        <v>13.9</v>
      </c>
      <c r="I54" s="80">
        <v>7.2</v>
      </c>
      <c r="J54" s="80">
        <v>14.3</v>
      </c>
      <c r="K54" s="80">
        <v>14.3</v>
      </c>
      <c r="L54" s="80">
        <v>12.2</v>
      </c>
      <c r="M54" s="80">
        <v>7.8</v>
      </c>
      <c r="N54" s="80">
        <v>7.8</v>
      </c>
      <c r="O54" s="80">
        <v>14.2</v>
      </c>
      <c r="P54" s="80">
        <v>14.2</v>
      </c>
      <c r="Q54" s="80">
        <v>14.2</v>
      </c>
      <c r="R54" s="80">
        <v>14.2</v>
      </c>
      <c r="S54" s="80">
        <v>14.2</v>
      </c>
      <c r="T54" s="80">
        <v>14.2</v>
      </c>
      <c r="U54" s="80">
        <v>14.2</v>
      </c>
      <c r="V54" s="80">
        <v>14.2</v>
      </c>
      <c r="W54" s="80">
        <v>14.2</v>
      </c>
      <c r="X54" s="80">
        <v>14.2</v>
      </c>
      <c r="Y54" s="80">
        <v>14.2</v>
      </c>
      <c r="Z54" s="80">
        <v>14.2</v>
      </c>
      <c r="AA54" s="80">
        <v>14.2</v>
      </c>
      <c r="AB54" s="80">
        <v>14.2</v>
      </c>
      <c r="AC54" s="80">
        <v>14.2</v>
      </c>
      <c r="AD54" s="80">
        <v>14.2</v>
      </c>
      <c r="AE54" s="80">
        <v>14.2</v>
      </c>
      <c r="AF54" s="80">
        <v>14.2</v>
      </c>
      <c r="AG54" s="94">
        <v>14</v>
      </c>
      <c r="AH54" s="20">
        <f t="shared" si="2"/>
        <v>14.3</v>
      </c>
      <c r="AI54" s="19">
        <f t="shared" si="3"/>
        <v>7.2</v>
      </c>
      <c r="AK54" s="41"/>
    </row>
    <row r="55" spans="1:41" x14ac:dyDescent="0.25">
      <c r="A55" s="95" t="s">
        <v>180</v>
      </c>
      <c r="B55" s="80">
        <v>9</v>
      </c>
      <c r="C55" s="80">
        <v>9</v>
      </c>
      <c r="D55" s="80">
        <v>9</v>
      </c>
      <c r="E55" s="80">
        <v>9</v>
      </c>
      <c r="F55" s="80">
        <v>9</v>
      </c>
      <c r="G55" s="80">
        <v>9</v>
      </c>
      <c r="H55" s="80">
        <v>9</v>
      </c>
      <c r="I55" s="80">
        <v>9</v>
      </c>
      <c r="J55" s="80">
        <v>9</v>
      </c>
      <c r="K55" s="80">
        <v>9</v>
      </c>
      <c r="L55" s="80">
        <v>9</v>
      </c>
      <c r="M55" s="80">
        <v>9</v>
      </c>
      <c r="N55" s="80">
        <v>9</v>
      </c>
      <c r="O55" s="80">
        <v>9</v>
      </c>
      <c r="P55" s="80">
        <v>9</v>
      </c>
      <c r="Q55" s="80">
        <v>9</v>
      </c>
      <c r="R55" s="80">
        <v>9</v>
      </c>
      <c r="S55" s="80">
        <v>9</v>
      </c>
      <c r="T55" s="80">
        <v>9</v>
      </c>
      <c r="U55" s="80">
        <v>9</v>
      </c>
      <c r="V55" s="80">
        <v>9</v>
      </c>
      <c r="W55" s="80">
        <v>9</v>
      </c>
      <c r="X55" s="80">
        <v>9</v>
      </c>
      <c r="Y55" s="80">
        <v>9</v>
      </c>
      <c r="Z55" s="80">
        <v>9</v>
      </c>
      <c r="AA55" s="80">
        <v>9</v>
      </c>
      <c r="AB55" s="80">
        <v>9</v>
      </c>
      <c r="AC55" s="80">
        <v>9</v>
      </c>
      <c r="AD55" s="80">
        <v>9</v>
      </c>
      <c r="AE55" s="80">
        <v>9</v>
      </c>
      <c r="AF55" s="80">
        <v>9</v>
      </c>
      <c r="AG55" s="94">
        <v>10.050000000000001</v>
      </c>
      <c r="AH55" s="20">
        <f t="shared" si="2"/>
        <v>9</v>
      </c>
      <c r="AI55" s="19">
        <f t="shared" si="3"/>
        <v>9</v>
      </c>
      <c r="AK55" s="41"/>
    </row>
    <row r="56" spans="1:41" x14ac:dyDescent="0.25">
      <c r="A56" s="95" t="s">
        <v>179</v>
      </c>
      <c r="B56" s="80">
        <v>6.2</v>
      </c>
      <c r="C56" s="80">
        <v>6.2</v>
      </c>
      <c r="D56" s="80">
        <v>6.2</v>
      </c>
      <c r="E56" s="80">
        <v>3</v>
      </c>
      <c r="F56" s="80">
        <v>3</v>
      </c>
      <c r="G56" s="80">
        <v>3</v>
      </c>
      <c r="H56" s="80">
        <v>3</v>
      </c>
      <c r="I56" s="80">
        <v>3</v>
      </c>
      <c r="J56" s="80">
        <v>3</v>
      </c>
      <c r="K56" s="80">
        <v>3</v>
      </c>
      <c r="L56" s="80">
        <v>3</v>
      </c>
      <c r="M56" s="80">
        <v>3</v>
      </c>
      <c r="N56" s="80">
        <v>3</v>
      </c>
      <c r="O56" s="80">
        <v>3</v>
      </c>
      <c r="P56" s="80">
        <v>3</v>
      </c>
      <c r="Q56" s="80">
        <v>3</v>
      </c>
      <c r="R56" s="80">
        <v>3</v>
      </c>
      <c r="S56" s="80">
        <v>3</v>
      </c>
      <c r="T56" s="80">
        <v>3</v>
      </c>
      <c r="U56" s="80">
        <v>3</v>
      </c>
      <c r="V56" s="80">
        <v>3</v>
      </c>
      <c r="W56" s="80">
        <v>3</v>
      </c>
      <c r="X56" s="80">
        <v>3</v>
      </c>
      <c r="Y56" s="80">
        <v>3</v>
      </c>
      <c r="Z56" s="80">
        <v>3</v>
      </c>
      <c r="AA56" s="80">
        <v>3</v>
      </c>
      <c r="AB56" s="80">
        <v>3</v>
      </c>
      <c r="AC56" s="80">
        <v>3</v>
      </c>
      <c r="AD56" s="80">
        <v>3</v>
      </c>
      <c r="AE56" s="80">
        <v>3</v>
      </c>
      <c r="AF56" s="80">
        <v>3</v>
      </c>
      <c r="AG56" s="94">
        <v>6.2</v>
      </c>
      <c r="AH56" s="20">
        <f t="shared" si="2"/>
        <v>6.2</v>
      </c>
      <c r="AI56" s="19">
        <f t="shared" si="3"/>
        <v>3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>SUM(B45:B57)</f>
        <v>424.24</v>
      </c>
      <c r="C58" s="86">
        <f t="shared" ref="C58:AG58" si="6">SUM(C45:C57)</f>
        <v>420.34</v>
      </c>
      <c r="D58" s="86">
        <f t="shared" si="6"/>
        <v>410.34</v>
      </c>
      <c r="E58" s="86">
        <f t="shared" si="6"/>
        <v>370.54</v>
      </c>
      <c r="F58" s="86">
        <f t="shared" si="6"/>
        <v>381.84000000000003</v>
      </c>
      <c r="G58" s="86">
        <f t="shared" si="6"/>
        <v>354.94</v>
      </c>
      <c r="H58" s="86">
        <f t="shared" si="6"/>
        <v>355.84000000000003</v>
      </c>
      <c r="I58" s="86">
        <f t="shared" si="6"/>
        <v>349.24</v>
      </c>
      <c r="J58" s="86">
        <f t="shared" si="6"/>
        <v>356.34000000000003</v>
      </c>
      <c r="K58" s="86">
        <f t="shared" si="6"/>
        <v>355.64000000000004</v>
      </c>
      <c r="L58" s="86">
        <f t="shared" si="6"/>
        <v>353.84000000000003</v>
      </c>
      <c r="M58" s="86">
        <f t="shared" si="6"/>
        <v>358.14</v>
      </c>
      <c r="N58" s="86">
        <f t="shared" si="6"/>
        <v>363.14</v>
      </c>
      <c r="O58" s="86">
        <f t="shared" si="6"/>
        <v>374.24</v>
      </c>
      <c r="P58" s="86">
        <f t="shared" si="6"/>
        <v>378.14</v>
      </c>
      <c r="Q58" s="86">
        <f t="shared" si="6"/>
        <v>377.04</v>
      </c>
      <c r="R58" s="86">
        <f t="shared" si="6"/>
        <v>377.04</v>
      </c>
      <c r="S58" s="86">
        <f t="shared" si="6"/>
        <v>371.64000000000004</v>
      </c>
      <c r="T58" s="86">
        <f t="shared" si="6"/>
        <v>371.64000000000004</v>
      </c>
      <c r="U58" s="86">
        <f t="shared" si="6"/>
        <v>371.64000000000004</v>
      </c>
      <c r="V58" s="86">
        <f t="shared" si="6"/>
        <v>376.04</v>
      </c>
      <c r="W58" s="86">
        <f t="shared" si="6"/>
        <v>376.04</v>
      </c>
      <c r="X58" s="86">
        <f t="shared" si="6"/>
        <v>376.04</v>
      </c>
      <c r="Y58" s="86">
        <f t="shared" si="6"/>
        <v>423.04</v>
      </c>
      <c r="Z58" s="86">
        <f t="shared" si="6"/>
        <v>423.04</v>
      </c>
      <c r="AA58" s="86">
        <f t="shared" si="6"/>
        <v>422.04</v>
      </c>
      <c r="AB58" s="86">
        <f t="shared" si="6"/>
        <v>426.04</v>
      </c>
      <c r="AC58" s="86">
        <f t="shared" si="6"/>
        <v>426.04</v>
      </c>
      <c r="AD58" s="86">
        <f t="shared" si="6"/>
        <v>426.04</v>
      </c>
      <c r="AE58" s="86">
        <f t="shared" si="6"/>
        <v>426.04</v>
      </c>
      <c r="AF58" s="86">
        <f t="shared" si="6"/>
        <v>416.94</v>
      </c>
      <c r="AG58" s="101">
        <f t="shared" si="6"/>
        <v>489.91</v>
      </c>
      <c r="AH58" s="20">
        <f t="shared" si="2"/>
        <v>426.04</v>
      </c>
      <c r="AI58" s="19">
        <f t="shared" si="3"/>
        <v>349.24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>
        <v>0</v>
      </c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>
        <v>34.799999999999997</v>
      </c>
      <c r="Z59" s="105">
        <v>0</v>
      </c>
      <c r="AA59" s="105">
        <v>0</v>
      </c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34.799999999999997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15.7</v>
      </c>
      <c r="Z60" s="80">
        <v>5.38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15.7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07">
        <v>0</v>
      </c>
      <c r="Y61" s="107">
        <v>5.7</v>
      </c>
      <c r="Z61" s="107">
        <v>2</v>
      </c>
      <c r="AA61" s="107">
        <v>0</v>
      </c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5.7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>SUM(B59:B61)</f>
        <v>0</v>
      </c>
      <c r="C62" s="86">
        <f t="shared" ref="C62:AG62" si="7">SUM(C59:C61)</f>
        <v>0</v>
      </c>
      <c r="D62" s="86">
        <f t="shared" si="7"/>
        <v>0</v>
      </c>
      <c r="E62" s="86">
        <f t="shared" si="7"/>
        <v>0</v>
      </c>
      <c r="F62" s="86">
        <f t="shared" si="7"/>
        <v>0</v>
      </c>
      <c r="G62" s="86">
        <f t="shared" si="7"/>
        <v>0</v>
      </c>
      <c r="H62" s="86">
        <f t="shared" si="7"/>
        <v>0</v>
      </c>
      <c r="I62" s="86">
        <f t="shared" si="7"/>
        <v>0</v>
      </c>
      <c r="J62" s="86">
        <f t="shared" si="7"/>
        <v>0</v>
      </c>
      <c r="K62" s="86">
        <f t="shared" si="7"/>
        <v>0</v>
      </c>
      <c r="L62" s="86">
        <f t="shared" si="7"/>
        <v>0</v>
      </c>
      <c r="M62" s="86">
        <f t="shared" si="7"/>
        <v>0</v>
      </c>
      <c r="N62" s="86">
        <f t="shared" si="7"/>
        <v>0</v>
      </c>
      <c r="O62" s="86">
        <f t="shared" si="7"/>
        <v>0</v>
      </c>
      <c r="P62" s="86">
        <f t="shared" si="7"/>
        <v>0</v>
      </c>
      <c r="Q62" s="86">
        <f t="shared" si="7"/>
        <v>0</v>
      </c>
      <c r="R62" s="86">
        <f t="shared" si="7"/>
        <v>0</v>
      </c>
      <c r="S62" s="86">
        <f t="shared" si="7"/>
        <v>0</v>
      </c>
      <c r="T62" s="86">
        <f t="shared" si="7"/>
        <v>0</v>
      </c>
      <c r="U62" s="86">
        <f t="shared" si="7"/>
        <v>0</v>
      </c>
      <c r="V62" s="86">
        <f t="shared" si="7"/>
        <v>0</v>
      </c>
      <c r="W62" s="86">
        <f t="shared" si="7"/>
        <v>0</v>
      </c>
      <c r="X62" s="86">
        <f t="shared" si="7"/>
        <v>0</v>
      </c>
      <c r="Y62" s="86">
        <f t="shared" si="7"/>
        <v>56.2</v>
      </c>
      <c r="Z62" s="86">
        <f t="shared" si="7"/>
        <v>7.38</v>
      </c>
      <c r="AA62" s="86">
        <f t="shared" si="7"/>
        <v>0</v>
      </c>
      <c r="AB62" s="86">
        <f t="shared" si="7"/>
        <v>0</v>
      </c>
      <c r="AC62" s="86">
        <f t="shared" si="7"/>
        <v>0</v>
      </c>
      <c r="AD62" s="86">
        <f t="shared" si="7"/>
        <v>0</v>
      </c>
      <c r="AE62" s="86">
        <f t="shared" si="7"/>
        <v>0</v>
      </c>
      <c r="AF62" s="86">
        <f t="shared" si="7"/>
        <v>0</v>
      </c>
      <c r="AG62" s="101">
        <f t="shared" si="7"/>
        <v>106</v>
      </c>
      <c r="AH62" s="20">
        <f t="shared" si="2"/>
        <v>56.2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>
        <v>0</v>
      </c>
      <c r="S63" s="105">
        <v>13.21</v>
      </c>
      <c r="T63" s="105">
        <v>15.5</v>
      </c>
      <c r="U63" s="105">
        <v>38</v>
      </c>
      <c r="V63" s="105">
        <v>15.7</v>
      </c>
      <c r="W63" s="105">
        <v>14.5</v>
      </c>
      <c r="X63" s="105">
        <v>46.1</v>
      </c>
      <c r="Y63" s="105">
        <v>54</v>
      </c>
      <c r="Z63" s="105">
        <v>67</v>
      </c>
      <c r="AA63" s="105">
        <v>68.3</v>
      </c>
      <c r="AB63" s="105">
        <v>32</v>
      </c>
      <c r="AC63" s="105">
        <v>33</v>
      </c>
      <c r="AD63" s="105">
        <v>33</v>
      </c>
      <c r="AE63" s="105">
        <v>5</v>
      </c>
      <c r="AF63" s="105">
        <v>4</v>
      </c>
      <c r="AG63" s="96"/>
      <c r="AH63" s="20">
        <f t="shared" si="2"/>
        <v>68.3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-390.3</v>
      </c>
      <c r="C65" s="80">
        <v>-422.8</v>
      </c>
      <c r="D65" s="80">
        <v>-427.6</v>
      </c>
      <c r="E65" s="80">
        <v>-423.3</v>
      </c>
      <c r="F65" s="80">
        <v>-440</v>
      </c>
      <c r="G65" s="80">
        <v>-380</v>
      </c>
      <c r="H65" s="80">
        <v>-399</v>
      </c>
      <c r="I65" s="80">
        <v>-396</v>
      </c>
      <c r="J65" s="80">
        <v>-403</v>
      </c>
      <c r="K65" s="80">
        <v>-365</v>
      </c>
      <c r="L65" s="80">
        <v>-360</v>
      </c>
      <c r="M65" s="80">
        <v>-327</v>
      </c>
      <c r="N65" s="80">
        <v>-359</v>
      </c>
      <c r="O65" s="80">
        <v>-364</v>
      </c>
      <c r="P65" s="80">
        <v>-366.6</v>
      </c>
      <c r="Q65" s="80">
        <v>-359</v>
      </c>
      <c r="R65" s="80">
        <v>-363.3</v>
      </c>
      <c r="S65" s="80">
        <v>-385</v>
      </c>
      <c r="T65" s="80">
        <v>-347</v>
      </c>
      <c r="U65" s="80">
        <v>-375</v>
      </c>
      <c r="V65" s="80">
        <v>-332</v>
      </c>
      <c r="W65" s="80">
        <v>-348</v>
      </c>
      <c r="X65" s="80">
        <v>-348.1</v>
      </c>
      <c r="Y65" s="80">
        <v>-300</v>
      </c>
      <c r="Z65" s="80">
        <v>-249</v>
      </c>
      <c r="AA65" s="80">
        <v>-303.2</v>
      </c>
      <c r="AB65" s="80">
        <v>-330</v>
      </c>
      <c r="AC65" s="80">
        <v>-343</v>
      </c>
      <c r="AD65" s="80">
        <v>-360</v>
      </c>
      <c r="AE65" s="80">
        <v>-400</v>
      </c>
      <c r="AF65" s="80">
        <v>-423</v>
      </c>
      <c r="AG65" s="102"/>
      <c r="AH65" s="20">
        <f t="shared" si="2"/>
        <v>-249</v>
      </c>
      <c r="AI65" s="19">
        <f t="shared" si="3"/>
        <v>-440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6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6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>SUMIF(B63:B73,"&gt;0")</f>
        <v>0</v>
      </c>
      <c r="C74" s="86">
        <f t="shared" ref="C74:AF74" si="8">SUMIF(C63:C73,"&gt;0")</f>
        <v>0</v>
      </c>
      <c r="D74" s="86">
        <f t="shared" si="8"/>
        <v>0</v>
      </c>
      <c r="E74" s="86">
        <f t="shared" si="8"/>
        <v>0</v>
      </c>
      <c r="F74" s="86">
        <f t="shared" si="8"/>
        <v>0</v>
      </c>
      <c r="G74" s="86">
        <f t="shared" si="8"/>
        <v>0</v>
      </c>
      <c r="H74" s="86">
        <f t="shared" si="8"/>
        <v>0</v>
      </c>
      <c r="I74" s="86">
        <f t="shared" si="8"/>
        <v>0</v>
      </c>
      <c r="J74" s="86">
        <f t="shared" si="8"/>
        <v>0</v>
      </c>
      <c r="K74" s="86">
        <f t="shared" si="8"/>
        <v>0</v>
      </c>
      <c r="L74" s="86">
        <f t="shared" si="8"/>
        <v>0</v>
      </c>
      <c r="M74" s="86">
        <f t="shared" si="8"/>
        <v>0</v>
      </c>
      <c r="N74" s="86">
        <f t="shared" si="8"/>
        <v>6</v>
      </c>
      <c r="O74" s="86">
        <f t="shared" si="8"/>
        <v>0</v>
      </c>
      <c r="P74" s="86">
        <f t="shared" si="8"/>
        <v>0</v>
      </c>
      <c r="Q74" s="86">
        <f t="shared" si="8"/>
        <v>0</v>
      </c>
      <c r="R74" s="86">
        <f t="shared" si="8"/>
        <v>0</v>
      </c>
      <c r="S74" s="86">
        <f t="shared" si="8"/>
        <v>13.21</v>
      </c>
      <c r="T74" s="86">
        <f t="shared" si="8"/>
        <v>15.5</v>
      </c>
      <c r="U74" s="86">
        <f t="shared" si="8"/>
        <v>38</v>
      </c>
      <c r="V74" s="86">
        <f t="shared" si="8"/>
        <v>15.7</v>
      </c>
      <c r="W74" s="86">
        <f t="shared" si="8"/>
        <v>14.5</v>
      </c>
      <c r="X74" s="86">
        <f t="shared" si="8"/>
        <v>46.1</v>
      </c>
      <c r="Y74" s="86">
        <f t="shared" si="8"/>
        <v>54</v>
      </c>
      <c r="Z74" s="86">
        <f t="shared" si="8"/>
        <v>67</v>
      </c>
      <c r="AA74" s="86">
        <f t="shared" si="8"/>
        <v>68.3</v>
      </c>
      <c r="AB74" s="86">
        <f t="shared" si="8"/>
        <v>32</v>
      </c>
      <c r="AC74" s="86">
        <f t="shared" si="8"/>
        <v>33</v>
      </c>
      <c r="AD74" s="86">
        <f t="shared" si="8"/>
        <v>33</v>
      </c>
      <c r="AE74" s="86">
        <f t="shared" si="8"/>
        <v>5</v>
      </c>
      <c r="AF74" s="86">
        <f t="shared" si="8"/>
        <v>4</v>
      </c>
      <c r="AG74" s="85">
        <f>SUM(AG63:AG73)</f>
        <v>0</v>
      </c>
      <c r="AH74" s="20">
        <f t="shared" si="2"/>
        <v>68.3</v>
      </c>
      <c r="AI74" s="19">
        <f t="shared" si="3"/>
        <v>0</v>
      </c>
      <c r="AK74" s="41"/>
    </row>
    <row r="75" spans="1:37" x14ac:dyDescent="0.25">
      <c r="A75" s="97" t="s">
        <v>164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>
        <v>0</v>
      </c>
      <c r="N76" s="103">
        <v>0</v>
      </c>
      <c r="O76" s="103">
        <v>0</v>
      </c>
      <c r="P76" s="103">
        <v>0</v>
      </c>
      <c r="Q76" s="103">
        <v>0</v>
      </c>
      <c r="R76" s="103">
        <v>0</v>
      </c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2">
        <v>14.4</v>
      </c>
      <c r="AH76" s="20">
        <f t="shared" si="2"/>
        <v>0</v>
      </c>
      <c r="AI76" s="19">
        <f t="shared" si="3"/>
        <v>0</v>
      </c>
      <c r="AK76" s="41"/>
    </row>
    <row r="77" spans="1:37" ht="15.75" thickBot="1" x14ac:dyDescent="0.3">
      <c r="A77" s="91" t="s">
        <v>162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89">
        <v>2</v>
      </c>
      <c r="AH77" s="20">
        <f t="shared" ref="AH77:AH109" si="9">MAX(B77:AF77)</f>
        <v>0</v>
      </c>
      <c r="AI77" s="19">
        <f t="shared" ref="AI77:AI109" si="10">MIN(B77:AF77)</f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9"/>
        <v>0</v>
      </c>
      <c r="AI78" s="19">
        <f t="shared" si="10"/>
        <v>0</v>
      </c>
    </row>
    <row r="79" spans="1:37" ht="15.75" thickBot="1" x14ac:dyDescent="0.3">
      <c r="A79" s="87" t="s">
        <v>160</v>
      </c>
      <c r="B79" s="98">
        <f>B40+B44+B62+B58+B74+B78</f>
        <v>1741.04</v>
      </c>
      <c r="C79" s="98">
        <f t="shared" ref="C79:AG79" si="11">C40+C44+C62+C58+C74+C78</f>
        <v>1716.6399999999999</v>
      </c>
      <c r="D79" s="98">
        <f t="shared" si="11"/>
        <v>1706.6399999999999</v>
      </c>
      <c r="E79" s="98">
        <f t="shared" si="11"/>
        <v>1666.84</v>
      </c>
      <c r="F79" s="98">
        <f t="shared" si="11"/>
        <v>1678.1399999999999</v>
      </c>
      <c r="G79" s="98">
        <f t="shared" si="11"/>
        <v>1651.24</v>
      </c>
      <c r="H79" s="98">
        <f t="shared" si="11"/>
        <v>1673.1399999999999</v>
      </c>
      <c r="I79" s="98">
        <f t="shared" si="11"/>
        <v>1668.54</v>
      </c>
      <c r="J79" s="98">
        <f t="shared" si="11"/>
        <v>1693.6399999999999</v>
      </c>
      <c r="K79" s="98">
        <f t="shared" si="11"/>
        <v>1704.94</v>
      </c>
      <c r="L79" s="98">
        <f t="shared" si="11"/>
        <v>1703.1399999999999</v>
      </c>
      <c r="M79" s="98">
        <f t="shared" si="11"/>
        <v>1725.6399999999999</v>
      </c>
      <c r="N79" s="98">
        <f t="shared" si="11"/>
        <v>1736.6399999999999</v>
      </c>
      <c r="O79" s="98">
        <f t="shared" si="11"/>
        <v>1763.74</v>
      </c>
      <c r="P79" s="98">
        <f t="shared" si="11"/>
        <v>1745.2399999999998</v>
      </c>
      <c r="Q79" s="98">
        <f t="shared" si="11"/>
        <v>1741.94</v>
      </c>
      <c r="R79" s="98">
        <f t="shared" si="11"/>
        <v>1741.94</v>
      </c>
      <c r="S79" s="98">
        <f t="shared" si="11"/>
        <v>1744.7500000000002</v>
      </c>
      <c r="T79" s="98">
        <f t="shared" si="11"/>
        <v>1747.0400000000002</v>
      </c>
      <c r="U79" s="98">
        <f t="shared" si="11"/>
        <v>1773.5400000000002</v>
      </c>
      <c r="V79" s="98">
        <f t="shared" si="11"/>
        <v>1750.64</v>
      </c>
      <c r="W79" s="98">
        <f t="shared" si="11"/>
        <v>1758.44</v>
      </c>
      <c r="X79" s="98">
        <f t="shared" si="11"/>
        <v>1788.04</v>
      </c>
      <c r="Y79" s="98">
        <f t="shared" si="11"/>
        <v>1905.14</v>
      </c>
      <c r="Z79" s="98">
        <f t="shared" si="11"/>
        <v>1845.3200000000002</v>
      </c>
      <c r="AA79" s="98">
        <f t="shared" si="11"/>
        <v>1865.24</v>
      </c>
      <c r="AB79" s="98">
        <f t="shared" si="11"/>
        <v>1847.6399999999999</v>
      </c>
      <c r="AC79" s="98">
        <f t="shared" si="11"/>
        <v>1844.6399999999999</v>
      </c>
      <c r="AD79" s="98">
        <f t="shared" si="11"/>
        <v>1844.6399999999999</v>
      </c>
      <c r="AE79" s="98">
        <f t="shared" si="11"/>
        <v>1808.6399999999999</v>
      </c>
      <c r="AF79" s="98">
        <f t="shared" si="11"/>
        <v>1755.3400000000001</v>
      </c>
      <c r="AG79" s="101">
        <f t="shared" si="11"/>
        <v>1897.1900000000003</v>
      </c>
      <c r="AH79" s="20">
        <f t="shared" si="9"/>
        <v>1905.14</v>
      </c>
      <c r="AI79" s="19">
        <f t="shared" si="10"/>
        <v>1651.24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9"/>
        <v>0</v>
      </c>
      <c r="AI80" s="19">
        <f t="shared" si="10"/>
        <v>0</v>
      </c>
    </row>
    <row r="81" spans="1:37" ht="15.75" thickBot="1" x14ac:dyDescent="0.3">
      <c r="A81" s="87" t="s">
        <v>158</v>
      </c>
      <c r="B81" s="98">
        <f>B79+B80</f>
        <v>1741.04</v>
      </c>
      <c r="C81" s="98">
        <f t="shared" ref="C81:AF81" si="12">C79+C80</f>
        <v>1716.6399999999999</v>
      </c>
      <c r="D81" s="98">
        <f t="shared" si="12"/>
        <v>1706.6399999999999</v>
      </c>
      <c r="E81" s="98">
        <f t="shared" si="12"/>
        <v>1666.84</v>
      </c>
      <c r="F81" s="98">
        <f t="shared" si="12"/>
        <v>1678.1399999999999</v>
      </c>
      <c r="G81" s="98">
        <f t="shared" si="12"/>
        <v>1651.24</v>
      </c>
      <c r="H81" s="98">
        <f t="shared" si="12"/>
        <v>1673.1399999999999</v>
      </c>
      <c r="I81" s="98">
        <f t="shared" si="12"/>
        <v>1668.54</v>
      </c>
      <c r="J81" s="98">
        <f t="shared" si="12"/>
        <v>1693.6399999999999</v>
      </c>
      <c r="K81" s="98">
        <f t="shared" si="12"/>
        <v>1704.94</v>
      </c>
      <c r="L81" s="98">
        <f t="shared" si="12"/>
        <v>1703.1399999999999</v>
      </c>
      <c r="M81" s="98">
        <f t="shared" si="12"/>
        <v>1725.6399999999999</v>
      </c>
      <c r="N81" s="98">
        <f t="shared" si="12"/>
        <v>1736.6399999999999</v>
      </c>
      <c r="O81" s="98">
        <f t="shared" si="12"/>
        <v>1763.74</v>
      </c>
      <c r="P81" s="98">
        <f t="shared" si="12"/>
        <v>1745.2399999999998</v>
      </c>
      <c r="Q81" s="98">
        <f t="shared" si="12"/>
        <v>1741.94</v>
      </c>
      <c r="R81" s="98">
        <f t="shared" si="12"/>
        <v>1741.94</v>
      </c>
      <c r="S81" s="98">
        <f t="shared" si="12"/>
        <v>1744.7500000000002</v>
      </c>
      <c r="T81" s="98">
        <f t="shared" si="12"/>
        <v>1747.0400000000002</v>
      </c>
      <c r="U81" s="98">
        <f t="shared" si="12"/>
        <v>1773.5400000000002</v>
      </c>
      <c r="V81" s="98">
        <f t="shared" si="12"/>
        <v>1750.64</v>
      </c>
      <c r="W81" s="98">
        <f t="shared" si="12"/>
        <v>1758.44</v>
      </c>
      <c r="X81" s="98">
        <f t="shared" si="12"/>
        <v>1788.04</v>
      </c>
      <c r="Y81" s="98">
        <f t="shared" si="12"/>
        <v>1905.14</v>
      </c>
      <c r="Z81" s="98">
        <f t="shared" si="12"/>
        <v>1845.3200000000002</v>
      </c>
      <c r="AA81" s="98">
        <f t="shared" si="12"/>
        <v>1865.24</v>
      </c>
      <c r="AB81" s="98">
        <f t="shared" si="12"/>
        <v>1847.6399999999999</v>
      </c>
      <c r="AC81" s="98">
        <f t="shared" si="12"/>
        <v>1844.6399999999999</v>
      </c>
      <c r="AD81" s="98">
        <f t="shared" si="12"/>
        <v>1844.6399999999999</v>
      </c>
      <c r="AE81" s="98">
        <f t="shared" si="12"/>
        <v>1808.6399999999999</v>
      </c>
      <c r="AF81" s="98">
        <f t="shared" si="12"/>
        <v>1755.3400000000001</v>
      </c>
      <c r="AG81" s="85">
        <f>AG78+AG74+AG62+AG58+AG40+AG80</f>
        <v>1359.0900000000001</v>
      </c>
      <c r="AH81" s="20">
        <f t="shared" si="9"/>
        <v>1905.14</v>
      </c>
      <c r="AI81" s="19">
        <f t="shared" si="10"/>
        <v>1651.24</v>
      </c>
    </row>
    <row r="82" spans="1:37" ht="15.75" thickBot="1" x14ac:dyDescent="0.3">
      <c r="A82" s="87" t="s">
        <v>157</v>
      </c>
      <c r="B82" s="98">
        <f>B81-B89</f>
        <v>1350.74</v>
      </c>
      <c r="C82" s="98">
        <f t="shared" ref="C82:AF82" si="13">C81-C89</f>
        <v>1293.8399999999999</v>
      </c>
      <c r="D82" s="98">
        <f t="shared" si="13"/>
        <v>1279.04</v>
      </c>
      <c r="E82" s="98">
        <f t="shared" si="13"/>
        <v>1243.54</v>
      </c>
      <c r="F82" s="98">
        <f t="shared" si="13"/>
        <v>1238.1399999999999</v>
      </c>
      <c r="G82" s="98">
        <f t="shared" si="13"/>
        <v>1271.24</v>
      </c>
      <c r="H82" s="98">
        <f t="shared" si="13"/>
        <v>1274.1399999999999</v>
      </c>
      <c r="I82" s="98">
        <f t="shared" si="13"/>
        <v>1272.54</v>
      </c>
      <c r="J82" s="98">
        <f t="shared" si="13"/>
        <v>1290.6399999999999</v>
      </c>
      <c r="K82" s="98">
        <f t="shared" si="13"/>
        <v>1339.94</v>
      </c>
      <c r="L82" s="98">
        <f t="shared" si="13"/>
        <v>1343.1399999999999</v>
      </c>
      <c r="M82" s="98">
        <f t="shared" si="13"/>
        <v>1398.6399999999999</v>
      </c>
      <c r="N82" s="98">
        <f t="shared" si="13"/>
        <v>1377.6399999999999</v>
      </c>
      <c r="O82" s="98">
        <f t="shared" si="13"/>
        <v>1399.74</v>
      </c>
      <c r="P82" s="98">
        <f t="shared" si="13"/>
        <v>1378.6399999999999</v>
      </c>
      <c r="Q82" s="98">
        <f t="shared" si="13"/>
        <v>1382.94</v>
      </c>
      <c r="R82" s="98">
        <f t="shared" si="13"/>
        <v>1378.64</v>
      </c>
      <c r="S82" s="98">
        <f t="shared" si="13"/>
        <v>1359.7500000000002</v>
      </c>
      <c r="T82" s="98">
        <f t="shared" si="13"/>
        <v>1400.0400000000002</v>
      </c>
      <c r="U82" s="98">
        <f t="shared" si="13"/>
        <v>1398.5400000000002</v>
      </c>
      <c r="V82" s="98">
        <f t="shared" si="13"/>
        <v>1418.64</v>
      </c>
      <c r="W82" s="98">
        <f t="shared" si="13"/>
        <v>1410.44</v>
      </c>
      <c r="X82" s="98">
        <f t="shared" si="13"/>
        <v>1439.94</v>
      </c>
      <c r="Y82" s="98">
        <f t="shared" si="13"/>
        <v>1605.14</v>
      </c>
      <c r="Z82" s="98">
        <f t="shared" si="13"/>
        <v>1596.3200000000002</v>
      </c>
      <c r="AA82" s="98">
        <f t="shared" si="13"/>
        <v>1562.04</v>
      </c>
      <c r="AB82" s="98">
        <f t="shared" si="13"/>
        <v>1517.6399999999999</v>
      </c>
      <c r="AC82" s="98">
        <f t="shared" si="13"/>
        <v>1501.6399999999999</v>
      </c>
      <c r="AD82" s="98">
        <f t="shared" si="13"/>
        <v>1484.6399999999999</v>
      </c>
      <c r="AE82" s="98">
        <f t="shared" si="13"/>
        <v>1408.6399999999999</v>
      </c>
      <c r="AF82" s="98">
        <f t="shared" si="13"/>
        <v>1332.3400000000001</v>
      </c>
      <c r="AG82" s="85"/>
      <c r="AH82" s="20">
        <f t="shared" si="9"/>
        <v>1605.14</v>
      </c>
      <c r="AI82" s="19">
        <f t="shared" si="10"/>
        <v>1238.1399999999999</v>
      </c>
    </row>
    <row r="83" spans="1:37" x14ac:dyDescent="0.25">
      <c r="A83" s="97" t="s">
        <v>156</v>
      </c>
      <c r="B83" s="93">
        <f>IF(B66&lt;0,B66*-1,0)</f>
        <v>0</v>
      </c>
      <c r="C83" s="93">
        <f t="shared" ref="C83:AF83" si="14">IF(C66&lt;0,C66*-1,0)</f>
        <v>0</v>
      </c>
      <c r="D83" s="93">
        <f t="shared" si="14"/>
        <v>0</v>
      </c>
      <c r="E83" s="93">
        <f t="shared" si="14"/>
        <v>0</v>
      </c>
      <c r="F83" s="93">
        <f t="shared" si="14"/>
        <v>0</v>
      </c>
      <c r="G83" s="93">
        <f t="shared" si="14"/>
        <v>0</v>
      </c>
      <c r="H83" s="93">
        <f t="shared" si="14"/>
        <v>0</v>
      </c>
      <c r="I83" s="93">
        <f t="shared" si="14"/>
        <v>0</v>
      </c>
      <c r="J83" s="93">
        <f t="shared" si="14"/>
        <v>0</v>
      </c>
      <c r="K83" s="93">
        <f t="shared" si="14"/>
        <v>0</v>
      </c>
      <c r="L83" s="93">
        <f t="shared" si="14"/>
        <v>0</v>
      </c>
      <c r="M83" s="93">
        <f t="shared" si="14"/>
        <v>0</v>
      </c>
      <c r="N83" s="93">
        <f t="shared" si="14"/>
        <v>0</v>
      </c>
      <c r="O83" s="93">
        <f t="shared" si="14"/>
        <v>0</v>
      </c>
      <c r="P83" s="93">
        <f t="shared" si="14"/>
        <v>0</v>
      </c>
      <c r="Q83" s="93">
        <f t="shared" si="14"/>
        <v>0</v>
      </c>
      <c r="R83" s="93">
        <f t="shared" si="14"/>
        <v>0</v>
      </c>
      <c r="S83" s="93">
        <f t="shared" si="14"/>
        <v>0</v>
      </c>
      <c r="T83" s="93">
        <f t="shared" si="14"/>
        <v>0</v>
      </c>
      <c r="U83" s="93">
        <f t="shared" si="14"/>
        <v>0</v>
      </c>
      <c r="V83" s="93">
        <f t="shared" si="14"/>
        <v>0</v>
      </c>
      <c r="W83" s="93">
        <f t="shared" si="14"/>
        <v>0</v>
      </c>
      <c r="X83" s="93">
        <f t="shared" si="14"/>
        <v>0</v>
      </c>
      <c r="Y83" s="93">
        <f t="shared" si="14"/>
        <v>0</v>
      </c>
      <c r="Z83" s="93">
        <f t="shared" si="14"/>
        <v>0</v>
      </c>
      <c r="AA83" s="93">
        <f t="shared" si="14"/>
        <v>0</v>
      </c>
      <c r="AB83" s="93">
        <f t="shared" si="14"/>
        <v>0</v>
      </c>
      <c r="AC83" s="93">
        <f t="shared" si="14"/>
        <v>0</v>
      </c>
      <c r="AD83" s="93">
        <f t="shared" si="14"/>
        <v>0</v>
      </c>
      <c r="AE83" s="93">
        <f t="shared" si="14"/>
        <v>0</v>
      </c>
      <c r="AF83" s="93">
        <f t="shared" si="14"/>
        <v>0</v>
      </c>
      <c r="AG83" s="96"/>
      <c r="AH83" s="20">
        <f t="shared" si="9"/>
        <v>0</v>
      </c>
      <c r="AI83" s="19">
        <f t="shared" si="10"/>
        <v>0</v>
      </c>
    </row>
    <row r="84" spans="1:37" x14ac:dyDescent="0.25">
      <c r="A84" s="95" t="s">
        <v>155</v>
      </c>
      <c r="B84" s="93">
        <f>IF(B64&lt;0,B64*-1,0)</f>
        <v>0</v>
      </c>
      <c r="C84" s="93">
        <f t="shared" ref="C84:AF84" si="15">IF(C64&lt;0,C64*-1,0)</f>
        <v>0</v>
      </c>
      <c r="D84" s="93">
        <f t="shared" si="15"/>
        <v>0</v>
      </c>
      <c r="E84" s="93">
        <f t="shared" si="15"/>
        <v>0</v>
      </c>
      <c r="F84" s="93">
        <f t="shared" si="15"/>
        <v>0</v>
      </c>
      <c r="G84" s="93">
        <f t="shared" si="15"/>
        <v>0</v>
      </c>
      <c r="H84" s="93">
        <f t="shared" si="15"/>
        <v>0</v>
      </c>
      <c r="I84" s="93">
        <f t="shared" si="15"/>
        <v>0</v>
      </c>
      <c r="J84" s="93">
        <f t="shared" si="15"/>
        <v>0</v>
      </c>
      <c r="K84" s="93">
        <f t="shared" si="15"/>
        <v>0</v>
      </c>
      <c r="L84" s="93">
        <f t="shared" si="15"/>
        <v>0</v>
      </c>
      <c r="M84" s="93">
        <f t="shared" si="15"/>
        <v>0</v>
      </c>
      <c r="N84" s="93">
        <f t="shared" si="15"/>
        <v>0</v>
      </c>
      <c r="O84" s="93">
        <f t="shared" si="15"/>
        <v>0</v>
      </c>
      <c r="P84" s="93">
        <f t="shared" si="15"/>
        <v>0</v>
      </c>
      <c r="Q84" s="93">
        <f t="shared" si="15"/>
        <v>0</v>
      </c>
      <c r="R84" s="93">
        <f t="shared" si="15"/>
        <v>0</v>
      </c>
      <c r="S84" s="93">
        <f t="shared" si="15"/>
        <v>0</v>
      </c>
      <c r="T84" s="93">
        <f t="shared" si="15"/>
        <v>0</v>
      </c>
      <c r="U84" s="93">
        <f t="shared" si="15"/>
        <v>0</v>
      </c>
      <c r="V84" s="93">
        <f t="shared" si="15"/>
        <v>0</v>
      </c>
      <c r="W84" s="93">
        <f t="shared" si="15"/>
        <v>0</v>
      </c>
      <c r="X84" s="93">
        <f t="shared" si="15"/>
        <v>0</v>
      </c>
      <c r="Y84" s="93">
        <f t="shared" si="15"/>
        <v>0</v>
      </c>
      <c r="Z84" s="93">
        <f t="shared" si="15"/>
        <v>0</v>
      </c>
      <c r="AA84" s="93">
        <f t="shared" si="15"/>
        <v>0</v>
      </c>
      <c r="AB84" s="93">
        <f t="shared" si="15"/>
        <v>0</v>
      </c>
      <c r="AC84" s="93">
        <f t="shared" si="15"/>
        <v>0</v>
      </c>
      <c r="AD84" s="93">
        <f t="shared" si="15"/>
        <v>0</v>
      </c>
      <c r="AE84" s="93">
        <f t="shared" si="15"/>
        <v>0</v>
      </c>
      <c r="AF84" s="93">
        <f t="shared" si="15"/>
        <v>0</v>
      </c>
      <c r="AG84" s="94"/>
      <c r="AH84" s="20">
        <f t="shared" si="9"/>
        <v>0</v>
      </c>
      <c r="AI84" s="19">
        <f t="shared" si="10"/>
        <v>0</v>
      </c>
    </row>
    <row r="85" spans="1:37" x14ac:dyDescent="0.25">
      <c r="A85" s="91" t="s">
        <v>154</v>
      </c>
      <c r="B85" s="93">
        <f>IF(B67&lt;0,B67*-1,0)</f>
        <v>0</v>
      </c>
      <c r="C85" s="93">
        <f t="shared" ref="C85:AF85" si="16">IF(C67&lt;0,C67*-1,0)</f>
        <v>0</v>
      </c>
      <c r="D85" s="93">
        <f t="shared" si="16"/>
        <v>0</v>
      </c>
      <c r="E85" s="93">
        <f t="shared" si="16"/>
        <v>0</v>
      </c>
      <c r="F85" s="93">
        <f t="shared" si="16"/>
        <v>0</v>
      </c>
      <c r="G85" s="93">
        <f t="shared" si="16"/>
        <v>0</v>
      </c>
      <c r="H85" s="93">
        <f t="shared" si="16"/>
        <v>0</v>
      </c>
      <c r="I85" s="93">
        <f t="shared" si="16"/>
        <v>0</v>
      </c>
      <c r="J85" s="93">
        <f t="shared" si="16"/>
        <v>0</v>
      </c>
      <c r="K85" s="93">
        <f t="shared" si="16"/>
        <v>0</v>
      </c>
      <c r="L85" s="93">
        <f t="shared" si="16"/>
        <v>0</v>
      </c>
      <c r="M85" s="93">
        <f t="shared" si="16"/>
        <v>0</v>
      </c>
      <c r="N85" s="93">
        <f t="shared" si="16"/>
        <v>0</v>
      </c>
      <c r="O85" s="93">
        <f t="shared" si="16"/>
        <v>0</v>
      </c>
      <c r="P85" s="93">
        <f t="shared" si="16"/>
        <v>0</v>
      </c>
      <c r="Q85" s="93">
        <f t="shared" si="16"/>
        <v>0</v>
      </c>
      <c r="R85" s="93">
        <f t="shared" si="16"/>
        <v>0</v>
      </c>
      <c r="S85" s="93">
        <f t="shared" si="16"/>
        <v>0</v>
      </c>
      <c r="T85" s="93">
        <f t="shared" si="16"/>
        <v>0</v>
      </c>
      <c r="U85" s="93">
        <f t="shared" si="16"/>
        <v>0</v>
      </c>
      <c r="V85" s="93">
        <f t="shared" si="16"/>
        <v>0</v>
      </c>
      <c r="W85" s="93">
        <f t="shared" si="16"/>
        <v>0</v>
      </c>
      <c r="X85" s="93">
        <f t="shared" si="16"/>
        <v>0</v>
      </c>
      <c r="Y85" s="93">
        <f t="shared" si="16"/>
        <v>0</v>
      </c>
      <c r="Z85" s="93">
        <f t="shared" si="16"/>
        <v>0</v>
      </c>
      <c r="AA85" s="93">
        <f t="shared" si="16"/>
        <v>0</v>
      </c>
      <c r="AB85" s="93">
        <f t="shared" si="16"/>
        <v>0</v>
      </c>
      <c r="AC85" s="93">
        <f t="shared" si="16"/>
        <v>0</v>
      </c>
      <c r="AD85" s="93">
        <f t="shared" si="16"/>
        <v>0</v>
      </c>
      <c r="AE85" s="93">
        <f t="shared" si="16"/>
        <v>0</v>
      </c>
      <c r="AF85" s="93">
        <f t="shared" si="16"/>
        <v>0</v>
      </c>
      <c r="AG85" s="92"/>
      <c r="AH85" s="20">
        <f t="shared" si="9"/>
        <v>0</v>
      </c>
      <c r="AI85" s="19">
        <f t="shared" si="10"/>
        <v>0</v>
      </c>
    </row>
    <row r="86" spans="1:37" x14ac:dyDescent="0.25">
      <c r="A86" s="91" t="s">
        <v>153</v>
      </c>
      <c r="B86" s="93">
        <f>IF(B65&lt;0,B65*-1,0)</f>
        <v>390.3</v>
      </c>
      <c r="C86" s="93">
        <f t="shared" ref="C86:AF86" si="17">IF(C65&lt;0,C65*-1,0)</f>
        <v>422.8</v>
      </c>
      <c r="D86" s="93">
        <f t="shared" si="17"/>
        <v>427.6</v>
      </c>
      <c r="E86" s="93">
        <f t="shared" si="17"/>
        <v>423.3</v>
      </c>
      <c r="F86" s="93">
        <f t="shared" si="17"/>
        <v>440</v>
      </c>
      <c r="G86" s="93">
        <f t="shared" si="17"/>
        <v>380</v>
      </c>
      <c r="H86" s="93">
        <f t="shared" si="17"/>
        <v>399</v>
      </c>
      <c r="I86" s="93">
        <f t="shared" si="17"/>
        <v>396</v>
      </c>
      <c r="J86" s="93">
        <f t="shared" si="17"/>
        <v>403</v>
      </c>
      <c r="K86" s="93">
        <f t="shared" si="17"/>
        <v>365</v>
      </c>
      <c r="L86" s="93">
        <f t="shared" si="17"/>
        <v>360</v>
      </c>
      <c r="M86" s="93">
        <f t="shared" si="17"/>
        <v>327</v>
      </c>
      <c r="N86" s="93">
        <f t="shared" si="17"/>
        <v>359</v>
      </c>
      <c r="O86" s="93">
        <f t="shared" si="17"/>
        <v>364</v>
      </c>
      <c r="P86" s="93">
        <f t="shared" si="17"/>
        <v>366.6</v>
      </c>
      <c r="Q86" s="93">
        <f t="shared" si="17"/>
        <v>359</v>
      </c>
      <c r="R86" s="93">
        <f t="shared" si="17"/>
        <v>363.3</v>
      </c>
      <c r="S86" s="93">
        <f t="shared" si="17"/>
        <v>385</v>
      </c>
      <c r="T86" s="93">
        <f t="shared" si="17"/>
        <v>347</v>
      </c>
      <c r="U86" s="93">
        <f t="shared" si="17"/>
        <v>375</v>
      </c>
      <c r="V86" s="93">
        <f t="shared" si="17"/>
        <v>332</v>
      </c>
      <c r="W86" s="93">
        <f t="shared" si="17"/>
        <v>348</v>
      </c>
      <c r="X86" s="93">
        <f t="shared" si="17"/>
        <v>348.1</v>
      </c>
      <c r="Y86" s="93">
        <f t="shared" si="17"/>
        <v>300</v>
      </c>
      <c r="Z86" s="93">
        <f t="shared" si="17"/>
        <v>249</v>
      </c>
      <c r="AA86" s="93">
        <f t="shared" si="17"/>
        <v>303.2</v>
      </c>
      <c r="AB86" s="93">
        <f t="shared" si="17"/>
        <v>330</v>
      </c>
      <c r="AC86" s="93">
        <f t="shared" si="17"/>
        <v>343</v>
      </c>
      <c r="AD86" s="93">
        <f t="shared" si="17"/>
        <v>360</v>
      </c>
      <c r="AE86" s="93">
        <f t="shared" si="17"/>
        <v>400</v>
      </c>
      <c r="AF86" s="93">
        <f t="shared" si="17"/>
        <v>423</v>
      </c>
      <c r="AG86" s="92"/>
      <c r="AH86" s="20">
        <f t="shared" si="9"/>
        <v>440</v>
      </c>
      <c r="AI86" s="19">
        <f t="shared" si="10"/>
        <v>249</v>
      </c>
    </row>
    <row r="87" spans="1:37" x14ac:dyDescent="0.25">
      <c r="A87" s="91" t="s">
        <v>152</v>
      </c>
      <c r="B87" s="93">
        <f>IF(B63&lt;0,B63*-1,0)</f>
        <v>0</v>
      </c>
      <c r="C87" s="93">
        <f t="shared" ref="C87:AF87" si="18">IF(C63&lt;0,C63*-1,0)</f>
        <v>0</v>
      </c>
      <c r="D87" s="93">
        <f t="shared" si="18"/>
        <v>0</v>
      </c>
      <c r="E87" s="93">
        <f t="shared" si="18"/>
        <v>0</v>
      </c>
      <c r="F87" s="93">
        <f t="shared" si="18"/>
        <v>0</v>
      </c>
      <c r="G87" s="93">
        <f t="shared" si="18"/>
        <v>0</v>
      </c>
      <c r="H87" s="93">
        <f t="shared" si="18"/>
        <v>0</v>
      </c>
      <c r="I87" s="93">
        <f t="shared" si="18"/>
        <v>0</v>
      </c>
      <c r="J87" s="93">
        <f t="shared" si="18"/>
        <v>0</v>
      </c>
      <c r="K87" s="93">
        <f t="shared" si="18"/>
        <v>0</v>
      </c>
      <c r="L87" s="93">
        <f t="shared" si="18"/>
        <v>0</v>
      </c>
      <c r="M87" s="93">
        <f t="shared" si="18"/>
        <v>0</v>
      </c>
      <c r="N87" s="93">
        <f t="shared" si="18"/>
        <v>0</v>
      </c>
      <c r="O87" s="93">
        <f t="shared" si="18"/>
        <v>0</v>
      </c>
      <c r="P87" s="93">
        <f t="shared" si="18"/>
        <v>0</v>
      </c>
      <c r="Q87" s="93">
        <f t="shared" si="18"/>
        <v>0</v>
      </c>
      <c r="R87" s="93">
        <f t="shared" si="18"/>
        <v>0</v>
      </c>
      <c r="S87" s="93">
        <f t="shared" si="18"/>
        <v>0</v>
      </c>
      <c r="T87" s="93">
        <f t="shared" si="18"/>
        <v>0</v>
      </c>
      <c r="U87" s="93">
        <f t="shared" si="18"/>
        <v>0</v>
      </c>
      <c r="V87" s="93">
        <f t="shared" si="18"/>
        <v>0</v>
      </c>
      <c r="W87" s="93">
        <f t="shared" si="18"/>
        <v>0</v>
      </c>
      <c r="X87" s="93">
        <f t="shared" si="18"/>
        <v>0</v>
      </c>
      <c r="Y87" s="93">
        <f t="shared" si="18"/>
        <v>0</v>
      </c>
      <c r="Z87" s="93">
        <f t="shared" si="18"/>
        <v>0</v>
      </c>
      <c r="AA87" s="93">
        <f t="shared" si="18"/>
        <v>0</v>
      </c>
      <c r="AB87" s="93">
        <f t="shared" si="18"/>
        <v>0</v>
      </c>
      <c r="AC87" s="93">
        <f t="shared" si="18"/>
        <v>0</v>
      </c>
      <c r="AD87" s="93">
        <f t="shared" si="18"/>
        <v>0</v>
      </c>
      <c r="AE87" s="93">
        <f t="shared" si="18"/>
        <v>0</v>
      </c>
      <c r="AF87" s="93">
        <f t="shared" si="18"/>
        <v>0</v>
      </c>
      <c r="AG87" s="92"/>
      <c r="AH87" s="20">
        <f t="shared" si="9"/>
        <v>0</v>
      </c>
      <c r="AI87" s="19">
        <f t="shared" si="10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9"/>
        <v>0</v>
      </c>
      <c r="AI88" s="19">
        <f t="shared" si="10"/>
        <v>0</v>
      </c>
    </row>
    <row r="89" spans="1:37" ht="15.75" thickBot="1" x14ac:dyDescent="0.3">
      <c r="A89" s="88" t="s">
        <v>150</v>
      </c>
      <c r="B89" s="86">
        <f t="shared" ref="B89:AF89" si="19">SUM(B83:B88)</f>
        <v>390.3</v>
      </c>
      <c r="C89" s="86">
        <f t="shared" si="19"/>
        <v>422.8</v>
      </c>
      <c r="D89" s="86">
        <f t="shared" si="19"/>
        <v>427.6</v>
      </c>
      <c r="E89" s="86">
        <f t="shared" si="19"/>
        <v>423.3</v>
      </c>
      <c r="F89" s="86">
        <f t="shared" si="19"/>
        <v>440</v>
      </c>
      <c r="G89" s="86">
        <f t="shared" si="19"/>
        <v>380</v>
      </c>
      <c r="H89" s="86">
        <f t="shared" si="19"/>
        <v>399</v>
      </c>
      <c r="I89" s="86">
        <f t="shared" si="19"/>
        <v>396</v>
      </c>
      <c r="J89" s="86">
        <f t="shared" si="19"/>
        <v>403</v>
      </c>
      <c r="K89" s="86">
        <f t="shared" si="19"/>
        <v>365</v>
      </c>
      <c r="L89" s="86">
        <f t="shared" si="19"/>
        <v>360</v>
      </c>
      <c r="M89" s="86">
        <f t="shared" si="19"/>
        <v>327</v>
      </c>
      <c r="N89" s="86">
        <f t="shared" si="19"/>
        <v>359</v>
      </c>
      <c r="O89" s="86">
        <f t="shared" si="19"/>
        <v>364</v>
      </c>
      <c r="P89" s="86">
        <f t="shared" si="19"/>
        <v>366.6</v>
      </c>
      <c r="Q89" s="86">
        <f t="shared" si="19"/>
        <v>359</v>
      </c>
      <c r="R89" s="86">
        <f t="shared" si="19"/>
        <v>363.3</v>
      </c>
      <c r="S89" s="86">
        <f t="shared" si="19"/>
        <v>385</v>
      </c>
      <c r="T89" s="86">
        <f t="shared" si="19"/>
        <v>347</v>
      </c>
      <c r="U89" s="86">
        <f t="shared" si="19"/>
        <v>375</v>
      </c>
      <c r="V89" s="86">
        <f t="shared" si="19"/>
        <v>332</v>
      </c>
      <c r="W89" s="86">
        <f t="shared" si="19"/>
        <v>348</v>
      </c>
      <c r="X89" s="86">
        <f t="shared" si="19"/>
        <v>348.1</v>
      </c>
      <c r="Y89" s="86">
        <f t="shared" si="19"/>
        <v>300</v>
      </c>
      <c r="Z89" s="86">
        <f t="shared" si="19"/>
        <v>249</v>
      </c>
      <c r="AA89" s="86">
        <f t="shared" si="19"/>
        <v>303.2</v>
      </c>
      <c r="AB89" s="86">
        <f t="shared" si="19"/>
        <v>330</v>
      </c>
      <c r="AC89" s="86">
        <f t="shared" si="19"/>
        <v>343</v>
      </c>
      <c r="AD89" s="86">
        <f t="shared" si="19"/>
        <v>360</v>
      </c>
      <c r="AE89" s="86">
        <f t="shared" si="19"/>
        <v>400</v>
      </c>
      <c r="AF89" s="86">
        <f t="shared" si="19"/>
        <v>423</v>
      </c>
      <c r="AG89" s="85"/>
      <c r="AH89" s="20">
        <f t="shared" si="9"/>
        <v>440</v>
      </c>
      <c r="AI89" s="19">
        <f t="shared" si="10"/>
        <v>249</v>
      </c>
      <c r="AK89" s="41"/>
    </row>
    <row r="90" spans="1:37" ht="15.75" thickBot="1" x14ac:dyDescent="0.3">
      <c r="A90" s="87" t="s">
        <v>149</v>
      </c>
      <c r="B90" s="86">
        <f t="shared" ref="B90:AF90" si="20">B74-B89</f>
        <v>-390.3</v>
      </c>
      <c r="C90" s="86">
        <f t="shared" si="20"/>
        <v>-422.8</v>
      </c>
      <c r="D90" s="86">
        <f t="shared" si="20"/>
        <v>-427.6</v>
      </c>
      <c r="E90" s="86">
        <f t="shared" si="20"/>
        <v>-423.3</v>
      </c>
      <c r="F90" s="86">
        <f t="shared" si="20"/>
        <v>-440</v>
      </c>
      <c r="G90" s="86">
        <f t="shared" si="20"/>
        <v>-380</v>
      </c>
      <c r="H90" s="86">
        <f t="shared" si="20"/>
        <v>-399</v>
      </c>
      <c r="I90" s="86">
        <f t="shared" si="20"/>
        <v>-396</v>
      </c>
      <c r="J90" s="86">
        <f t="shared" si="20"/>
        <v>-403</v>
      </c>
      <c r="K90" s="86">
        <f t="shared" si="20"/>
        <v>-365</v>
      </c>
      <c r="L90" s="86">
        <f t="shared" si="20"/>
        <v>-360</v>
      </c>
      <c r="M90" s="86">
        <f t="shared" si="20"/>
        <v>-327</v>
      </c>
      <c r="N90" s="86">
        <f t="shared" si="20"/>
        <v>-353</v>
      </c>
      <c r="O90" s="86">
        <f t="shared" si="20"/>
        <v>-364</v>
      </c>
      <c r="P90" s="86">
        <f t="shared" si="20"/>
        <v>-366.6</v>
      </c>
      <c r="Q90" s="86">
        <f t="shared" si="20"/>
        <v>-359</v>
      </c>
      <c r="R90" s="86">
        <f t="shared" si="20"/>
        <v>-363.3</v>
      </c>
      <c r="S90" s="86">
        <f t="shared" si="20"/>
        <v>-371.79</v>
      </c>
      <c r="T90" s="86">
        <f t="shared" si="20"/>
        <v>-331.5</v>
      </c>
      <c r="U90" s="86">
        <f t="shared" si="20"/>
        <v>-337</v>
      </c>
      <c r="V90" s="86">
        <f t="shared" si="20"/>
        <v>-316.3</v>
      </c>
      <c r="W90" s="86">
        <f t="shared" si="20"/>
        <v>-333.5</v>
      </c>
      <c r="X90" s="86">
        <f t="shared" si="20"/>
        <v>-302</v>
      </c>
      <c r="Y90" s="86">
        <f t="shared" si="20"/>
        <v>-246</v>
      </c>
      <c r="Z90" s="86">
        <f t="shared" si="20"/>
        <v>-182</v>
      </c>
      <c r="AA90" s="86">
        <f t="shared" si="20"/>
        <v>-234.89999999999998</v>
      </c>
      <c r="AB90" s="86">
        <f t="shared" si="20"/>
        <v>-298</v>
      </c>
      <c r="AC90" s="86">
        <f t="shared" si="20"/>
        <v>-310</v>
      </c>
      <c r="AD90" s="86">
        <f t="shared" si="20"/>
        <v>-327</v>
      </c>
      <c r="AE90" s="86">
        <f t="shared" si="20"/>
        <v>-395</v>
      </c>
      <c r="AF90" s="86">
        <f t="shared" si="20"/>
        <v>-419</v>
      </c>
      <c r="AG90" s="85"/>
      <c r="AH90" s="20">
        <f t="shared" si="9"/>
        <v>-182</v>
      </c>
      <c r="AI90" s="19">
        <f t="shared" si="10"/>
        <v>-440</v>
      </c>
    </row>
    <row r="91" spans="1:37" x14ac:dyDescent="0.25">
      <c r="A91" s="47" t="s">
        <v>148</v>
      </c>
      <c r="B91" s="84">
        <v>50.055999999999997</v>
      </c>
      <c r="C91" s="84">
        <v>50.012</v>
      </c>
      <c r="D91" s="84">
        <v>50.02</v>
      </c>
      <c r="E91" s="84">
        <v>50.036999999999999</v>
      </c>
      <c r="F91" s="84">
        <v>50.012</v>
      </c>
      <c r="G91" s="84">
        <v>50.048999999999999</v>
      </c>
      <c r="H91" s="84">
        <v>50.03</v>
      </c>
      <c r="I91" s="84">
        <v>49.984999999999999</v>
      </c>
      <c r="J91" s="84">
        <v>49.966999999999999</v>
      </c>
      <c r="K91" s="84">
        <v>49.978999999999999</v>
      </c>
      <c r="L91" s="84">
        <v>49.978999999999999</v>
      </c>
      <c r="M91" s="84">
        <v>50.018000000000001</v>
      </c>
      <c r="N91" s="84">
        <v>49.85</v>
      </c>
      <c r="O91" s="84">
        <v>49.96</v>
      </c>
      <c r="P91" s="84">
        <v>49.966999999999999</v>
      </c>
      <c r="Q91" s="84">
        <v>50.001600000000003</v>
      </c>
      <c r="R91" s="84">
        <v>50.042999999999999</v>
      </c>
      <c r="S91" s="84">
        <v>50.067</v>
      </c>
      <c r="T91" s="84">
        <v>49.975000000000001</v>
      </c>
      <c r="U91" s="84">
        <v>50.027000000000001</v>
      </c>
      <c r="V91" s="84">
        <v>50.018999999999998</v>
      </c>
      <c r="W91" s="84">
        <v>49.97</v>
      </c>
      <c r="X91" s="84">
        <v>49.896000000000001</v>
      </c>
      <c r="Y91" s="84">
        <v>49.798999999999999</v>
      </c>
      <c r="Z91" s="84">
        <v>49.826999999999998</v>
      </c>
      <c r="AA91" s="84">
        <v>50.017000000000003</v>
      </c>
      <c r="AB91" s="84">
        <v>50.075000000000003</v>
      </c>
      <c r="AC91" s="84">
        <v>49.994999999999997</v>
      </c>
      <c r="AD91" s="84">
        <v>50.02</v>
      </c>
      <c r="AE91" s="84">
        <v>50.06</v>
      </c>
      <c r="AF91" s="84">
        <v>50.02</v>
      </c>
      <c r="AG91" s="83"/>
      <c r="AH91" s="20">
        <f t="shared" si="9"/>
        <v>50.075000000000003</v>
      </c>
      <c r="AI91" s="19">
        <f t="shared" si="10"/>
        <v>49.798999999999999</v>
      </c>
    </row>
    <row r="92" spans="1:37" x14ac:dyDescent="0.25">
      <c r="A92" s="44" t="s">
        <v>147</v>
      </c>
      <c r="B92" s="80">
        <v>125.3</v>
      </c>
      <c r="C92" s="80">
        <v>125.7</v>
      </c>
      <c r="D92" s="80">
        <v>125.2</v>
      </c>
      <c r="E92" s="80">
        <v>126.1</v>
      </c>
      <c r="F92" s="80">
        <v>126.9</v>
      </c>
      <c r="G92" s="80">
        <v>125.4</v>
      </c>
      <c r="H92" s="80">
        <v>126.2</v>
      </c>
      <c r="I92" s="80">
        <v>125.7</v>
      </c>
      <c r="J92" s="80">
        <v>125.3</v>
      </c>
      <c r="K92" s="80">
        <v>123.4</v>
      </c>
      <c r="L92" s="80">
        <v>123.2</v>
      </c>
      <c r="M92" s="80">
        <v>120.7</v>
      </c>
      <c r="N92" s="80">
        <v>122.3</v>
      </c>
      <c r="O92" s="80">
        <v>123.1</v>
      </c>
      <c r="P92" s="80">
        <v>122.6</v>
      </c>
      <c r="Q92" s="80">
        <v>123.4</v>
      </c>
      <c r="R92" s="80">
        <v>122.6</v>
      </c>
      <c r="S92" s="80">
        <v>121</v>
      </c>
      <c r="T92" s="80">
        <v>121.5</v>
      </c>
      <c r="U92" s="80">
        <v>122.6</v>
      </c>
      <c r="V92" s="80">
        <v>121.2</v>
      </c>
      <c r="W92" s="80">
        <v>122.3</v>
      </c>
      <c r="X92" s="80">
        <v>123.9</v>
      </c>
      <c r="Y92" s="80">
        <v>125.7</v>
      </c>
      <c r="Z92" s="80">
        <v>124.2</v>
      </c>
      <c r="AA92" s="80">
        <v>124</v>
      </c>
      <c r="AB92" s="80">
        <v>123</v>
      </c>
      <c r="AC92" s="80">
        <v>125</v>
      </c>
      <c r="AD92" s="80">
        <v>125</v>
      </c>
      <c r="AE92" s="80">
        <v>125</v>
      </c>
      <c r="AF92" s="80">
        <v>125</v>
      </c>
      <c r="AG92" s="79"/>
      <c r="AH92" s="20">
        <f t="shared" si="9"/>
        <v>126.9</v>
      </c>
      <c r="AI92" s="19">
        <f t="shared" si="10"/>
        <v>120.7</v>
      </c>
    </row>
    <row r="93" spans="1:37" x14ac:dyDescent="0.25">
      <c r="A93" s="44" t="s">
        <v>146</v>
      </c>
      <c r="B93" s="80">
        <v>129.80000000000001</v>
      </c>
      <c r="C93" s="80">
        <v>130.4</v>
      </c>
      <c r="D93" s="80">
        <v>130.1</v>
      </c>
      <c r="E93" s="80">
        <v>130.69999999999999</v>
      </c>
      <c r="F93" s="80">
        <v>131</v>
      </c>
      <c r="G93" s="80">
        <v>129.9</v>
      </c>
      <c r="H93" s="80">
        <v>130.1</v>
      </c>
      <c r="I93" s="80">
        <v>129.4</v>
      </c>
      <c r="J93" s="80">
        <v>128.5</v>
      </c>
      <c r="K93" s="80">
        <v>127</v>
      </c>
      <c r="L93" s="80">
        <v>127.3</v>
      </c>
      <c r="M93" s="80">
        <v>125.1</v>
      </c>
      <c r="N93" s="80">
        <v>125.6</v>
      </c>
      <c r="O93" s="80">
        <v>126</v>
      </c>
      <c r="P93" s="80">
        <v>125.8</v>
      </c>
      <c r="Q93" s="80">
        <v>126.7</v>
      </c>
      <c r="R93" s="80">
        <v>126.5</v>
      </c>
      <c r="S93" s="80">
        <v>125.2</v>
      </c>
      <c r="T93" s="80">
        <v>125.9</v>
      </c>
      <c r="U93" s="80">
        <v>126.3</v>
      </c>
      <c r="V93" s="80">
        <v>125.6</v>
      </c>
      <c r="W93" s="80">
        <v>126.6</v>
      </c>
      <c r="X93" s="80">
        <v>127.7</v>
      </c>
      <c r="Y93" s="80">
        <v>129.1</v>
      </c>
      <c r="Z93" s="80">
        <v>128</v>
      </c>
      <c r="AA93" s="80">
        <v>127.8</v>
      </c>
      <c r="AB93" s="80">
        <v>127</v>
      </c>
      <c r="AC93" s="80">
        <v>129</v>
      </c>
      <c r="AD93" s="80">
        <v>129</v>
      </c>
      <c r="AE93" s="80">
        <v>129</v>
      </c>
      <c r="AF93" s="80">
        <v>130</v>
      </c>
      <c r="AG93" s="79"/>
      <c r="AH93" s="20">
        <f t="shared" si="9"/>
        <v>131</v>
      </c>
      <c r="AI93" s="19">
        <f t="shared" si="10"/>
        <v>125.1</v>
      </c>
    </row>
    <row r="94" spans="1:37" x14ac:dyDescent="0.25">
      <c r="A94" s="44" t="s">
        <v>145</v>
      </c>
      <c r="B94" s="80">
        <v>131.1</v>
      </c>
      <c r="C94" s="80">
        <v>130.1</v>
      </c>
      <c r="D94" s="80">
        <v>131.30000000000001</v>
      </c>
      <c r="E94" s="80">
        <v>129</v>
      </c>
      <c r="F94" s="80">
        <v>130.4</v>
      </c>
      <c r="G94" s="80">
        <v>129.9</v>
      </c>
      <c r="H94" s="80">
        <v>129.4</v>
      </c>
      <c r="I94" s="80">
        <v>130.30000000000001</v>
      </c>
      <c r="J94" s="80">
        <v>129</v>
      </c>
      <c r="K94" s="80">
        <v>130.1</v>
      </c>
      <c r="L94" s="80">
        <v>129</v>
      </c>
      <c r="M94" s="80">
        <v>128.19999999999999</v>
      </c>
      <c r="N94" s="80">
        <v>126.5</v>
      </c>
      <c r="O94" s="80">
        <v>127.9</v>
      </c>
      <c r="P94" s="80">
        <v>127.5</v>
      </c>
      <c r="Q94" s="80">
        <v>129.9</v>
      </c>
      <c r="R94" s="80">
        <v>128.30000000000001</v>
      </c>
      <c r="S94" s="80">
        <v>127.6</v>
      </c>
      <c r="T94" s="80">
        <v>126.9</v>
      </c>
      <c r="U94" s="80">
        <v>128.5</v>
      </c>
      <c r="V94" s="80">
        <v>128.6</v>
      </c>
      <c r="W94" s="80">
        <v>127.7</v>
      </c>
      <c r="X94" s="80">
        <v>129</v>
      </c>
      <c r="Y94" s="80">
        <v>126.4</v>
      </c>
      <c r="Z94" s="80">
        <v>130</v>
      </c>
      <c r="AA94" s="80">
        <v>128.1</v>
      </c>
      <c r="AB94" s="80">
        <v>127</v>
      </c>
      <c r="AC94" s="80">
        <v>127</v>
      </c>
      <c r="AD94" s="80">
        <v>129</v>
      </c>
      <c r="AE94" s="80">
        <v>129</v>
      </c>
      <c r="AF94" s="80">
        <v>130</v>
      </c>
      <c r="AG94" s="79"/>
      <c r="AH94" s="20">
        <f t="shared" si="9"/>
        <v>131.30000000000001</v>
      </c>
      <c r="AI94" s="19">
        <f t="shared" si="10"/>
        <v>126.4</v>
      </c>
    </row>
    <row r="95" spans="1:37" x14ac:dyDescent="0.25">
      <c r="A95" s="82" t="s">
        <v>144</v>
      </c>
      <c r="B95" s="80">
        <v>135.1</v>
      </c>
      <c r="C95" s="80">
        <v>133.1</v>
      </c>
      <c r="D95" s="80">
        <v>134.1</v>
      </c>
      <c r="E95" s="80">
        <v>133.30000000000001</v>
      </c>
      <c r="F95" s="80">
        <v>134.30000000000001</v>
      </c>
      <c r="G95" s="80">
        <v>133.80000000000001</v>
      </c>
      <c r="H95" s="80">
        <v>133.69999999999999</v>
      </c>
      <c r="I95" s="80">
        <v>133.9</v>
      </c>
      <c r="J95" s="80">
        <v>132.30000000000001</v>
      </c>
      <c r="K95" s="80">
        <v>132.4</v>
      </c>
      <c r="L95" s="80">
        <v>131.6</v>
      </c>
      <c r="M95" s="80">
        <v>131.9</v>
      </c>
      <c r="N95" s="80">
        <v>130.4</v>
      </c>
      <c r="O95" s="80">
        <v>131.19999999999999</v>
      </c>
      <c r="P95" s="80">
        <v>130.6</v>
      </c>
      <c r="Q95" s="80">
        <v>132.19999999999999</v>
      </c>
      <c r="R95" s="80">
        <v>132.1</v>
      </c>
      <c r="S95" s="80">
        <v>130.6</v>
      </c>
      <c r="T95" s="80">
        <v>129.5</v>
      </c>
      <c r="U95" s="80">
        <v>130.9</v>
      </c>
      <c r="V95" s="80">
        <v>131.4</v>
      </c>
      <c r="W95" s="80">
        <v>130.4</v>
      </c>
      <c r="X95" s="80">
        <v>131.30000000000001</v>
      </c>
      <c r="Y95" s="80">
        <v>129.30000000000001</v>
      </c>
      <c r="Z95" s="80">
        <v>132.4</v>
      </c>
      <c r="AA95" s="80">
        <v>131.4</v>
      </c>
      <c r="AB95" s="80">
        <v>131</v>
      </c>
      <c r="AC95" s="80">
        <v>131</v>
      </c>
      <c r="AD95" s="80">
        <v>132</v>
      </c>
      <c r="AE95" s="80">
        <v>132</v>
      </c>
      <c r="AF95" s="80">
        <v>132</v>
      </c>
      <c r="AG95" s="79"/>
      <c r="AH95" s="20">
        <f t="shared" si="9"/>
        <v>135.1</v>
      </c>
      <c r="AI95" s="19">
        <f t="shared" si="10"/>
        <v>129.30000000000001</v>
      </c>
    </row>
    <row r="96" spans="1:37" x14ac:dyDescent="0.25">
      <c r="A96" s="82" t="s">
        <v>143</v>
      </c>
      <c r="B96" s="66">
        <v>133.69999999999999</v>
      </c>
      <c r="C96" s="66">
        <v>133.5</v>
      </c>
      <c r="D96" s="66">
        <v>133.30000000000001</v>
      </c>
      <c r="E96" s="66">
        <v>130.1</v>
      </c>
      <c r="F96" s="66">
        <v>130.4</v>
      </c>
      <c r="G96" s="66">
        <v>132.5</v>
      </c>
      <c r="H96" s="66">
        <v>133.5</v>
      </c>
      <c r="I96" s="66">
        <v>133.69999999999999</v>
      </c>
      <c r="J96" s="66">
        <v>131.9</v>
      </c>
      <c r="K96" s="66">
        <v>131</v>
      </c>
      <c r="L96" s="66">
        <v>132.5</v>
      </c>
      <c r="M96" s="66">
        <v>131.4</v>
      </c>
      <c r="N96" s="66">
        <v>133.80000000000001</v>
      </c>
      <c r="O96" s="66">
        <v>130.19999999999999</v>
      </c>
      <c r="P96" s="66">
        <v>129.5</v>
      </c>
      <c r="Q96" s="66">
        <v>135.6</v>
      </c>
      <c r="R96" s="66">
        <v>132.4</v>
      </c>
      <c r="S96" s="66">
        <v>129.5</v>
      </c>
      <c r="T96" s="66">
        <v>132.5</v>
      </c>
      <c r="U96" s="66">
        <v>133.5</v>
      </c>
      <c r="V96" s="66">
        <v>131.1</v>
      </c>
      <c r="W96" s="66">
        <v>134</v>
      </c>
      <c r="X96" s="66">
        <v>134.4</v>
      </c>
      <c r="Y96" s="66">
        <v>134</v>
      </c>
      <c r="Z96" s="66">
        <v>135</v>
      </c>
      <c r="AA96" s="66">
        <v>133.1</v>
      </c>
      <c r="AB96" s="66">
        <v>136</v>
      </c>
      <c r="AC96" s="66">
        <v>133</v>
      </c>
      <c r="AD96" s="66">
        <v>133</v>
      </c>
      <c r="AE96" s="66">
        <v>133</v>
      </c>
      <c r="AF96" s="66">
        <v>134</v>
      </c>
      <c r="AG96" s="81"/>
      <c r="AH96" s="20">
        <f t="shared" si="9"/>
        <v>136</v>
      </c>
      <c r="AI96" s="19">
        <f t="shared" si="10"/>
        <v>129.5</v>
      </c>
    </row>
    <row r="97" spans="1:37" x14ac:dyDescent="0.25">
      <c r="A97" s="44" t="s">
        <v>142</v>
      </c>
      <c r="B97" s="80">
        <v>130.80000000000001</v>
      </c>
      <c r="C97" s="80">
        <v>129.69999999999999</v>
      </c>
      <c r="D97" s="80">
        <v>130.9</v>
      </c>
      <c r="E97" s="80">
        <v>129</v>
      </c>
      <c r="F97" s="80">
        <v>129</v>
      </c>
      <c r="G97" s="80">
        <v>130.9</v>
      </c>
      <c r="H97" s="80">
        <v>132.4</v>
      </c>
      <c r="I97" s="80">
        <v>131.80000000000001</v>
      </c>
      <c r="J97" s="80">
        <v>128.19999999999999</v>
      </c>
      <c r="K97" s="80">
        <v>127.4</v>
      </c>
      <c r="L97" s="80">
        <v>127.5</v>
      </c>
      <c r="M97" s="80">
        <v>124.9</v>
      </c>
      <c r="N97" s="80">
        <v>128</v>
      </c>
      <c r="O97" s="80">
        <v>125.3</v>
      </c>
      <c r="P97" s="80">
        <v>119.6</v>
      </c>
      <c r="Q97" s="80">
        <v>130.1</v>
      </c>
      <c r="R97" s="80">
        <v>129</v>
      </c>
      <c r="S97" s="80">
        <v>125.5</v>
      </c>
      <c r="T97" s="80">
        <v>125.1</v>
      </c>
      <c r="U97" s="80">
        <v>127</v>
      </c>
      <c r="V97" s="80">
        <v>126.6</v>
      </c>
      <c r="W97" s="80">
        <v>131</v>
      </c>
      <c r="X97" s="80">
        <v>132.1</v>
      </c>
      <c r="Y97" s="80">
        <v>130</v>
      </c>
      <c r="Z97" s="80">
        <v>132.6</v>
      </c>
      <c r="AA97" s="80">
        <v>131.69999999999999</v>
      </c>
      <c r="AB97" s="80">
        <v>132</v>
      </c>
      <c r="AC97" s="80">
        <v>128</v>
      </c>
      <c r="AD97" s="80">
        <v>133</v>
      </c>
      <c r="AE97" s="80">
        <v>133</v>
      </c>
      <c r="AF97" s="80">
        <v>131</v>
      </c>
      <c r="AG97" s="79"/>
      <c r="AH97" s="20">
        <f t="shared" si="9"/>
        <v>133</v>
      </c>
      <c r="AI97" s="19">
        <f t="shared" si="10"/>
        <v>119.6</v>
      </c>
    </row>
    <row r="98" spans="1:37" ht="15.75" thickBot="1" x14ac:dyDescent="0.3">
      <c r="A98" s="44" t="s">
        <v>141</v>
      </c>
      <c r="B98" s="77">
        <v>65.900000000000006</v>
      </c>
      <c r="C98" s="77">
        <v>65.900000000000006</v>
      </c>
      <c r="D98" s="77">
        <v>65.7</v>
      </c>
      <c r="E98" s="77">
        <v>65.900000000000006</v>
      </c>
      <c r="F98" s="77">
        <v>66.2</v>
      </c>
      <c r="G98" s="77">
        <v>65.5</v>
      </c>
      <c r="H98" s="77">
        <v>65.400000000000006</v>
      </c>
      <c r="I98" s="77">
        <v>65.2</v>
      </c>
      <c r="J98" s="77">
        <v>65</v>
      </c>
      <c r="K98" s="77">
        <v>64.099999999999994</v>
      </c>
      <c r="L98" s="77">
        <v>64.3</v>
      </c>
      <c r="M98" s="77">
        <v>63.1</v>
      </c>
      <c r="N98" s="77">
        <v>63.2</v>
      </c>
      <c r="O98" s="77">
        <v>63.4</v>
      </c>
      <c r="P98" s="77">
        <v>63.3</v>
      </c>
      <c r="Q98" s="77">
        <v>63.8</v>
      </c>
      <c r="R98" s="77">
        <v>63.8</v>
      </c>
      <c r="S98" s="77">
        <v>63</v>
      </c>
      <c r="T98" s="77">
        <v>63.4</v>
      </c>
      <c r="U98" s="77">
        <v>63.7</v>
      </c>
      <c r="V98" s="77">
        <v>63.3</v>
      </c>
      <c r="W98" s="77">
        <v>64</v>
      </c>
      <c r="X98" s="77">
        <v>64.400000000000006</v>
      </c>
      <c r="Y98" s="77">
        <v>65.099999999999994</v>
      </c>
      <c r="Z98" s="77">
        <v>64.3</v>
      </c>
      <c r="AA98" s="77">
        <v>64.400000000000006</v>
      </c>
      <c r="AB98" s="77">
        <v>65</v>
      </c>
      <c r="AC98" s="77">
        <v>64</v>
      </c>
      <c r="AD98" s="77">
        <v>65</v>
      </c>
      <c r="AE98" s="77">
        <v>65</v>
      </c>
      <c r="AF98" s="77">
        <v>65.400000000000006</v>
      </c>
      <c r="AG98" s="76"/>
      <c r="AH98" s="20">
        <f t="shared" si="9"/>
        <v>66.2</v>
      </c>
      <c r="AI98" s="19">
        <f t="shared" si="10"/>
        <v>63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9"/>
        <v>0</v>
      </c>
      <c r="AI99" s="19">
        <f t="shared" si="10"/>
        <v>0</v>
      </c>
    </row>
    <row r="100" spans="1:37" ht="15.75" thickBot="1" x14ac:dyDescent="0.3">
      <c r="A100" s="75" t="s">
        <v>140</v>
      </c>
      <c r="B100" s="74">
        <f t="shared" ref="B100:AF100" si="21">SUM(B15,B20,B22:B23,B48,B50:B51,B53,B55,B101:B105,B127,B133,B139,B148,B150,B162,B169,B172:B173,B180,B182,B184,B188:B190,B192:B194,B199,B205:B206,B208:B210,B218,B223)</f>
        <v>73.100000000000037</v>
      </c>
      <c r="C100" s="74">
        <f t="shared" si="21"/>
        <v>64.039999999999949</v>
      </c>
      <c r="D100" s="74">
        <f t="shared" si="21"/>
        <v>55.04</v>
      </c>
      <c r="E100" s="74">
        <f t="shared" si="21"/>
        <v>52.140000000000015</v>
      </c>
      <c r="F100" s="74">
        <f t="shared" si="21"/>
        <v>56.339999999999975</v>
      </c>
      <c r="G100" s="74">
        <f t="shared" si="21"/>
        <v>74.739999999999995</v>
      </c>
      <c r="H100" s="74">
        <f t="shared" si="21"/>
        <v>87.639999999999986</v>
      </c>
      <c r="I100" s="74">
        <f t="shared" si="21"/>
        <v>117.54</v>
      </c>
      <c r="J100" s="74">
        <f t="shared" si="21"/>
        <v>154.34</v>
      </c>
      <c r="K100" s="74">
        <f t="shared" si="21"/>
        <v>183.84</v>
      </c>
      <c r="L100" s="74">
        <f t="shared" si="21"/>
        <v>177.34</v>
      </c>
      <c r="M100" s="74">
        <f t="shared" si="21"/>
        <v>239.84</v>
      </c>
      <c r="N100" s="74">
        <f t="shared" si="21"/>
        <v>244.74000000000007</v>
      </c>
      <c r="O100" s="74">
        <f t="shared" si="21"/>
        <v>247.14</v>
      </c>
      <c r="P100" s="74">
        <f t="shared" si="21"/>
        <v>239.24</v>
      </c>
      <c r="Q100" s="74">
        <f t="shared" si="21"/>
        <v>236.2</v>
      </c>
      <c r="R100" s="74">
        <f t="shared" si="21"/>
        <v>227.6</v>
      </c>
      <c r="S100" s="74">
        <f t="shared" si="21"/>
        <v>209.4</v>
      </c>
      <c r="T100" s="74">
        <f t="shared" si="21"/>
        <v>210.10000000000002</v>
      </c>
      <c r="U100" s="74">
        <f t="shared" si="21"/>
        <v>215.1</v>
      </c>
      <c r="V100" s="74">
        <f t="shared" si="21"/>
        <v>213.8</v>
      </c>
      <c r="W100" s="74">
        <f t="shared" si="21"/>
        <v>221.20000000000002</v>
      </c>
      <c r="X100" s="74">
        <f t="shared" si="21"/>
        <v>248.8</v>
      </c>
      <c r="Y100" s="74">
        <f t="shared" si="21"/>
        <v>288.8</v>
      </c>
      <c r="Z100" s="74">
        <f t="shared" si="21"/>
        <v>269.40000000000003</v>
      </c>
      <c r="AA100" s="74">
        <f t="shared" si="21"/>
        <v>252.50000000000003</v>
      </c>
      <c r="AB100" s="74">
        <f t="shared" si="21"/>
        <v>202.8</v>
      </c>
      <c r="AC100" s="74">
        <f t="shared" si="21"/>
        <v>188.20000000000002</v>
      </c>
      <c r="AD100" s="74">
        <f t="shared" si="21"/>
        <v>148.80000000000001</v>
      </c>
      <c r="AE100" s="74">
        <f t="shared" si="21"/>
        <v>165.8</v>
      </c>
      <c r="AF100" s="74">
        <f t="shared" si="21"/>
        <v>65.800000000000011</v>
      </c>
      <c r="AG100" s="73"/>
      <c r="AH100" s="20">
        <f t="shared" si="9"/>
        <v>288.8</v>
      </c>
      <c r="AI100" s="19">
        <f t="shared" si="10"/>
        <v>52.140000000000015</v>
      </c>
    </row>
    <row r="101" spans="1:37" x14ac:dyDescent="0.25">
      <c r="A101" s="47" t="s">
        <v>139</v>
      </c>
      <c r="B101" s="72">
        <v>18.8</v>
      </c>
      <c r="C101" s="72">
        <v>17.7</v>
      </c>
      <c r="D101" s="72">
        <v>15.8</v>
      </c>
      <c r="E101" s="72">
        <v>11.5</v>
      </c>
      <c r="F101" s="72">
        <v>17.8</v>
      </c>
      <c r="G101" s="72">
        <v>4.5999999999999996</v>
      </c>
      <c r="H101" s="72">
        <v>8</v>
      </c>
      <c r="I101" s="72">
        <v>10</v>
      </c>
      <c r="J101" s="72">
        <v>14</v>
      </c>
      <c r="K101" s="72">
        <v>16</v>
      </c>
      <c r="L101" s="72">
        <v>13</v>
      </c>
      <c r="M101" s="72">
        <v>19.2</v>
      </c>
      <c r="N101" s="72">
        <v>26.9</v>
      </c>
      <c r="O101" s="72">
        <v>23.1</v>
      </c>
      <c r="P101" s="72">
        <v>24.4</v>
      </c>
      <c r="Q101" s="72">
        <v>24.6</v>
      </c>
      <c r="R101" s="72">
        <v>27.7</v>
      </c>
      <c r="S101" s="72">
        <v>23.7</v>
      </c>
      <c r="T101" s="72">
        <v>16.600000000000001</v>
      </c>
      <c r="U101" s="72">
        <v>18.3</v>
      </c>
      <c r="V101" s="72">
        <v>17.5</v>
      </c>
      <c r="W101" s="72">
        <v>19.2</v>
      </c>
      <c r="X101" s="72">
        <v>26</v>
      </c>
      <c r="Y101" s="72">
        <v>32</v>
      </c>
      <c r="Z101" s="72">
        <v>33.299999999999997</v>
      </c>
      <c r="AA101" s="72">
        <v>38.299999999999997</v>
      </c>
      <c r="AB101" s="72">
        <v>29</v>
      </c>
      <c r="AC101" s="72">
        <v>32</v>
      </c>
      <c r="AD101" s="72">
        <v>32</v>
      </c>
      <c r="AE101" s="72"/>
      <c r="AF101" s="72">
        <v>17</v>
      </c>
      <c r="AG101" s="70">
        <v>75</v>
      </c>
      <c r="AH101" s="20">
        <f t="shared" si="9"/>
        <v>38.299999999999997</v>
      </c>
      <c r="AI101" s="19">
        <f t="shared" si="10"/>
        <v>4.5999999999999996</v>
      </c>
    </row>
    <row r="102" spans="1:37" x14ac:dyDescent="0.25">
      <c r="A102" s="44" t="s">
        <v>138</v>
      </c>
      <c r="B102" s="71">
        <v>37.5</v>
      </c>
      <c r="C102" s="71">
        <v>35.700000000000003</v>
      </c>
      <c r="D102" s="71">
        <v>32.799999999999997</v>
      </c>
      <c r="E102" s="71">
        <v>26.3</v>
      </c>
      <c r="F102" s="71">
        <v>35.299999999999997</v>
      </c>
      <c r="G102" s="71">
        <v>19</v>
      </c>
      <c r="H102" s="71">
        <v>24</v>
      </c>
      <c r="I102" s="71">
        <v>25</v>
      </c>
      <c r="J102" s="71">
        <v>32</v>
      </c>
      <c r="K102" s="71">
        <v>35</v>
      </c>
      <c r="L102" s="71">
        <v>18</v>
      </c>
      <c r="M102" s="71">
        <v>36.4</v>
      </c>
      <c r="N102" s="71">
        <v>46.7</v>
      </c>
      <c r="O102" s="71">
        <v>44.6</v>
      </c>
      <c r="P102" s="71">
        <v>48.1</v>
      </c>
      <c r="Q102" s="71">
        <v>46</v>
      </c>
      <c r="R102" s="71">
        <v>50</v>
      </c>
      <c r="S102" s="71">
        <v>47.6</v>
      </c>
      <c r="T102" s="71">
        <v>37</v>
      </c>
      <c r="U102" s="71">
        <v>39.1</v>
      </c>
      <c r="V102" s="71">
        <v>34.1</v>
      </c>
      <c r="W102" s="71">
        <v>36.799999999999997</v>
      </c>
      <c r="X102" s="71">
        <v>46</v>
      </c>
      <c r="Y102" s="71">
        <v>50</v>
      </c>
      <c r="Z102" s="71">
        <v>50</v>
      </c>
      <c r="AA102" s="71">
        <v>59.6</v>
      </c>
      <c r="AB102" s="71">
        <v>49</v>
      </c>
      <c r="AC102" s="71">
        <v>51</v>
      </c>
      <c r="AD102" s="71">
        <v>51</v>
      </c>
      <c r="AE102" s="71"/>
      <c r="AF102" s="71">
        <v>37</v>
      </c>
      <c r="AG102" s="70">
        <v>240</v>
      </c>
      <c r="AH102" s="20">
        <f t="shared" si="9"/>
        <v>59.6</v>
      </c>
      <c r="AI102" s="19">
        <f t="shared" si="10"/>
        <v>18</v>
      </c>
    </row>
    <row r="103" spans="1:37" x14ac:dyDescent="0.25">
      <c r="A103" s="44" t="s">
        <v>137</v>
      </c>
      <c r="B103" s="71">
        <f>-64.3-68.6</f>
        <v>-132.89999999999998</v>
      </c>
      <c r="C103" s="71">
        <f>-63.6-68.2</f>
        <v>-131.80000000000001</v>
      </c>
      <c r="D103" s="71">
        <f>-66-70</f>
        <v>-136</v>
      </c>
      <c r="E103" s="71">
        <v>-130</v>
      </c>
      <c r="F103" s="71">
        <v>-120</v>
      </c>
      <c r="G103" s="71">
        <v>-96</v>
      </c>
      <c r="H103" s="71">
        <v>-95</v>
      </c>
      <c r="I103" s="71">
        <v>-72</v>
      </c>
      <c r="J103" s="71">
        <v>-50</v>
      </c>
      <c r="K103" s="71">
        <v>-42</v>
      </c>
      <c r="L103" s="71">
        <v>-85</v>
      </c>
      <c r="M103" s="71">
        <v>-74</v>
      </c>
      <c r="N103" s="71">
        <v>-78</v>
      </c>
      <c r="O103" s="71">
        <v>-76</v>
      </c>
      <c r="P103" s="71">
        <v>-87</v>
      </c>
      <c r="Q103" s="71">
        <f>-41.9-44.8</f>
        <v>-86.699999999999989</v>
      </c>
      <c r="R103" s="71">
        <v>-108</v>
      </c>
      <c r="S103" s="71">
        <f>-58.3-62.3</f>
        <v>-120.6</v>
      </c>
      <c r="T103" s="71">
        <f>-50.2-54</f>
        <v>-104.2</v>
      </c>
      <c r="U103" s="71">
        <f>-46-49.3</f>
        <v>-95.3</v>
      </c>
      <c r="V103" s="71">
        <f>-47-50</f>
        <v>-97</v>
      </c>
      <c r="W103" s="71">
        <f>-47-50</f>
        <v>-97</v>
      </c>
      <c r="X103" s="71">
        <f>-42.4-45.9</f>
        <v>-88.3</v>
      </c>
      <c r="Y103" s="71">
        <v>-70</v>
      </c>
      <c r="Z103" s="71">
        <f>-36-40</f>
        <v>-76</v>
      </c>
      <c r="AA103" s="71">
        <f>-49.5-53.8</f>
        <v>-103.3</v>
      </c>
      <c r="AB103" s="71">
        <v>-117</v>
      </c>
      <c r="AC103" s="71">
        <v>-134</v>
      </c>
      <c r="AD103" s="71">
        <v>-112</v>
      </c>
      <c r="AE103" s="71"/>
      <c r="AF103" s="71">
        <v>-145</v>
      </c>
      <c r="AG103" s="70">
        <v>240</v>
      </c>
      <c r="AH103" s="20">
        <f t="shared" si="9"/>
        <v>-42</v>
      </c>
      <c r="AI103" s="19">
        <f t="shared" si="10"/>
        <v>-145</v>
      </c>
    </row>
    <row r="104" spans="1:37" x14ac:dyDescent="0.25">
      <c r="A104" s="44" t="s">
        <v>136</v>
      </c>
      <c r="B104" s="71">
        <v>-0.8</v>
      </c>
      <c r="C104" s="71">
        <v>-1.7</v>
      </c>
      <c r="D104" s="71">
        <v>-1.9</v>
      </c>
      <c r="E104" s="71">
        <v>0</v>
      </c>
      <c r="F104" s="71">
        <v>0</v>
      </c>
      <c r="G104" s="71">
        <v>3.3</v>
      </c>
      <c r="H104" s="71">
        <v>6.5</v>
      </c>
      <c r="I104" s="71">
        <v>8.6999999999999993</v>
      </c>
      <c r="J104" s="71">
        <v>12.5</v>
      </c>
      <c r="K104" s="71">
        <v>15</v>
      </c>
      <c r="L104" s="71">
        <v>9.5</v>
      </c>
      <c r="M104" s="71">
        <v>8.6999999999999993</v>
      </c>
      <c r="N104" s="71">
        <v>8.9</v>
      </c>
      <c r="O104" s="71">
        <v>-2</v>
      </c>
      <c r="P104" s="71">
        <v>-7</v>
      </c>
      <c r="Q104" s="71">
        <v>-7.5</v>
      </c>
      <c r="R104" s="71">
        <v>-2.5</v>
      </c>
      <c r="S104" s="71">
        <v>3.9</v>
      </c>
      <c r="T104" s="71">
        <v>5.6</v>
      </c>
      <c r="U104" s="71">
        <v>7.6</v>
      </c>
      <c r="V104" s="71">
        <v>11</v>
      </c>
      <c r="W104" s="71">
        <v>8.9</v>
      </c>
      <c r="X104" s="71">
        <v>10.4</v>
      </c>
      <c r="Y104" s="71">
        <v>34</v>
      </c>
      <c r="Z104" s="71">
        <v>12.3</v>
      </c>
      <c r="AA104" s="71">
        <v>8.1999999999999993</v>
      </c>
      <c r="AB104" s="71">
        <v>2.6</v>
      </c>
      <c r="AC104" s="71">
        <v>3.4</v>
      </c>
      <c r="AD104" s="71">
        <v>6</v>
      </c>
      <c r="AE104" s="71"/>
      <c r="AF104" s="71">
        <v>-2</v>
      </c>
      <c r="AG104" s="70">
        <v>60</v>
      </c>
      <c r="AH104" s="20">
        <f t="shared" si="9"/>
        <v>34</v>
      </c>
      <c r="AI104" s="19">
        <f t="shared" si="10"/>
        <v>-7.5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62</v>
      </c>
      <c r="M105" s="68">
        <v>78</v>
      </c>
      <c r="N105" s="68">
        <v>63.7</v>
      </c>
      <c r="O105" s="68">
        <v>63.2</v>
      </c>
      <c r="P105" s="68">
        <v>63</v>
      </c>
      <c r="Q105" s="68">
        <v>63</v>
      </c>
      <c r="R105" s="68">
        <v>63.6</v>
      </c>
      <c r="S105" s="68">
        <v>63.4</v>
      </c>
      <c r="T105" s="68">
        <v>63.7</v>
      </c>
      <c r="U105" s="68">
        <v>54</v>
      </c>
      <c r="V105" s="68">
        <v>57.4</v>
      </c>
      <c r="W105" s="68">
        <v>57.5</v>
      </c>
      <c r="X105" s="68">
        <v>58.9</v>
      </c>
      <c r="Y105" s="71">
        <v>57</v>
      </c>
      <c r="Z105" s="68">
        <v>64</v>
      </c>
      <c r="AA105" s="68">
        <v>63.9</v>
      </c>
      <c r="AB105" s="68">
        <v>63.4</v>
      </c>
      <c r="AC105" s="68">
        <v>64</v>
      </c>
      <c r="AD105" s="68">
        <v>0</v>
      </c>
      <c r="AE105" s="68"/>
      <c r="AF105" s="68">
        <v>0</v>
      </c>
      <c r="AG105" s="69">
        <v>120</v>
      </c>
      <c r="AH105" s="20">
        <f t="shared" si="9"/>
        <v>78</v>
      </c>
      <c r="AI105" s="19">
        <f t="shared" si="10"/>
        <v>0</v>
      </c>
    </row>
    <row r="106" spans="1:37" x14ac:dyDescent="0.25">
      <c r="A106" s="40" t="s">
        <v>134</v>
      </c>
      <c r="B106" s="68">
        <v>26.5</v>
      </c>
      <c r="C106" s="68">
        <v>24.9</v>
      </c>
      <c r="D106" s="68">
        <v>22.1</v>
      </c>
      <c r="E106" s="68">
        <v>23</v>
      </c>
      <c r="F106" s="68">
        <v>19</v>
      </c>
      <c r="G106" s="68">
        <v>53</v>
      </c>
      <c r="H106" s="68">
        <v>52</v>
      </c>
      <c r="I106" s="68">
        <v>53</v>
      </c>
      <c r="J106" s="68">
        <v>52</v>
      </c>
      <c r="K106" s="68">
        <v>79</v>
      </c>
      <c r="L106" s="68">
        <v>50</v>
      </c>
      <c r="M106" s="68">
        <v>62.9</v>
      </c>
      <c r="N106" s="68">
        <v>55.9</v>
      </c>
      <c r="O106" s="68">
        <v>57.7</v>
      </c>
      <c r="P106" s="68">
        <v>48.6</v>
      </c>
      <c r="Q106" s="68">
        <v>54.5</v>
      </c>
      <c r="R106" s="68">
        <v>42.2</v>
      </c>
      <c r="S106" s="68">
        <v>33</v>
      </c>
      <c r="T106" s="68">
        <v>48</v>
      </c>
      <c r="U106" s="68">
        <v>55.1</v>
      </c>
      <c r="V106" s="68">
        <v>60</v>
      </c>
      <c r="W106" s="68">
        <v>55</v>
      </c>
      <c r="X106" s="68">
        <v>57.2</v>
      </c>
      <c r="Y106" s="68">
        <v>45</v>
      </c>
      <c r="Z106" s="68">
        <v>62.3</v>
      </c>
      <c r="AA106" s="68">
        <v>46.2</v>
      </c>
      <c r="AB106" s="68">
        <v>36</v>
      </c>
      <c r="AC106" s="68">
        <v>36</v>
      </c>
      <c r="AD106" s="68">
        <v>41</v>
      </c>
      <c r="AE106" s="68"/>
      <c r="AF106" s="68">
        <v>21</v>
      </c>
      <c r="AG106" s="69"/>
      <c r="AH106" s="20">
        <f t="shared" si="9"/>
        <v>79</v>
      </c>
      <c r="AI106" s="19">
        <f t="shared" si="10"/>
        <v>19</v>
      </c>
    </row>
    <row r="107" spans="1:37" x14ac:dyDescent="0.25">
      <c r="A107" s="40" t="s">
        <v>133</v>
      </c>
      <c r="B107" s="68">
        <v>34.799999999999997</v>
      </c>
      <c r="C107" s="68">
        <v>27.6</v>
      </c>
      <c r="D107" s="68">
        <v>32.5</v>
      </c>
      <c r="E107" s="68">
        <v>50</v>
      </c>
      <c r="F107" s="68">
        <v>32</v>
      </c>
      <c r="G107" s="68">
        <v>11</v>
      </c>
      <c r="H107" s="68">
        <v>8</v>
      </c>
      <c r="I107" s="68">
        <v>19</v>
      </c>
      <c r="J107" s="68">
        <v>12</v>
      </c>
      <c r="K107" s="68">
        <v>22</v>
      </c>
      <c r="L107" s="68">
        <v>5</v>
      </c>
      <c r="M107" s="68">
        <v>3.4</v>
      </c>
      <c r="N107" s="68">
        <v>-12.4</v>
      </c>
      <c r="O107" s="68">
        <v>17</v>
      </c>
      <c r="P107" s="68">
        <v>20.2</v>
      </c>
      <c r="Q107" s="68">
        <v>16.2</v>
      </c>
      <c r="R107" s="68">
        <v>-23.8</v>
      </c>
      <c r="S107" s="68">
        <v>-7</v>
      </c>
      <c r="T107" s="68">
        <v>10.4</v>
      </c>
      <c r="U107" s="68">
        <v>17.2</v>
      </c>
      <c r="V107" s="68">
        <v>30</v>
      </c>
      <c r="W107" s="68">
        <v>14</v>
      </c>
      <c r="X107" s="68">
        <v>2.8</v>
      </c>
      <c r="Y107" s="68">
        <v>41</v>
      </c>
      <c r="Z107" s="68">
        <v>22.6</v>
      </c>
      <c r="AA107" s="68">
        <v>25.7</v>
      </c>
      <c r="AB107" s="68">
        <v>39</v>
      </c>
      <c r="AC107" s="68">
        <v>39</v>
      </c>
      <c r="AD107" s="68">
        <v>38</v>
      </c>
      <c r="AE107" s="68"/>
      <c r="AF107" s="68">
        <v>35</v>
      </c>
      <c r="AG107" s="48"/>
      <c r="AH107" s="20">
        <f t="shared" si="9"/>
        <v>50</v>
      </c>
      <c r="AI107" s="19">
        <f t="shared" si="10"/>
        <v>-23.8</v>
      </c>
    </row>
    <row r="108" spans="1:37" x14ac:dyDescent="0.25">
      <c r="A108" s="67" t="s">
        <v>132</v>
      </c>
      <c r="B108" s="66">
        <v>113.8</v>
      </c>
      <c r="C108" s="66">
        <v>116.4</v>
      </c>
      <c r="D108" s="66">
        <v>118.2</v>
      </c>
      <c r="E108" s="66">
        <v>120</v>
      </c>
      <c r="F108" s="66">
        <v>119</v>
      </c>
      <c r="G108" s="66">
        <v>119</v>
      </c>
      <c r="H108" s="66">
        <v>120</v>
      </c>
      <c r="I108" s="66">
        <v>119</v>
      </c>
      <c r="J108" s="66">
        <v>118</v>
      </c>
      <c r="K108" s="66">
        <v>115</v>
      </c>
      <c r="L108" s="66">
        <v>113</v>
      </c>
      <c r="M108" s="66">
        <v>116.9</v>
      </c>
      <c r="N108" s="66">
        <v>119.8</v>
      </c>
      <c r="O108" s="66">
        <v>120.1</v>
      </c>
      <c r="P108" s="66">
        <v>113.4</v>
      </c>
      <c r="Q108" s="66">
        <v>117.7</v>
      </c>
      <c r="R108" s="66">
        <v>119.3</v>
      </c>
      <c r="S108" s="66">
        <v>115.7</v>
      </c>
      <c r="T108" s="66">
        <v>115</v>
      </c>
      <c r="U108" s="66">
        <v>113</v>
      </c>
      <c r="V108" s="66">
        <v>106</v>
      </c>
      <c r="W108" s="66">
        <v>108.1</v>
      </c>
      <c r="X108" s="66">
        <v>99.5</v>
      </c>
      <c r="Y108" s="68">
        <v>43</v>
      </c>
      <c r="Z108" s="66">
        <v>96</v>
      </c>
      <c r="AA108" s="66">
        <v>100.2</v>
      </c>
      <c r="AB108" s="66">
        <v>104</v>
      </c>
      <c r="AC108" s="66">
        <v>104</v>
      </c>
      <c r="AD108" s="66">
        <v>107</v>
      </c>
      <c r="AE108" s="66"/>
      <c r="AF108" s="66">
        <v>111</v>
      </c>
      <c r="AG108" s="48"/>
      <c r="AH108" s="20">
        <f t="shared" si="9"/>
        <v>120.1</v>
      </c>
      <c r="AI108" s="19">
        <f t="shared" si="10"/>
        <v>43</v>
      </c>
    </row>
    <row r="109" spans="1:37" ht="15.75" thickBot="1" x14ac:dyDescent="0.3">
      <c r="A109" s="67" t="s">
        <v>131</v>
      </c>
      <c r="B109" s="66">
        <v>86.9</v>
      </c>
      <c r="C109" s="66">
        <v>89</v>
      </c>
      <c r="D109" s="66">
        <v>89.2</v>
      </c>
      <c r="E109" s="66">
        <v>79</v>
      </c>
      <c r="F109" s="66">
        <v>77</v>
      </c>
      <c r="G109" s="66">
        <v>57</v>
      </c>
      <c r="H109" s="66">
        <v>58</v>
      </c>
      <c r="I109" s="66">
        <v>40</v>
      </c>
      <c r="J109" s="66">
        <v>33</v>
      </c>
      <c r="K109" s="66">
        <v>26</v>
      </c>
      <c r="L109" s="66">
        <v>52</v>
      </c>
      <c r="M109" s="66">
        <v>43.9</v>
      </c>
      <c r="N109" s="66">
        <v>48.8</v>
      </c>
      <c r="O109" s="66">
        <v>38.4</v>
      </c>
      <c r="P109" s="66">
        <v>47.7</v>
      </c>
      <c r="Q109" s="66">
        <v>51.2</v>
      </c>
      <c r="R109" s="66">
        <v>72</v>
      </c>
      <c r="S109" s="66">
        <v>78.7</v>
      </c>
      <c r="T109" s="66">
        <v>59.6</v>
      </c>
      <c r="U109" s="66">
        <v>57.6</v>
      </c>
      <c r="V109" s="66">
        <v>56.1</v>
      </c>
      <c r="W109" s="66">
        <v>55</v>
      </c>
      <c r="X109" s="66">
        <v>58.5</v>
      </c>
      <c r="Y109" s="66">
        <v>51.4</v>
      </c>
      <c r="Z109" s="66">
        <v>50</v>
      </c>
      <c r="AA109" s="66">
        <v>69.599999999999994</v>
      </c>
      <c r="AB109" s="66">
        <v>74</v>
      </c>
      <c r="AC109" s="66">
        <v>74</v>
      </c>
      <c r="AD109" s="66">
        <v>71</v>
      </c>
      <c r="AE109" s="66"/>
      <c r="AF109" s="66">
        <v>92</v>
      </c>
      <c r="AG109" s="48"/>
      <c r="AH109" s="20">
        <f t="shared" si="9"/>
        <v>92</v>
      </c>
      <c r="AI109" s="19">
        <f t="shared" si="10"/>
        <v>26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2">SUM(B111:B215)</f>
        <v>0</v>
      </c>
      <c r="C216" s="36">
        <f t="shared" si="22"/>
        <v>0</v>
      </c>
      <c r="D216" s="36">
        <f t="shared" si="22"/>
        <v>0</v>
      </c>
      <c r="E216" s="36">
        <f t="shared" si="22"/>
        <v>0</v>
      </c>
      <c r="F216" s="36">
        <f t="shared" si="22"/>
        <v>0</v>
      </c>
      <c r="G216" s="36">
        <f t="shared" si="22"/>
        <v>0</v>
      </c>
      <c r="H216" s="36">
        <f t="shared" si="22"/>
        <v>0</v>
      </c>
      <c r="I216" s="36">
        <f t="shared" si="22"/>
        <v>0</v>
      </c>
      <c r="J216" s="36">
        <f t="shared" si="22"/>
        <v>0</v>
      </c>
      <c r="K216" s="36">
        <f t="shared" si="22"/>
        <v>0</v>
      </c>
      <c r="L216" s="36">
        <f t="shared" si="22"/>
        <v>0</v>
      </c>
      <c r="M216" s="36">
        <f t="shared" si="22"/>
        <v>0</v>
      </c>
      <c r="N216" s="36">
        <f t="shared" si="22"/>
        <v>0</v>
      </c>
      <c r="O216" s="36">
        <f t="shared" si="22"/>
        <v>0</v>
      </c>
      <c r="P216" s="36">
        <f t="shared" si="22"/>
        <v>0</v>
      </c>
      <c r="Q216" s="36">
        <f t="shared" si="22"/>
        <v>0</v>
      </c>
      <c r="R216" s="36">
        <f t="shared" si="22"/>
        <v>0</v>
      </c>
      <c r="S216" s="36">
        <f t="shared" si="22"/>
        <v>0</v>
      </c>
      <c r="T216" s="36">
        <f t="shared" si="22"/>
        <v>0</v>
      </c>
      <c r="U216" s="36">
        <f t="shared" si="22"/>
        <v>0</v>
      </c>
      <c r="V216" s="36">
        <f t="shared" si="22"/>
        <v>0</v>
      </c>
      <c r="W216" s="36">
        <f t="shared" si="22"/>
        <v>0</v>
      </c>
      <c r="X216" s="36">
        <f t="shared" si="22"/>
        <v>0</v>
      </c>
      <c r="Y216" s="36">
        <f t="shared" si="22"/>
        <v>0</v>
      </c>
      <c r="Z216" s="36">
        <f t="shared" si="22"/>
        <v>0</v>
      </c>
      <c r="AA216" s="36">
        <f t="shared" si="22"/>
        <v>0</v>
      </c>
      <c r="AB216" s="36">
        <f t="shared" si="22"/>
        <v>0</v>
      </c>
      <c r="AC216" s="36">
        <f t="shared" si="22"/>
        <v>0</v>
      </c>
      <c r="AD216" s="36">
        <f t="shared" si="22"/>
        <v>0</v>
      </c>
      <c r="AE216" s="36">
        <f t="shared" si="22"/>
        <v>0</v>
      </c>
      <c r="AF216" s="51">
        <f t="shared" si="22"/>
        <v>0</v>
      </c>
      <c r="AG216" s="50">
        <f t="shared" si="22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3">AF218</f>
        <v>0</v>
      </c>
      <c r="C218" s="46">
        <v>0.3</v>
      </c>
      <c r="D218" s="46">
        <f t="shared" ref="D218:P223" si="24">C218</f>
        <v>0.3</v>
      </c>
      <c r="E218" s="46">
        <f t="shared" si="24"/>
        <v>0.3</v>
      </c>
      <c r="F218" s="46">
        <f t="shared" si="24"/>
        <v>0.3</v>
      </c>
      <c r="G218" s="46">
        <f t="shared" si="24"/>
        <v>0.3</v>
      </c>
      <c r="H218" s="46">
        <f t="shared" si="24"/>
        <v>0.3</v>
      </c>
      <c r="I218" s="46">
        <f t="shared" si="24"/>
        <v>0.3</v>
      </c>
      <c r="J218" s="46">
        <f t="shared" si="24"/>
        <v>0.3</v>
      </c>
      <c r="K218" s="46">
        <f t="shared" si="24"/>
        <v>0.3</v>
      </c>
      <c r="L218" s="46">
        <f t="shared" si="24"/>
        <v>0.3</v>
      </c>
      <c r="M218" s="46">
        <f t="shared" si="24"/>
        <v>0.3</v>
      </c>
      <c r="N218" s="46">
        <f t="shared" si="24"/>
        <v>0.3</v>
      </c>
      <c r="O218" s="46">
        <f t="shared" si="24"/>
        <v>0.3</v>
      </c>
      <c r="P218" s="46">
        <f t="shared" si="24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3"/>
        <v>0</v>
      </c>
      <c r="C219" s="43">
        <v>0.4</v>
      </c>
      <c r="D219" s="43">
        <f t="shared" si="24"/>
        <v>0.4</v>
      </c>
      <c r="E219" s="43">
        <f t="shared" si="24"/>
        <v>0.4</v>
      </c>
      <c r="F219" s="43">
        <f t="shared" si="24"/>
        <v>0.4</v>
      </c>
      <c r="G219" s="43">
        <f t="shared" si="24"/>
        <v>0.4</v>
      </c>
      <c r="H219" s="43">
        <f t="shared" si="24"/>
        <v>0.4</v>
      </c>
      <c r="I219" s="43">
        <f t="shared" si="24"/>
        <v>0.4</v>
      </c>
      <c r="J219" s="43">
        <f t="shared" si="24"/>
        <v>0.4</v>
      </c>
      <c r="K219" s="43">
        <f t="shared" si="24"/>
        <v>0.4</v>
      </c>
      <c r="L219" s="43">
        <f t="shared" si="24"/>
        <v>0.4</v>
      </c>
      <c r="M219" s="43">
        <f t="shared" si="24"/>
        <v>0.4</v>
      </c>
      <c r="N219" s="43">
        <f t="shared" si="24"/>
        <v>0.4</v>
      </c>
      <c r="O219" s="43">
        <f t="shared" si="24"/>
        <v>0.4</v>
      </c>
      <c r="P219" s="43">
        <f t="shared" si="24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3"/>
        <v>0</v>
      </c>
      <c r="C220" s="43">
        <v>1.5</v>
      </c>
      <c r="D220" s="43">
        <f t="shared" si="24"/>
        <v>1.5</v>
      </c>
      <c r="E220" s="43">
        <f t="shared" si="24"/>
        <v>1.5</v>
      </c>
      <c r="F220" s="43">
        <f t="shared" si="24"/>
        <v>1.5</v>
      </c>
      <c r="G220" s="43">
        <f t="shared" si="24"/>
        <v>1.5</v>
      </c>
      <c r="H220" s="43">
        <f t="shared" si="24"/>
        <v>1.5</v>
      </c>
      <c r="I220" s="43">
        <f t="shared" si="24"/>
        <v>1.5</v>
      </c>
      <c r="J220" s="43">
        <f t="shared" si="24"/>
        <v>1.5</v>
      </c>
      <c r="K220" s="43">
        <f t="shared" si="24"/>
        <v>1.5</v>
      </c>
      <c r="L220" s="43">
        <f t="shared" si="24"/>
        <v>1.5</v>
      </c>
      <c r="M220" s="43">
        <f t="shared" si="24"/>
        <v>1.5</v>
      </c>
      <c r="N220" s="43">
        <f t="shared" si="24"/>
        <v>1.5</v>
      </c>
      <c r="O220" s="43">
        <f t="shared" si="24"/>
        <v>1.5</v>
      </c>
      <c r="P220" s="43">
        <f t="shared" si="24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3"/>
        <v>0</v>
      </c>
      <c r="C221" s="43">
        <v>0.3</v>
      </c>
      <c r="D221" s="43">
        <f t="shared" si="24"/>
        <v>0.3</v>
      </c>
      <c r="E221" s="43">
        <f t="shared" si="24"/>
        <v>0.3</v>
      </c>
      <c r="F221" s="43">
        <f t="shared" si="24"/>
        <v>0.3</v>
      </c>
      <c r="G221" s="43">
        <f t="shared" si="24"/>
        <v>0.3</v>
      </c>
      <c r="H221" s="43">
        <f t="shared" si="24"/>
        <v>0.3</v>
      </c>
      <c r="I221" s="43">
        <f t="shared" si="24"/>
        <v>0.3</v>
      </c>
      <c r="J221" s="43">
        <f t="shared" si="24"/>
        <v>0.3</v>
      </c>
      <c r="K221" s="43">
        <f t="shared" si="24"/>
        <v>0.3</v>
      </c>
      <c r="L221" s="43">
        <f t="shared" si="24"/>
        <v>0.3</v>
      </c>
      <c r="M221" s="43">
        <f t="shared" si="24"/>
        <v>0.3</v>
      </c>
      <c r="N221" s="43">
        <f t="shared" si="24"/>
        <v>0.3</v>
      </c>
      <c r="O221" s="43">
        <f t="shared" si="24"/>
        <v>0.3</v>
      </c>
      <c r="P221" s="43">
        <f t="shared" si="24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3"/>
        <v>0</v>
      </c>
      <c r="C222" s="43">
        <v>0.4</v>
      </c>
      <c r="D222" s="43">
        <f t="shared" si="24"/>
        <v>0.4</v>
      </c>
      <c r="E222" s="43">
        <f t="shared" si="24"/>
        <v>0.4</v>
      </c>
      <c r="F222" s="43">
        <f t="shared" si="24"/>
        <v>0.4</v>
      </c>
      <c r="G222" s="43">
        <f t="shared" si="24"/>
        <v>0.4</v>
      </c>
      <c r="H222" s="43">
        <f t="shared" si="24"/>
        <v>0.4</v>
      </c>
      <c r="I222" s="43">
        <f t="shared" si="24"/>
        <v>0.4</v>
      </c>
      <c r="J222" s="43">
        <f t="shared" si="24"/>
        <v>0.4</v>
      </c>
      <c r="K222" s="43">
        <f t="shared" si="24"/>
        <v>0.4</v>
      </c>
      <c r="L222" s="43">
        <f t="shared" si="24"/>
        <v>0.4</v>
      </c>
      <c r="M222" s="43">
        <f t="shared" si="24"/>
        <v>0.4</v>
      </c>
      <c r="N222" s="43">
        <f t="shared" si="24"/>
        <v>0.4</v>
      </c>
      <c r="O222" s="43">
        <f t="shared" si="24"/>
        <v>0.4</v>
      </c>
      <c r="P222" s="43">
        <f t="shared" si="24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3"/>
        <v>0</v>
      </c>
      <c r="C223" s="39">
        <v>0.64</v>
      </c>
      <c r="D223" s="39">
        <f t="shared" si="24"/>
        <v>0.64</v>
      </c>
      <c r="E223" s="39">
        <f t="shared" si="24"/>
        <v>0.64</v>
      </c>
      <c r="F223" s="39">
        <f t="shared" si="24"/>
        <v>0.64</v>
      </c>
      <c r="G223" s="39">
        <f t="shared" si="24"/>
        <v>0.64</v>
      </c>
      <c r="H223" s="39">
        <f t="shared" si="24"/>
        <v>0.64</v>
      </c>
      <c r="I223" s="39">
        <f t="shared" si="24"/>
        <v>0.64</v>
      </c>
      <c r="J223" s="39">
        <f t="shared" si="24"/>
        <v>0.64</v>
      </c>
      <c r="K223" s="39">
        <f t="shared" si="24"/>
        <v>0.64</v>
      </c>
      <c r="L223" s="39">
        <f t="shared" si="24"/>
        <v>0.64</v>
      </c>
      <c r="M223" s="39">
        <f t="shared" si="24"/>
        <v>0.64</v>
      </c>
      <c r="N223" s="39">
        <f t="shared" si="24"/>
        <v>0.64</v>
      </c>
      <c r="O223" s="39">
        <f t="shared" si="24"/>
        <v>0.64</v>
      </c>
      <c r="P223" s="39">
        <f t="shared" si="24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5">SUM(B218:B223)</f>
        <v>0</v>
      </c>
      <c r="C224" s="36">
        <f t="shared" si="25"/>
        <v>3.54</v>
      </c>
      <c r="D224" s="36">
        <f t="shared" si="25"/>
        <v>3.54</v>
      </c>
      <c r="E224" s="36">
        <f t="shared" si="25"/>
        <v>3.54</v>
      </c>
      <c r="F224" s="36">
        <f t="shared" si="25"/>
        <v>3.54</v>
      </c>
      <c r="G224" s="36">
        <f t="shared" si="25"/>
        <v>3.54</v>
      </c>
      <c r="H224" s="36">
        <f t="shared" si="25"/>
        <v>3.54</v>
      </c>
      <c r="I224" s="36">
        <f t="shared" si="25"/>
        <v>3.54</v>
      </c>
      <c r="J224" s="36">
        <f t="shared" si="25"/>
        <v>3.54</v>
      </c>
      <c r="K224" s="36">
        <f t="shared" si="25"/>
        <v>3.54</v>
      </c>
      <c r="L224" s="36">
        <f t="shared" si="25"/>
        <v>3.54</v>
      </c>
      <c r="M224" s="36">
        <f t="shared" si="25"/>
        <v>3.54</v>
      </c>
      <c r="N224" s="36">
        <f t="shared" si="25"/>
        <v>3.54</v>
      </c>
      <c r="O224" s="36">
        <f t="shared" si="25"/>
        <v>3.54</v>
      </c>
      <c r="P224" s="36">
        <f t="shared" si="25"/>
        <v>3.54</v>
      </c>
      <c r="Q224" s="36">
        <f t="shared" si="25"/>
        <v>0</v>
      </c>
      <c r="R224" s="36">
        <f t="shared" si="25"/>
        <v>0</v>
      </c>
      <c r="S224" s="36">
        <f t="shared" si="25"/>
        <v>0</v>
      </c>
      <c r="T224" s="36">
        <f t="shared" si="25"/>
        <v>0</v>
      </c>
      <c r="U224" s="36">
        <f t="shared" si="25"/>
        <v>0</v>
      </c>
      <c r="V224" s="36">
        <f t="shared" si="25"/>
        <v>0</v>
      </c>
      <c r="W224" s="36">
        <f t="shared" si="25"/>
        <v>0</v>
      </c>
      <c r="X224" s="36">
        <f t="shared" si="25"/>
        <v>0</v>
      </c>
      <c r="Y224" s="36">
        <f t="shared" si="25"/>
        <v>0</v>
      </c>
      <c r="Z224" s="36">
        <f t="shared" si="25"/>
        <v>0</v>
      </c>
      <c r="AA224" s="36">
        <f t="shared" si="25"/>
        <v>0</v>
      </c>
      <c r="AB224" s="36">
        <f t="shared" si="25"/>
        <v>0</v>
      </c>
      <c r="AC224" s="36">
        <f t="shared" si="25"/>
        <v>0</v>
      </c>
      <c r="AD224" s="36">
        <f t="shared" si="25"/>
        <v>0</v>
      </c>
      <c r="AE224" s="36">
        <f t="shared" si="25"/>
        <v>0</v>
      </c>
      <c r="AF224" s="36">
        <f t="shared" si="25"/>
        <v>0</v>
      </c>
      <c r="AG224" s="35">
        <f t="shared" si="25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1736.6399999999999</v>
      </c>
      <c r="C233" s="16">
        <f>INDEX(G9:N9,1,MATCH(MAX(G81:N81),G81:N81,0))</f>
        <v>0.375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10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2079/06/10)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2079/06/10)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6">B81</f>
        <v>1741.04</v>
      </c>
      <c r="U238" s="9">
        <f t="shared" si="26"/>
        <v>1716.6399999999999</v>
      </c>
      <c r="V238" s="9">
        <f t="shared" si="26"/>
        <v>1706.6399999999999</v>
      </c>
      <c r="W238" s="9">
        <f t="shared" si="26"/>
        <v>1666.84</v>
      </c>
      <c r="X238" s="9">
        <f t="shared" si="26"/>
        <v>1678.1399999999999</v>
      </c>
      <c r="Y238" s="9">
        <f t="shared" si="26"/>
        <v>1651.24</v>
      </c>
      <c r="Z238" s="9">
        <f t="shared" si="26"/>
        <v>1673.1399999999999</v>
      </c>
      <c r="AA238" s="9">
        <f t="shared" si="26"/>
        <v>1668.54</v>
      </c>
      <c r="AB238" s="9">
        <f t="shared" si="26"/>
        <v>1693.6399999999999</v>
      </c>
      <c r="AC238" s="9">
        <f t="shared" si="26"/>
        <v>1704.94</v>
      </c>
      <c r="AD238" s="9">
        <f t="shared" si="26"/>
        <v>1703.1399999999999</v>
      </c>
      <c r="AE238" s="9">
        <f t="shared" si="26"/>
        <v>1725.6399999999999</v>
      </c>
      <c r="AF238" s="9">
        <f t="shared" si="26"/>
        <v>1736.6399999999999</v>
      </c>
      <c r="AG238" s="9">
        <f t="shared" si="26"/>
        <v>1763.74</v>
      </c>
      <c r="AH238" s="9">
        <f t="shared" si="26"/>
        <v>1745.2399999999998</v>
      </c>
      <c r="AI238" s="9">
        <f t="shared" si="26"/>
        <v>1741.94</v>
      </c>
      <c r="AJ238" s="9">
        <f t="shared" si="26"/>
        <v>1741.94</v>
      </c>
      <c r="AK238" s="9">
        <f t="shared" si="26"/>
        <v>1744.7500000000002</v>
      </c>
      <c r="AL238" s="9">
        <f t="shared" si="26"/>
        <v>1747.0400000000002</v>
      </c>
      <c r="AM238" s="9">
        <f t="shared" si="26"/>
        <v>1773.5400000000002</v>
      </c>
      <c r="AN238" s="9">
        <f t="shared" si="26"/>
        <v>1750.64</v>
      </c>
      <c r="AO238" s="9">
        <f t="shared" si="26"/>
        <v>1758.44</v>
      </c>
      <c r="AP238" s="9">
        <f t="shared" si="26"/>
        <v>1788.04</v>
      </c>
      <c r="AQ238" s="9">
        <f t="shared" si="26"/>
        <v>1905.14</v>
      </c>
      <c r="AR238" s="9">
        <f t="shared" si="26"/>
        <v>1845.3200000000002</v>
      </c>
      <c r="AS238" s="9">
        <f t="shared" si="26"/>
        <v>1865.24</v>
      </c>
      <c r="AT238" s="9">
        <f t="shared" si="26"/>
        <v>1847.6399999999999</v>
      </c>
      <c r="AU238" s="9">
        <f t="shared" si="26"/>
        <v>1844.6399999999999</v>
      </c>
      <c r="AV238" s="9">
        <f t="shared" si="26"/>
        <v>1844.6399999999999</v>
      </c>
      <c r="AW238" s="9">
        <f t="shared" si="26"/>
        <v>1808.6399999999999</v>
      </c>
      <c r="AX238" s="9">
        <f t="shared" si="26"/>
        <v>1755.3400000000001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7">C223</f>
        <v>0.64</v>
      </c>
      <c r="C259" s="4">
        <f t="shared" si="27"/>
        <v>0.64</v>
      </c>
      <c r="D259" s="4">
        <f t="shared" si="27"/>
        <v>0.64</v>
      </c>
      <c r="E259" s="4">
        <f t="shared" si="27"/>
        <v>0.64</v>
      </c>
      <c r="F259" s="4">
        <f t="shared" si="27"/>
        <v>0.64</v>
      </c>
      <c r="G259" s="4">
        <f t="shared" si="27"/>
        <v>0.64</v>
      </c>
      <c r="H259" s="4">
        <f t="shared" si="27"/>
        <v>0.64</v>
      </c>
      <c r="I259" s="4">
        <f t="shared" si="27"/>
        <v>0.64</v>
      </c>
      <c r="J259" s="4">
        <f t="shared" si="27"/>
        <v>0.64</v>
      </c>
      <c r="K259" s="4">
        <f t="shared" si="27"/>
        <v>0.64</v>
      </c>
      <c r="L259" s="4">
        <f t="shared" si="27"/>
        <v>0.64</v>
      </c>
      <c r="M259" s="4">
        <f t="shared" si="27"/>
        <v>0.64</v>
      </c>
      <c r="N259" s="4">
        <f t="shared" si="27"/>
        <v>0.64</v>
      </c>
      <c r="O259" s="4">
        <f t="shared" si="27"/>
        <v>0.64</v>
      </c>
      <c r="P259" s="4">
        <f t="shared" si="27"/>
        <v>0</v>
      </c>
      <c r="Q259" s="4">
        <f t="shared" si="27"/>
        <v>0</v>
      </c>
      <c r="R259" s="4">
        <f t="shared" si="27"/>
        <v>0</v>
      </c>
      <c r="S259" s="4">
        <f t="shared" si="27"/>
        <v>0</v>
      </c>
      <c r="T259" s="4">
        <f t="shared" si="27"/>
        <v>0</v>
      </c>
      <c r="U259" s="4">
        <f t="shared" si="27"/>
        <v>0</v>
      </c>
      <c r="V259" s="4">
        <f t="shared" si="27"/>
        <v>0</v>
      </c>
      <c r="W259" s="4">
        <f t="shared" si="27"/>
        <v>0</v>
      </c>
      <c r="X259" s="4">
        <f t="shared" si="27"/>
        <v>0</v>
      </c>
      <c r="Y259" s="4">
        <f t="shared" si="27"/>
        <v>0</v>
      </c>
      <c r="Z259" s="4">
        <f t="shared" si="27"/>
        <v>0</v>
      </c>
      <c r="AA259" s="4">
        <f t="shared" si="27"/>
        <v>0</v>
      </c>
      <c r="AB259" s="4">
        <f t="shared" si="27"/>
        <v>0</v>
      </c>
      <c r="AC259" s="4">
        <f t="shared" si="27"/>
        <v>0</v>
      </c>
      <c r="AD259" s="4">
        <f t="shared" si="27"/>
        <v>0</v>
      </c>
      <c r="AE259" s="4">
        <f t="shared" si="27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28">IF(B227&lt;100,"",B227-520)</f>
        <v/>
      </c>
      <c r="C260" s="3" t="str">
        <f t="shared" si="28"/>
        <v/>
      </c>
      <c r="D260" s="3" t="str">
        <f t="shared" si="28"/>
        <v/>
      </c>
      <c r="E260" s="3" t="str">
        <f t="shared" si="28"/>
        <v/>
      </c>
      <c r="F260" s="3" t="str">
        <f t="shared" si="28"/>
        <v/>
      </c>
      <c r="G260" s="3" t="str">
        <f t="shared" si="28"/>
        <v/>
      </c>
      <c r="H260" s="3" t="str">
        <f t="shared" si="28"/>
        <v/>
      </c>
      <c r="I260" s="3" t="str">
        <f t="shared" si="28"/>
        <v/>
      </c>
      <c r="J260" s="3" t="str">
        <f t="shared" si="28"/>
        <v/>
      </c>
      <c r="K260" s="3" t="str">
        <f t="shared" si="28"/>
        <v/>
      </c>
      <c r="L260" s="3" t="str">
        <f t="shared" si="28"/>
        <v/>
      </c>
      <c r="M260" s="3" t="str">
        <f t="shared" si="28"/>
        <v/>
      </c>
      <c r="N260" s="3" t="str">
        <f t="shared" si="28"/>
        <v/>
      </c>
      <c r="O260" s="3" t="str">
        <f t="shared" si="28"/>
        <v/>
      </c>
      <c r="P260" s="3" t="str">
        <f t="shared" si="28"/>
        <v/>
      </c>
      <c r="Q260" s="3" t="str">
        <f t="shared" si="28"/>
        <v/>
      </c>
      <c r="R260" s="3" t="str">
        <f t="shared" si="28"/>
        <v/>
      </c>
      <c r="S260" s="3" t="str">
        <f t="shared" si="28"/>
        <v/>
      </c>
      <c r="T260" s="3" t="str">
        <f t="shared" si="28"/>
        <v/>
      </c>
      <c r="U260" s="3" t="str">
        <f t="shared" si="28"/>
        <v/>
      </c>
      <c r="V260" s="3" t="str">
        <f t="shared" si="28"/>
        <v/>
      </c>
      <c r="W260" s="3" t="str">
        <f t="shared" si="28"/>
        <v/>
      </c>
      <c r="X260" s="3" t="str">
        <f t="shared" si="28"/>
        <v/>
      </c>
      <c r="Y260" s="3" t="str">
        <f t="shared" si="28"/>
        <v/>
      </c>
      <c r="Z260" s="3" t="str">
        <f t="shared" si="28"/>
        <v/>
      </c>
      <c r="AA260" s="3" t="str">
        <f t="shared" si="28"/>
        <v/>
      </c>
      <c r="AB260" s="3" t="str">
        <f t="shared" si="28"/>
        <v/>
      </c>
      <c r="AC260" s="3" t="str">
        <f t="shared" si="28"/>
        <v/>
      </c>
      <c r="AD260" s="3" t="str">
        <f t="shared" si="28"/>
        <v/>
      </c>
      <c r="AE260" s="3" t="str">
        <f t="shared" si="28"/>
        <v/>
      </c>
      <c r="AF260" s="3" t="str">
        <f t="shared" si="28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29">IF(B228&lt;100,"",B228-620)</f>
        <v/>
      </c>
      <c r="C261" s="3" t="str">
        <f t="shared" si="29"/>
        <v/>
      </c>
      <c r="D261" s="3" t="str">
        <f t="shared" si="29"/>
        <v/>
      </c>
      <c r="E261" s="3" t="str">
        <f t="shared" si="29"/>
        <v/>
      </c>
      <c r="F261" s="3" t="str">
        <f t="shared" si="29"/>
        <v/>
      </c>
      <c r="G261" s="3" t="str">
        <f t="shared" si="29"/>
        <v/>
      </c>
      <c r="H261" s="3" t="str">
        <f t="shared" si="29"/>
        <v/>
      </c>
      <c r="I261" s="3" t="str">
        <f t="shared" si="29"/>
        <v/>
      </c>
      <c r="J261" s="3" t="str">
        <f t="shared" si="29"/>
        <v/>
      </c>
      <c r="K261" s="3" t="str">
        <f t="shared" si="29"/>
        <v/>
      </c>
      <c r="L261" s="3" t="str">
        <f t="shared" si="29"/>
        <v/>
      </c>
      <c r="M261" s="3" t="str">
        <f t="shared" si="29"/>
        <v/>
      </c>
      <c r="N261" s="3" t="str">
        <f t="shared" si="29"/>
        <v/>
      </c>
      <c r="O261" s="3" t="str">
        <f t="shared" si="29"/>
        <v/>
      </c>
      <c r="P261" s="3" t="str">
        <f t="shared" si="29"/>
        <v/>
      </c>
      <c r="Q261" s="3" t="str">
        <f t="shared" si="29"/>
        <v/>
      </c>
      <c r="R261" s="3" t="str">
        <f t="shared" si="29"/>
        <v/>
      </c>
      <c r="S261" s="3" t="str">
        <f t="shared" si="29"/>
        <v/>
      </c>
      <c r="T261" s="3" t="str">
        <f t="shared" si="29"/>
        <v/>
      </c>
      <c r="U261" s="3" t="str">
        <f t="shared" si="29"/>
        <v/>
      </c>
      <c r="V261" s="3" t="str">
        <f t="shared" si="29"/>
        <v/>
      </c>
      <c r="W261" s="3" t="str">
        <f t="shared" si="29"/>
        <v/>
      </c>
      <c r="X261" s="3" t="str">
        <f t="shared" si="29"/>
        <v/>
      </c>
      <c r="Y261" s="3" t="str">
        <f t="shared" si="29"/>
        <v/>
      </c>
      <c r="Z261" s="3" t="str">
        <f t="shared" si="29"/>
        <v/>
      </c>
      <c r="AA261" s="3" t="str">
        <f t="shared" si="29"/>
        <v/>
      </c>
      <c r="AB261" s="3" t="str">
        <f t="shared" si="29"/>
        <v/>
      </c>
      <c r="AC261" s="3" t="str">
        <f t="shared" si="29"/>
        <v/>
      </c>
      <c r="AD261" s="3" t="str">
        <f t="shared" si="29"/>
        <v/>
      </c>
      <c r="AE261" s="3" t="str">
        <f t="shared" si="29"/>
        <v/>
      </c>
      <c r="AF261" s="3" t="str">
        <f t="shared" si="29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0">IF(B229&lt;100,"",B229-330)</f>
        <v/>
      </c>
      <c r="C262" s="3" t="str">
        <f t="shared" si="30"/>
        <v/>
      </c>
      <c r="D262" s="3" t="str">
        <f t="shared" si="30"/>
        <v/>
      </c>
      <c r="E262" s="3" t="str">
        <f t="shared" si="30"/>
        <v/>
      </c>
      <c r="F262" s="3" t="str">
        <f t="shared" si="30"/>
        <v/>
      </c>
      <c r="G262" s="3" t="str">
        <f t="shared" si="30"/>
        <v/>
      </c>
      <c r="H262" s="3" t="str">
        <f t="shared" si="30"/>
        <v/>
      </c>
      <c r="I262" s="3" t="str">
        <f t="shared" si="30"/>
        <v/>
      </c>
      <c r="J262" s="3" t="str">
        <f t="shared" si="30"/>
        <v/>
      </c>
      <c r="K262" s="3" t="str">
        <f t="shared" si="30"/>
        <v/>
      </c>
      <c r="L262" s="3" t="str">
        <f t="shared" si="30"/>
        <v/>
      </c>
      <c r="M262" s="3" t="str">
        <f t="shared" si="30"/>
        <v/>
      </c>
      <c r="N262" s="3" t="str">
        <f t="shared" si="30"/>
        <v/>
      </c>
      <c r="O262" s="3" t="str">
        <f t="shared" si="30"/>
        <v/>
      </c>
      <c r="P262" s="3" t="str">
        <f t="shared" si="30"/>
        <v/>
      </c>
      <c r="Q262" s="3" t="str">
        <f t="shared" si="30"/>
        <v/>
      </c>
      <c r="R262" s="3" t="str">
        <f t="shared" si="30"/>
        <v/>
      </c>
      <c r="S262" s="3" t="str">
        <f t="shared" si="30"/>
        <v/>
      </c>
      <c r="T262" s="3" t="str">
        <f t="shared" si="30"/>
        <v/>
      </c>
      <c r="U262" s="3" t="str">
        <f t="shared" si="30"/>
        <v/>
      </c>
      <c r="V262" s="3" t="str">
        <f t="shared" si="30"/>
        <v/>
      </c>
      <c r="W262" s="3" t="str">
        <f t="shared" si="30"/>
        <v/>
      </c>
      <c r="X262" s="3" t="str">
        <f t="shared" si="30"/>
        <v/>
      </c>
      <c r="Y262" s="3" t="str">
        <f t="shared" si="30"/>
        <v/>
      </c>
      <c r="Z262" s="3" t="str">
        <f t="shared" si="30"/>
        <v/>
      </c>
      <c r="AA262" s="3" t="str">
        <f t="shared" si="30"/>
        <v/>
      </c>
      <c r="AB262" s="3" t="str">
        <f t="shared" si="30"/>
        <v/>
      </c>
      <c r="AC262" s="3" t="str">
        <f t="shared" si="30"/>
        <v/>
      </c>
      <c r="AD262" s="3" t="str">
        <f t="shared" si="30"/>
        <v/>
      </c>
      <c r="AE262" s="3" t="str">
        <f t="shared" si="30"/>
        <v/>
      </c>
      <c r="AF262" s="3" t="str">
        <f t="shared" si="30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1">IF(B230&lt;100,"",B230-1500)</f>
        <v/>
      </c>
      <c r="C263" s="3" t="str">
        <f t="shared" si="31"/>
        <v/>
      </c>
      <c r="D263" s="3" t="str">
        <f t="shared" si="31"/>
        <v/>
      </c>
      <c r="E263" s="3" t="str">
        <f t="shared" si="31"/>
        <v/>
      </c>
      <c r="F263" s="3" t="str">
        <f t="shared" si="31"/>
        <v/>
      </c>
      <c r="G263" s="3" t="str">
        <f t="shared" si="31"/>
        <v/>
      </c>
      <c r="H263" s="3" t="str">
        <f t="shared" si="31"/>
        <v/>
      </c>
      <c r="I263" s="3" t="str">
        <f t="shared" si="31"/>
        <v/>
      </c>
      <c r="J263" s="3" t="str">
        <f t="shared" si="31"/>
        <v/>
      </c>
      <c r="K263" s="3" t="str">
        <f t="shared" si="31"/>
        <v/>
      </c>
      <c r="L263" s="3" t="str">
        <f t="shared" si="31"/>
        <v/>
      </c>
      <c r="M263" s="3" t="str">
        <f t="shared" si="31"/>
        <v/>
      </c>
      <c r="N263" s="3" t="str">
        <f t="shared" si="31"/>
        <v/>
      </c>
      <c r="O263" s="3" t="str">
        <f t="shared" si="31"/>
        <v/>
      </c>
      <c r="P263" s="3" t="str">
        <f t="shared" si="31"/>
        <v/>
      </c>
      <c r="Q263" s="3" t="str">
        <f t="shared" si="31"/>
        <v/>
      </c>
      <c r="R263" s="3" t="str">
        <f t="shared" si="31"/>
        <v/>
      </c>
      <c r="S263" s="3" t="str">
        <f t="shared" si="31"/>
        <v/>
      </c>
      <c r="T263" s="3" t="str">
        <f t="shared" si="31"/>
        <v/>
      </c>
      <c r="U263" s="3" t="str">
        <f t="shared" si="31"/>
        <v/>
      </c>
      <c r="V263" s="3" t="str">
        <f t="shared" si="31"/>
        <v/>
      </c>
      <c r="W263" s="3" t="str">
        <f t="shared" si="31"/>
        <v/>
      </c>
      <c r="X263" s="3" t="str">
        <f t="shared" si="31"/>
        <v/>
      </c>
      <c r="Y263" s="3" t="str">
        <f t="shared" si="31"/>
        <v/>
      </c>
      <c r="Z263" s="3" t="str">
        <f t="shared" si="31"/>
        <v/>
      </c>
      <c r="AA263" s="3" t="str">
        <f t="shared" si="31"/>
        <v/>
      </c>
      <c r="AB263" s="3" t="str">
        <f t="shared" si="31"/>
        <v/>
      </c>
      <c r="AC263" s="3" t="str">
        <f t="shared" si="31"/>
        <v/>
      </c>
      <c r="AD263" s="3" t="str">
        <f t="shared" si="31"/>
        <v/>
      </c>
      <c r="AE263" s="3" t="str">
        <f t="shared" si="31"/>
        <v/>
      </c>
      <c r="AF263" s="3" t="str">
        <f t="shared" si="31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Y11:AF11 B16:AF16 B20:AF23">
    <cfRule type="expression" dxfId="7060" priority="243">
      <formula>B$9&gt;=20/24</formula>
    </cfRule>
    <cfRule type="expression" dxfId="7059" priority="244">
      <formula>AND(B$9&gt;=14/24,B$9&lt;20/24)</formula>
    </cfRule>
    <cfRule type="expression" dxfId="7058" priority="245">
      <formula>AND(B$9&gt;=8/24,B$9&lt;14/24)</formula>
    </cfRule>
    <cfRule type="expression" dxfId="7057" priority="246">
      <formula>B$9&lt;8/24</formula>
    </cfRule>
  </conditionalFormatting>
  <conditionalFormatting sqref="AL4:AL6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7056" priority="238">
      <formula>S$9&gt;=20/24</formula>
    </cfRule>
    <cfRule type="expression" dxfId="7055" priority="239">
      <formula>AND(S$9&gt;=14/24,S$9&lt;20/24)</formula>
    </cfRule>
    <cfRule type="expression" dxfId="7054" priority="240">
      <formula>AND(S$9&gt;=8/24,S$9&lt;14/24)</formula>
    </cfRule>
    <cfRule type="expression" dxfId="7053" priority="241">
      <formula>S$9&lt;8/24</formula>
    </cfRule>
  </conditionalFormatting>
  <conditionalFormatting sqref="AG57 B12:X16 Y11:AF16 B18:AF18 B37:AF37 B20:AF23 S39:AF39">
    <cfRule type="expression" dxfId="7052" priority="237">
      <formula>B11&gt;$AG11</formula>
    </cfRule>
  </conditionalFormatting>
  <conditionalFormatting sqref="A91:A101 A11:A14 A51:A78 A87:A89 A194:A224 A38:A49 A110:A181 A34:A35 A83:A85 A80:A81 A103:A105 A31:A32 A18:A29 A16">
    <cfRule type="expression" dxfId="7051" priority="236">
      <formula>$AH11=0</formula>
    </cfRule>
  </conditionalFormatting>
  <conditionalFormatting sqref="A106">
    <cfRule type="expression" dxfId="7050" priority="235">
      <formula>$AH106=0</formula>
    </cfRule>
  </conditionalFormatting>
  <conditionalFormatting sqref="AL35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7049" priority="233">
      <formula>$AH37=0</formula>
    </cfRule>
  </conditionalFormatting>
  <conditionalFormatting sqref="A90">
    <cfRule type="expression" dxfId="7048" priority="232">
      <formula>$AH90=0</formula>
    </cfRule>
  </conditionalFormatting>
  <conditionalFormatting sqref="A15">
    <cfRule type="expression" dxfId="7047" priority="231">
      <formula>$AH15=0</formula>
    </cfRule>
  </conditionalFormatting>
  <conditionalFormatting sqref="A188:A193">
    <cfRule type="expression" dxfId="7046" priority="230">
      <formula>$AH188=0</formula>
    </cfRule>
  </conditionalFormatting>
  <conditionalFormatting sqref="A182:A187">
    <cfRule type="expression" dxfId="7045" priority="229">
      <formula>$AH182=0</formula>
    </cfRule>
  </conditionalFormatting>
  <conditionalFormatting sqref="A50">
    <cfRule type="expression" dxfId="7044" priority="228">
      <formula>$AH50=0</formula>
    </cfRule>
  </conditionalFormatting>
  <conditionalFormatting sqref="A86">
    <cfRule type="expression" dxfId="7043" priority="227">
      <formula>$AH86=0</formula>
    </cfRule>
  </conditionalFormatting>
  <conditionalFormatting sqref="C91:AF91">
    <cfRule type="expression" dxfId="7042" priority="223">
      <formula>C$9&gt;=20/24</formula>
    </cfRule>
    <cfRule type="expression" dxfId="7041" priority="224">
      <formula>AND(C$9&gt;=14/24,C$9&lt;20/24)</formula>
    </cfRule>
    <cfRule type="expression" dxfId="7040" priority="225">
      <formula>AND(C$9&gt;=8/24,C$9&lt;14/24)</formula>
    </cfRule>
    <cfRule type="expression" dxfId="7039" priority="226">
      <formula>C$9&lt;8/24</formula>
    </cfRule>
  </conditionalFormatting>
  <conditionalFormatting sqref="AL36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7038" priority="249">
      <formula>C$9&gt;=20/24</formula>
    </cfRule>
    <cfRule type="expression" dxfId="7037" priority="250">
      <formula>AND(C$9&gt;=14/24,C$9&lt;20/24)</formula>
    </cfRule>
    <cfRule type="expression" dxfId="7036" priority="251">
      <formula>AND(C$9&gt;=8/24,C$9&lt;14/24)</formula>
    </cfRule>
    <cfRule type="expression" dxfId="7035" priority="252">
      <formula>C$9&lt;8/24</formula>
    </cfRule>
  </conditionalFormatting>
  <conditionalFormatting sqref="A225">
    <cfRule type="expression" dxfId="7034" priority="253">
      <formula>$AH225=0</formula>
    </cfRule>
  </conditionalFormatting>
  <conditionalFormatting sqref="AG237">
    <cfRule type="expression" dxfId="7033" priority="254">
      <formula>B$9&gt;=20/24</formula>
    </cfRule>
    <cfRule type="expression" dxfId="7032" priority="255">
      <formula>AND(B$9&gt;=14/24,B$9&lt;20/24)</formula>
    </cfRule>
    <cfRule type="expression" dxfId="7031" priority="256">
      <formula>AND(B$9&gt;=8/24,B$9&lt;14/24)</formula>
    </cfRule>
    <cfRule type="expression" dxfId="7030" priority="257">
      <formula>B$9&lt;8/24</formula>
    </cfRule>
  </conditionalFormatting>
  <conditionalFormatting sqref="S8">
    <cfRule type="expression" dxfId="7029" priority="218">
      <formula>U$9&gt;=20/24</formula>
    </cfRule>
    <cfRule type="expression" dxfId="7028" priority="219">
      <formula>AND(U$9&gt;=14/24,U$9&lt;20/24)</formula>
    </cfRule>
    <cfRule type="expression" dxfId="7027" priority="220">
      <formula>AND(U$9&gt;=8/24,U$9&lt;14/24)</formula>
    </cfRule>
    <cfRule type="expression" dxfId="7026" priority="221">
      <formula>U$9&lt;8/24</formula>
    </cfRule>
  </conditionalFormatting>
  <conditionalFormatting sqref="AB8">
    <cfRule type="expression" dxfId="7025" priority="214">
      <formula>AD$9&gt;=20/24</formula>
    </cfRule>
    <cfRule type="expression" dxfId="7024" priority="215">
      <formula>AND(AD$9&gt;=14/24,AD$9&lt;20/24)</formula>
    </cfRule>
    <cfRule type="expression" dxfId="7023" priority="216">
      <formula>AND(AD$9&gt;=8/24,AD$9&lt;14/24)</formula>
    </cfRule>
    <cfRule type="expression" dxfId="7022" priority="217">
      <formula>AD$9&lt;8/24</formula>
    </cfRule>
  </conditionalFormatting>
  <conditionalFormatting sqref="AH237:AX237">
    <cfRule type="expression" dxfId="7021" priority="258">
      <formula>AG$9&gt;=20/24</formula>
    </cfRule>
    <cfRule type="expression" dxfId="7020" priority="259">
      <formula>AND(AG$9&gt;=14/24,AG$9&lt;20/24)</formula>
    </cfRule>
    <cfRule type="expression" dxfId="7019" priority="260">
      <formula>AND(AG$9&gt;=8/24,AG$9&lt;14/24)</formula>
    </cfRule>
    <cfRule type="expression" dxfId="7018" priority="261">
      <formula>AG$9&lt;8/24</formula>
    </cfRule>
  </conditionalFormatting>
  <conditionalFormatting sqref="T237">
    <cfRule type="expression" dxfId="7017" priority="262">
      <formula>AX$9&gt;=20/24</formula>
    </cfRule>
    <cfRule type="expression" dxfId="7016" priority="263">
      <formula>AND(AX$9&gt;=14/24,AX$9&lt;20/24)</formula>
    </cfRule>
    <cfRule type="expression" dxfId="7015" priority="264">
      <formula>AND(AX$9&gt;=8/24,AX$9&lt;14/24)</formula>
    </cfRule>
    <cfRule type="expression" dxfId="7014" priority="265">
      <formula>AX$9&lt;8/24</formula>
    </cfRule>
  </conditionalFormatting>
  <conditionalFormatting sqref="A107:A108">
    <cfRule type="expression" dxfId="7013" priority="213">
      <formula>$AH107=0</formula>
    </cfRule>
  </conditionalFormatting>
  <conditionalFormatting sqref="E46:M46 M47:M49 E47:L47 N46:P49 AB38:AF38 Y46:AF47 E63:AF63">
    <cfRule type="expression" dxfId="7012" priority="209">
      <formula>E$9&gt;=20/24</formula>
    </cfRule>
    <cfRule type="expression" dxfId="7011" priority="210">
      <formula>AND(E$9&gt;=14/24,E$9&lt;20/24)</formula>
    </cfRule>
    <cfRule type="expression" dxfId="7010" priority="211">
      <formula>AND(E$9&gt;=8/24,E$9&lt;14/24)</formula>
    </cfRule>
    <cfRule type="expression" dxfId="7009" priority="212">
      <formula>E$9&lt;8/24</formula>
    </cfRule>
  </conditionalFormatting>
  <conditionalFormatting sqref="E45:L45 Y45:AF45">
    <cfRule type="expression" dxfId="7008" priority="205">
      <formula>E$9&gt;=20/24</formula>
    </cfRule>
    <cfRule type="expression" dxfId="7007" priority="206">
      <formula>AND(E$9&gt;=14/24,E$9&lt;20/24)</formula>
    </cfRule>
    <cfRule type="expression" dxfId="7006" priority="207">
      <formula>AND(E$9&gt;=8/24,E$9&lt;14/24)</formula>
    </cfRule>
    <cfRule type="expression" dxfId="7005" priority="208">
      <formula>E$9&lt;8/24</formula>
    </cfRule>
  </conditionalFormatting>
  <conditionalFormatting sqref="E45:L45 E46:M46 M47:M49 E47:L47 N46:P49 AB38:AF38 Y45:AF47">
    <cfRule type="expression" dxfId="7004" priority="204">
      <formula>E38&gt;$AG38</formula>
    </cfRule>
  </conditionalFormatting>
  <conditionalFormatting sqref="C88:AF88 T38:AA38 C75:AF78 L39:R39 E64:W65 U14:X14 D92:AF98 Y18:AF18 Y12:AF14 Y25:AF27 Y29:AF29 Y31:AF34 S59:AF61 X64:AF73">
    <cfRule type="expression" dxfId="7003" priority="200">
      <formula>C$9&gt;=20/24</formula>
    </cfRule>
    <cfRule type="expression" dxfId="7002" priority="201">
      <formula>AND(C$9&gt;=14/24,C$9&lt;20/24)</formula>
    </cfRule>
    <cfRule type="expression" dxfId="7001" priority="202">
      <formula>AND(C$9&gt;=8/24,C$9&lt;14/24)</formula>
    </cfRule>
    <cfRule type="expression" dxfId="7000" priority="203">
      <formula>C$9&lt;8/24</formula>
    </cfRule>
  </conditionalFormatting>
  <conditionalFormatting sqref="Y35:AF35">
    <cfRule type="expression" dxfId="6999" priority="196">
      <formula>Y$9&gt;=20/24</formula>
    </cfRule>
    <cfRule type="expression" dxfId="6998" priority="197">
      <formula>AND(Y$9&gt;=14/24,Y$9&lt;20/24)</formula>
    </cfRule>
    <cfRule type="expression" dxfId="6997" priority="198">
      <formula>AND(Y$9&gt;=8/24,Y$9&lt;14/24)</formula>
    </cfRule>
    <cfRule type="expression" dxfId="6996" priority="199">
      <formula>Y$9&lt;8/24</formula>
    </cfRule>
  </conditionalFormatting>
  <conditionalFormatting sqref="C57:AF57 T38:AA38 E48:L48 L39:R39 Y25:AF29 Y31:AF35 S59:AF61">
    <cfRule type="expression" dxfId="6995" priority="195">
      <formula>C25&gt;$AG25</formula>
    </cfRule>
  </conditionalFormatting>
  <conditionalFormatting sqref="Y37:AF37">
    <cfRule type="expression" dxfId="6994" priority="191">
      <formula>Y$9&gt;=20/24</formula>
    </cfRule>
    <cfRule type="expression" dxfId="6993" priority="192">
      <formula>AND(Y$9&gt;=14/24,Y$9&lt;20/24)</formula>
    </cfRule>
    <cfRule type="expression" dxfId="6992" priority="193">
      <formula>AND(Y$9&gt;=8/24,Y$9&lt;14/24)</formula>
    </cfRule>
    <cfRule type="expression" dxfId="6991" priority="194">
      <formula>Y$9&lt;8/24</formula>
    </cfRule>
  </conditionalFormatting>
  <conditionalFormatting sqref="U15:AF15">
    <cfRule type="expression" dxfId="6990" priority="187">
      <formula>U$9&gt;=20/24</formula>
    </cfRule>
    <cfRule type="expression" dxfId="6989" priority="188">
      <formula>AND(U$9&gt;=14/24,U$9&lt;20/24)</formula>
    </cfRule>
    <cfRule type="expression" dxfId="6988" priority="189">
      <formula>AND(U$9&gt;=8/24,U$9&lt;14/24)</formula>
    </cfRule>
    <cfRule type="expression" dxfId="6987" priority="190">
      <formula>U$9&lt;8/24</formula>
    </cfRule>
  </conditionalFormatting>
  <conditionalFormatting sqref="Y36:AF36">
    <cfRule type="expression" dxfId="6986" priority="183">
      <formula>Y$9&gt;=20/24</formula>
    </cfRule>
    <cfRule type="expression" dxfId="6985" priority="184">
      <formula>AND(Y$9&gt;=14/24,Y$9&lt;20/24)</formula>
    </cfRule>
    <cfRule type="expression" dxfId="6984" priority="185">
      <formula>AND(Y$9&gt;=8/24,Y$9&lt;14/24)</formula>
    </cfRule>
    <cfRule type="expression" dxfId="6983" priority="186">
      <formula>Y$9&lt;8/24</formula>
    </cfRule>
  </conditionalFormatting>
  <conditionalFormatting sqref="Y36:AF36">
    <cfRule type="expression" dxfId="6982" priority="182">
      <formula>Y36&gt;$AG36</formula>
    </cfRule>
  </conditionalFormatting>
  <conditionalFormatting sqref="Y48:AF49">
    <cfRule type="expression" dxfId="6981" priority="178">
      <formula>Y$9&gt;=20/24</formula>
    </cfRule>
    <cfRule type="expression" dxfId="6980" priority="179">
      <formula>AND(Y$9&gt;=14/24,Y$9&lt;20/24)</formula>
    </cfRule>
    <cfRule type="expression" dxfId="6979" priority="180">
      <formula>AND(Y$9&gt;=8/24,Y$9&lt;14/24)</formula>
    </cfRule>
    <cfRule type="expression" dxfId="6978" priority="181">
      <formula>Y$9&lt;8/24</formula>
    </cfRule>
  </conditionalFormatting>
  <conditionalFormatting sqref="Y48:AF49">
    <cfRule type="expression" dxfId="6977" priority="177">
      <formula>Y48&gt;$AG48</formula>
    </cfRule>
  </conditionalFormatting>
  <conditionalFormatting sqref="M45:P45 Q45:X49 Y50:AF51">
    <cfRule type="expression" dxfId="6976" priority="173">
      <formula>M$9&gt;=20/24</formula>
    </cfRule>
    <cfRule type="expression" dxfId="6975" priority="174">
      <formula>AND(M$9&gt;=14/24,M$9&lt;20/24)</formula>
    </cfRule>
    <cfRule type="expression" dxfId="6974" priority="175">
      <formula>AND(M$9&gt;=8/24,M$9&lt;14/24)</formula>
    </cfRule>
    <cfRule type="expression" dxfId="6973" priority="176">
      <formula>M$9&lt;8/24</formula>
    </cfRule>
  </conditionalFormatting>
  <conditionalFormatting sqref="M45:P45 Q45:X49 Y50:AF51">
    <cfRule type="expression" dxfId="6972" priority="172">
      <formula>M45&gt;$AG45</formula>
    </cfRule>
  </conditionalFormatting>
  <conditionalFormatting sqref="Y28:AF28">
    <cfRule type="expression" dxfId="6971" priority="168">
      <formula>Y$9&gt;=20/24</formula>
    </cfRule>
    <cfRule type="expression" dxfId="6970" priority="169">
      <formula>AND(Y$9&gt;=14/24,Y$9&lt;20/24)</formula>
    </cfRule>
    <cfRule type="expression" dxfId="6969" priority="170">
      <formula>AND(Y$9&gt;=8/24,Y$9&lt;14/24)</formula>
    </cfRule>
    <cfRule type="expression" dxfId="6968" priority="171">
      <formula>Y$9&lt;8/24</formula>
    </cfRule>
  </conditionalFormatting>
  <conditionalFormatting sqref="C31:X31 Y19:AF19 Y24:AF24">
    <cfRule type="expression" dxfId="6967" priority="164">
      <formula>C$9&gt;=20/24</formula>
    </cfRule>
    <cfRule type="expression" dxfId="6966" priority="165">
      <formula>AND(C$9&gt;=14/24,C$9&lt;20/24)</formula>
    </cfRule>
    <cfRule type="expression" dxfId="6965" priority="166">
      <formula>AND(C$9&gt;=8/24,C$9&lt;14/24)</formula>
    </cfRule>
    <cfRule type="expression" dxfId="6964" priority="167">
      <formula>C$9&lt;8/24</formula>
    </cfRule>
  </conditionalFormatting>
  <conditionalFormatting sqref="C31:X31 Y19:AF19 Y24:AF24">
    <cfRule type="expression" dxfId="6963" priority="163">
      <formula>C19&gt;$AG19</formula>
    </cfRule>
  </conditionalFormatting>
  <conditionalFormatting sqref="D45">
    <cfRule type="expression" dxfId="6962" priority="159">
      <formula>D$9&gt;=20/24</formula>
    </cfRule>
    <cfRule type="expression" dxfId="6961" priority="160">
      <formula>AND(D$9&gt;=14/24,D$9&lt;20/24)</formula>
    </cfRule>
    <cfRule type="expression" dxfId="6960" priority="161">
      <formula>AND(D$9&gt;=8/24,D$9&lt;14/24)</formula>
    </cfRule>
    <cfRule type="expression" dxfId="6959" priority="162">
      <formula>D$9&lt;8/24</formula>
    </cfRule>
  </conditionalFormatting>
  <conditionalFormatting sqref="D45">
    <cfRule type="expression" dxfId="6958" priority="158">
      <formula>D45&gt;$AG45</formula>
    </cfRule>
  </conditionalFormatting>
  <conditionalFormatting sqref="B101 B80:AF80 B89:AF89 B103:B108 B11:X11">
    <cfRule type="expression" dxfId="6957" priority="145">
      <formula>B$9&gt;=20/24</formula>
    </cfRule>
    <cfRule type="expression" dxfId="6956" priority="146">
      <formula>AND(B$9&gt;=14/24,B$9&lt;20/24)</formula>
    </cfRule>
    <cfRule type="expression" dxfId="6955" priority="147">
      <formula>AND(B$9&gt;=8/24,B$9&lt;14/24)</formula>
    </cfRule>
    <cfRule type="expression" dxfId="6954" priority="148">
      <formula>B$9&lt;8/24</formula>
    </cfRule>
  </conditionalFormatting>
  <conditionalFormatting sqref="B39:K39">
    <cfRule type="expression" dxfId="6953" priority="141">
      <formula>B$9&gt;=20/24</formula>
    </cfRule>
    <cfRule type="expression" dxfId="6952" priority="142">
      <formula>AND(B$9&gt;=14/24,B$9&lt;20/24)</formula>
    </cfRule>
    <cfRule type="expression" dxfId="6951" priority="143">
      <formula>AND(B$9&gt;=8/24,B$9&lt;14/24)</formula>
    </cfRule>
    <cfRule type="expression" dxfId="6950" priority="144">
      <formula>B$9&lt;8/24</formula>
    </cfRule>
  </conditionalFormatting>
  <conditionalFormatting sqref="B39:K39 B11:X11">
    <cfRule type="expression" dxfId="6949" priority="140">
      <formula>B11&gt;$AG11</formula>
    </cfRule>
  </conditionalFormatting>
  <conditionalFormatting sqref="B91">
    <cfRule type="expression" dxfId="6948" priority="136">
      <formula>B$9&gt;=20/24</formula>
    </cfRule>
    <cfRule type="expression" dxfId="6947" priority="137">
      <formula>AND(B$9&gt;=14/24,B$9&lt;20/24)</formula>
    </cfRule>
    <cfRule type="expression" dxfId="6946" priority="138">
      <formula>AND(B$9&gt;=8/24,B$9&lt;14/24)</formula>
    </cfRule>
    <cfRule type="expression" dxfId="6945" priority="139">
      <formula>B$9&lt;8/24</formula>
    </cfRule>
  </conditionalFormatting>
  <conditionalFormatting sqref="B63:D63 B46:D47 B38:S38">
    <cfRule type="expression" dxfId="6944" priority="132">
      <formula>B$9&gt;=20/24</formula>
    </cfRule>
    <cfRule type="expression" dxfId="6943" priority="133">
      <formula>AND(B$9&gt;=14/24,B$9&lt;20/24)</formula>
    </cfRule>
    <cfRule type="expression" dxfId="6942" priority="134">
      <formula>AND(B$9&gt;=8/24,B$9&lt;14/24)</formula>
    </cfRule>
    <cfRule type="expression" dxfId="6941" priority="135">
      <formula>B$9&lt;8/24</formula>
    </cfRule>
  </conditionalFormatting>
  <conditionalFormatting sqref="B45:C45">
    <cfRule type="expression" dxfId="6940" priority="128">
      <formula>B$9&gt;=20/24</formula>
    </cfRule>
    <cfRule type="expression" dxfId="6939" priority="129">
      <formula>AND(B$9&gt;=14/24,B$9&lt;20/24)</formula>
    </cfRule>
    <cfRule type="expression" dxfId="6938" priority="130">
      <formula>AND(B$9&gt;=8/24,B$9&lt;14/24)</formula>
    </cfRule>
    <cfRule type="expression" dxfId="6937" priority="131">
      <formula>B$9&lt;8/24</formula>
    </cfRule>
  </conditionalFormatting>
  <conditionalFormatting sqref="D46:D47 B45:C47 B38:S38">
    <cfRule type="expression" dxfId="6936" priority="127">
      <formula>B38&gt;$AG38</formula>
    </cfRule>
  </conditionalFormatting>
  <conditionalFormatting sqref="B59:B62 B75:B79 B81:AF81 B88 C62:AG62 C79:AG79 B90:AF90 B92:C98 B31:B34 B64:D73 C59:R61 B12:T14 E66:W73 U12:X13 B18:X18 B25:X27 B29:X29 C32:X34">
    <cfRule type="expression" dxfId="6935" priority="123">
      <formula>B$9&gt;=20/24</formula>
    </cfRule>
    <cfRule type="expression" dxfId="6934" priority="124">
      <formula>AND(B$9&gt;=14/24,B$9&lt;20/24)</formula>
    </cfRule>
    <cfRule type="expression" dxfId="6933" priority="125">
      <formula>AND(B$9&gt;=8/24,B$9&lt;14/24)</formula>
    </cfRule>
    <cfRule type="expression" dxfId="6932" priority="126">
      <formula>B$9&lt;8/24</formula>
    </cfRule>
  </conditionalFormatting>
  <conditionalFormatting sqref="B35:X35">
    <cfRule type="expression" dxfId="6931" priority="119">
      <formula>B$9&gt;=20/24</formula>
    </cfRule>
    <cfRule type="expression" dxfId="6930" priority="120">
      <formula>AND(B$9&gt;=14/24,B$9&lt;20/24)</formula>
    </cfRule>
    <cfRule type="expression" dxfId="6929" priority="121">
      <formula>AND(B$9&gt;=8/24,B$9&lt;14/24)</formula>
    </cfRule>
    <cfRule type="expression" dxfId="6928" priority="122">
      <formula>B$9&lt;8/24</formula>
    </cfRule>
  </conditionalFormatting>
  <conditionalFormatting sqref="B57:B62 B40:AG40 C58:AG58 C62:AG62 B31:B35 B48:D49 E49:L49 C59:R61 B25:X29 C32:X35">
    <cfRule type="expression" dxfId="6927" priority="118">
      <formula>B25&gt;$AG25</formula>
    </cfRule>
  </conditionalFormatting>
  <conditionalFormatting sqref="B37:X37">
    <cfRule type="expression" dxfId="6926" priority="114">
      <formula>B$9&gt;=20/24</formula>
    </cfRule>
    <cfRule type="expression" dxfId="6925" priority="115">
      <formula>AND(B$9&gt;=14/24,B$9&lt;20/24)</formula>
    </cfRule>
    <cfRule type="expression" dxfId="6924" priority="116">
      <formula>AND(B$9&gt;=8/24,B$9&lt;14/24)</formula>
    </cfRule>
    <cfRule type="expression" dxfId="6923" priority="117">
      <formula>B$9&lt;8/24</formula>
    </cfRule>
  </conditionalFormatting>
  <conditionalFormatting sqref="B15:X15">
    <cfRule type="expression" dxfId="6922" priority="110">
      <formula>B$9&gt;=20/24</formula>
    </cfRule>
    <cfRule type="expression" dxfId="6921" priority="111">
      <formula>AND(B$9&gt;=14/24,B$9&lt;20/24)</formula>
    </cfRule>
    <cfRule type="expression" dxfId="6920" priority="112">
      <formula>AND(B$9&gt;=8/24,B$9&lt;14/24)</formula>
    </cfRule>
    <cfRule type="expression" dxfId="6919" priority="113">
      <formula>B$9&lt;8/24</formula>
    </cfRule>
  </conditionalFormatting>
  <conditionalFormatting sqref="B36:X36">
    <cfRule type="expression" dxfId="6918" priority="106">
      <formula>B$9&gt;=20/24</formula>
    </cfRule>
    <cfRule type="expression" dxfId="6917" priority="107">
      <formula>AND(B$9&gt;=14/24,B$9&lt;20/24)</formula>
    </cfRule>
    <cfRule type="expression" dxfId="6916" priority="108">
      <formula>AND(B$9&gt;=8/24,B$9&lt;14/24)</formula>
    </cfRule>
    <cfRule type="expression" dxfId="6915" priority="109">
      <formula>B$9&lt;8/24</formula>
    </cfRule>
  </conditionalFormatting>
  <conditionalFormatting sqref="B36:X36">
    <cfRule type="expression" dxfId="6914" priority="105">
      <formula>B36&gt;$AG36</formula>
    </cfRule>
  </conditionalFormatting>
  <conditionalFormatting sqref="B50:X56">
    <cfRule type="expression" dxfId="6913" priority="101">
      <formula>B$9&gt;=20/24</formula>
    </cfRule>
    <cfRule type="expression" dxfId="6912" priority="102">
      <formula>AND(B$9&gt;=14/24,B$9&lt;20/24)</formula>
    </cfRule>
    <cfRule type="expression" dxfId="6911" priority="103">
      <formula>AND(B$9&gt;=8/24,B$9&lt;14/24)</formula>
    </cfRule>
    <cfRule type="expression" dxfId="6910" priority="104">
      <formula>B$9&lt;8/24</formula>
    </cfRule>
  </conditionalFormatting>
  <conditionalFormatting sqref="B50:X56">
    <cfRule type="expression" dxfId="6909" priority="100">
      <formula>B50&gt;$AG50</formula>
    </cfRule>
  </conditionalFormatting>
  <conditionalFormatting sqref="B28:X28">
    <cfRule type="expression" dxfId="6908" priority="96">
      <formula>B$9&gt;=20/24</formula>
    </cfRule>
    <cfRule type="expression" dxfId="6907" priority="97">
      <formula>AND(B$9&gt;=14/24,B$9&lt;20/24)</formula>
    </cfRule>
    <cfRule type="expression" dxfId="6906" priority="98">
      <formula>AND(B$9&gt;=8/24,B$9&lt;14/24)</formula>
    </cfRule>
    <cfRule type="expression" dxfId="6905" priority="99">
      <formula>B$9&lt;8/24</formula>
    </cfRule>
  </conditionalFormatting>
  <conditionalFormatting sqref="B19:X19 B24:X24">
    <cfRule type="expression" dxfId="6904" priority="92">
      <formula>B$9&gt;=20/24</formula>
    </cfRule>
    <cfRule type="expression" dxfId="6903" priority="93">
      <formula>AND(B$9&gt;=14/24,B$9&lt;20/24)</formula>
    </cfRule>
    <cfRule type="expression" dxfId="6902" priority="94">
      <formula>AND(B$9&gt;=8/24,B$9&lt;14/24)</formula>
    </cfRule>
    <cfRule type="expression" dxfId="6901" priority="95">
      <formula>B$9&lt;8/24</formula>
    </cfRule>
  </conditionalFormatting>
  <conditionalFormatting sqref="B19:X19 B24:X24">
    <cfRule type="expression" dxfId="6900" priority="91">
      <formula>B19&gt;$AG19</formula>
    </cfRule>
  </conditionalFormatting>
  <conditionalFormatting sqref="A36">
    <cfRule type="expression" dxfId="6899" priority="90">
      <formula>$AH36=0</formula>
    </cfRule>
  </conditionalFormatting>
  <conditionalFormatting sqref="B74:AF74">
    <cfRule type="expression" dxfId="6898" priority="86">
      <formula>B$9&gt;=20/24</formula>
    </cfRule>
    <cfRule type="expression" dxfId="6897" priority="87">
      <formula>AND(B$9&gt;=14/24,B$9&lt;20/24)</formula>
    </cfRule>
    <cfRule type="expression" dxfId="6896" priority="88">
      <formula>AND(B$9&gt;=8/24,B$9&lt;14/24)</formula>
    </cfRule>
    <cfRule type="expression" dxfId="6895" priority="89">
      <formula>B$9&lt;8/24</formula>
    </cfRule>
  </conditionalFormatting>
  <conditionalFormatting sqref="B83:AF87">
    <cfRule type="expression" dxfId="6894" priority="82">
      <formula>B$9&gt;=20/24</formula>
    </cfRule>
    <cfRule type="expression" dxfId="6893" priority="83">
      <formula>AND(B$9&gt;=14/24,B$9&lt;20/24)</formula>
    </cfRule>
    <cfRule type="expression" dxfId="6892" priority="84">
      <formula>AND(B$9&gt;=8/24,B$9&lt;14/24)</formula>
    </cfRule>
    <cfRule type="expression" dxfId="6891" priority="85">
      <formula>B$9&lt;8/24</formula>
    </cfRule>
  </conditionalFormatting>
  <conditionalFormatting sqref="AL37 AL34 AL18:AL29 AL7:AL16 AL31:AL32">
    <cfRule type="iconSet" priority="266">
      <iconSet iconSet="3TrafficLights2" reverse="1">
        <cfvo type="percent" val="0"/>
        <cfvo type="num" val="1"/>
        <cfvo type="num" val="1"/>
      </iconSet>
    </cfRule>
  </conditionalFormatting>
  <conditionalFormatting sqref="E41:AF43">
    <cfRule type="expression" dxfId="6890" priority="78">
      <formula>E$9&gt;=20/24</formula>
    </cfRule>
    <cfRule type="expression" dxfId="6889" priority="79">
      <formula>AND(E$9&gt;=14/24,E$9&lt;20/24)</formula>
    </cfRule>
    <cfRule type="expression" dxfId="6888" priority="80">
      <formula>AND(E$9&gt;=8/24,E$9&lt;14/24)</formula>
    </cfRule>
    <cfRule type="expression" dxfId="6887" priority="81">
      <formula>E$9&lt;8/24</formula>
    </cfRule>
  </conditionalFormatting>
  <conditionalFormatting sqref="E41:AF43">
    <cfRule type="expression" dxfId="6886" priority="77">
      <formula>E41&gt;$AG41</formula>
    </cfRule>
  </conditionalFormatting>
  <conditionalFormatting sqref="B41:B44 C44:AG44 C41:D43">
    <cfRule type="expression" dxfId="6885" priority="73">
      <formula>B$9&gt;=20/24</formula>
    </cfRule>
    <cfRule type="expression" dxfId="6884" priority="74">
      <formula>AND(B$9&gt;=14/24,B$9&lt;20/24)</formula>
    </cfRule>
    <cfRule type="expression" dxfId="6883" priority="75">
      <formula>AND(B$9&gt;=8/24,B$9&lt;14/24)</formula>
    </cfRule>
    <cfRule type="expression" dxfId="6882" priority="76">
      <formula>B$9&lt;8/24</formula>
    </cfRule>
  </conditionalFormatting>
  <conditionalFormatting sqref="B41:B44 C44:AG44 C41:D43">
    <cfRule type="expression" dxfId="6881" priority="72">
      <formula>B41&gt;$AG41</formula>
    </cfRule>
  </conditionalFormatting>
  <conditionalFormatting sqref="C99:AF99">
    <cfRule type="expression" dxfId="6880" priority="68">
      <formula>C$9&gt;=20/24</formula>
    </cfRule>
    <cfRule type="expression" dxfId="6879" priority="69">
      <formula>AND(C$9&gt;=14/24,C$9&lt;20/24)</formula>
    </cfRule>
    <cfRule type="expression" dxfId="6878" priority="70">
      <formula>AND(C$9&gt;=8/24,C$9&lt;14/24)</formula>
    </cfRule>
    <cfRule type="expression" dxfId="6877" priority="71">
      <formula>C$9&lt;8/24</formula>
    </cfRule>
  </conditionalFormatting>
  <conditionalFormatting sqref="B99">
    <cfRule type="expression" dxfId="6876" priority="64">
      <formula>B$9&gt;=20/24</formula>
    </cfRule>
    <cfRule type="expression" dxfId="6875" priority="65">
      <formula>AND(B$9&gt;=14/24,B$9&lt;20/24)</formula>
    </cfRule>
    <cfRule type="expression" dxfId="6874" priority="66">
      <formula>AND(B$9&gt;=8/24,B$9&lt;14/24)</formula>
    </cfRule>
    <cfRule type="expression" dxfId="6873" priority="67">
      <formula>B$9&lt;8/24</formula>
    </cfRule>
  </conditionalFormatting>
  <conditionalFormatting sqref="AL33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6872" priority="58">
      <formula>$AH33=0</formula>
    </cfRule>
  </conditionalFormatting>
  <conditionalFormatting sqref="A82">
    <cfRule type="expression" dxfId="6871" priority="56">
      <formula>$AH82=0</formula>
    </cfRule>
  </conditionalFormatting>
  <conditionalFormatting sqref="A79">
    <cfRule type="expression" dxfId="6870" priority="57">
      <formula>$AH79=0</formula>
    </cfRule>
  </conditionalFormatting>
  <conditionalFormatting sqref="A109">
    <cfRule type="expression" dxfId="6869" priority="47">
      <formula>$AH109=0</formula>
    </cfRule>
  </conditionalFormatting>
  <conditionalFormatting sqref="C102:AF102">
    <cfRule type="expression" dxfId="6868" priority="43">
      <formula>C$9&gt;=20/24</formula>
    </cfRule>
    <cfRule type="expression" dxfId="6867" priority="44">
      <formula>AND(C$9&gt;=14/24,C$9&lt;20/24)</formula>
    </cfRule>
    <cfRule type="expression" dxfId="6866" priority="45">
      <formula>AND(C$9&gt;=8/24,C$9&lt;14/24)</formula>
    </cfRule>
    <cfRule type="expression" dxfId="6865" priority="46">
      <formula>C$9&lt;8/24</formula>
    </cfRule>
  </conditionalFormatting>
  <conditionalFormatting sqref="A102">
    <cfRule type="expression" dxfId="6864" priority="42">
      <formula>$AH102=0</formula>
    </cfRule>
  </conditionalFormatting>
  <conditionalFormatting sqref="B102">
    <cfRule type="expression" dxfId="6863" priority="38">
      <formula>B$9&gt;=20/24</formula>
    </cfRule>
    <cfRule type="expression" dxfId="6862" priority="39">
      <formula>AND(B$9&gt;=14/24,B$9&lt;20/24)</formula>
    </cfRule>
    <cfRule type="expression" dxfId="6861" priority="40">
      <formula>AND(B$9&gt;=8/24,B$9&lt;14/24)</formula>
    </cfRule>
    <cfRule type="expression" dxfId="6860" priority="41">
      <formula>B$9&lt;8/24</formula>
    </cfRule>
  </conditionalFormatting>
  <conditionalFormatting sqref="Y52:AF56">
    <cfRule type="expression" dxfId="6859" priority="34">
      <formula>Y$9&gt;=20/24</formula>
    </cfRule>
    <cfRule type="expression" dxfId="6858" priority="35">
      <formula>AND(Y$9&gt;=14/24,Y$9&lt;20/24)</formula>
    </cfRule>
    <cfRule type="expression" dxfId="6857" priority="36">
      <formula>AND(Y$9&gt;=8/24,Y$9&lt;14/24)</formula>
    </cfRule>
    <cfRule type="expression" dxfId="6856" priority="37">
      <formula>Y$9&lt;8/24</formula>
    </cfRule>
  </conditionalFormatting>
  <conditionalFormatting sqref="Y52:AF56">
    <cfRule type="expression" dxfId="6855" priority="33">
      <formula>Y52&gt;$AG52</formula>
    </cfRule>
  </conditionalFormatting>
  <conditionalFormatting sqref="B17:AF17">
    <cfRule type="expression" dxfId="6854" priority="31">
      <formula>B17&gt;$AG17</formula>
    </cfRule>
  </conditionalFormatting>
  <conditionalFormatting sqref="A17">
    <cfRule type="expression" dxfId="6853" priority="30">
      <formula>$AH17=0</formula>
    </cfRule>
  </conditionalFormatting>
  <conditionalFormatting sqref="U17:AF17">
    <cfRule type="expression" dxfId="6852" priority="26">
      <formula>U$9&gt;=20/24</formula>
    </cfRule>
    <cfRule type="expression" dxfId="6851" priority="27">
      <formula>AND(U$9&gt;=14/24,U$9&lt;20/24)</formula>
    </cfRule>
    <cfRule type="expression" dxfId="6850" priority="28">
      <formula>AND(U$9&gt;=8/24,U$9&lt;14/24)</formula>
    </cfRule>
    <cfRule type="expression" dxfId="6849" priority="29">
      <formula>U$9&lt;8/24</formula>
    </cfRule>
  </conditionalFormatting>
  <conditionalFormatting sqref="B17:X17">
    <cfRule type="expression" dxfId="6848" priority="22">
      <formula>B$9&gt;=20/24</formula>
    </cfRule>
    <cfRule type="expression" dxfId="6847" priority="23">
      <formula>AND(B$9&gt;=14/24,B$9&lt;20/24)</formula>
    </cfRule>
    <cfRule type="expression" dxfId="6846" priority="24">
      <formula>AND(B$9&gt;=8/24,B$9&lt;14/24)</formula>
    </cfRule>
    <cfRule type="expression" dxfId="6845" priority="25">
      <formula>B$9&lt;8/24</formula>
    </cfRule>
  </conditionalFormatting>
  <conditionalFormatting sqref="AL17">
    <cfRule type="iconSet" priority="32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6844" priority="20">
      <formula>$AH30=0</formula>
    </cfRule>
  </conditionalFormatting>
  <conditionalFormatting sqref="Y30:AF30">
    <cfRule type="expression" dxfId="6843" priority="16">
      <formula>Y$9&gt;=20/24</formula>
    </cfRule>
    <cfRule type="expression" dxfId="6842" priority="17">
      <formula>AND(Y$9&gt;=14/24,Y$9&lt;20/24)</formula>
    </cfRule>
    <cfRule type="expression" dxfId="6841" priority="18">
      <formula>AND(Y$9&gt;=8/24,Y$9&lt;14/24)</formula>
    </cfRule>
    <cfRule type="expression" dxfId="6840" priority="19">
      <formula>Y$9&lt;8/24</formula>
    </cfRule>
  </conditionalFormatting>
  <conditionalFormatting sqref="Y30:AF30">
    <cfRule type="expression" dxfId="6839" priority="15">
      <formula>Y30&gt;$AG30</formula>
    </cfRule>
  </conditionalFormatting>
  <conditionalFormatting sqref="C30:X30">
    <cfRule type="expression" dxfId="6838" priority="11">
      <formula>C$9&gt;=20/24</formula>
    </cfRule>
    <cfRule type="expression" dxfId="6837" priority="12">
      <formula>AND(C$9&gt;=14/24,C$9&lt;20/24)</formula>
    </cfRule>
    <cfRule type="expression" dxfId="6836" priority="13">
      <formula>AND(C$9&gt;=8/24,C$9&lt;14/24)</formula>
    </cfRule>
    <cfRule type="expression" dxfId="6835" priority="14">
      <formula>C$9&lt;8/24</formula>
    </cfRule>
  </conditionalFormatting>
  <conditionalFormatting sqref="C30:X30">
    <cfRule type="expression" dxfId="6834" priority="10">
      <formula>C30&gt;$AG30</formula>
    </cfRule>
  </conditionalFormatting>
  <conditionalFormatting sqref="B30">
    <cfRule type="expression" dxfId="6833" priority="6">
      <formula>B$9&gt;=20/24</formula>
    </cfRule>
    <cfRule type="expression" dxfId="6832" priority="7">
      <formula>AND(B$9&gt;=14/24,B$9&lt;20/24)</formula>
    </cfRule>
    <cfRule type="expression" dxfId="6831" priority="8">
      <formula>AND(B$9&gt;=8/24,B$9&lt;14/24)</formula>
    </cfRule>
    <cfRule type="expression" dxfId="6830" priority="9">
      <formula>B$9&lt;8/24</formula>
    </cfRule>
  </conditionalFormatting>
  <conditionalFormatting sqref="B30">
    <cfRule type="expression" dxfId="6829" priority="5">
      <formula>B30&gt;$AG30</formula>
    </cfRule>
  </conditionalFormatting>
  <conditionalFormatting sqref="AL30">
    <cfRule type="iconSet" priority="21">
      <iconSet iconSet="3TrafficLights2" reverse="1">
        <cfvo type="percent" val="0"/>
        <cfvo type="num" val="1"/>
        <cfvo type="num" val="1"/>
      </iconSet>
    </cfRule>
  </conditionalFormatting>
  <conditionalFormatting sqref="Y103">
    <cfRule type="expression" dxfId="6828" priority="1">
      <formula>Y$9&gt;=20/24</formula>
    </cfRule>
    <cfRule type="expression" dxfId="6827" priority="2">
      <formula>AND(Y$9&gt;=14/24,Y$9&lt;20/24)</formula>
    </cfRule>
    <cfRule type="expression" dxfId="6826" priority="3">
      <formula>AND(Y$9&gt;=8/24,Y$9&lt;14/24)</formula>
    </cfRule>
    <cfRule type="expression" dxfId="6825" priority="4">
      <formula>Y$9&lt;8/24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9" id="{DC345D63-A75F-44E4-B17E-76A20B11CA2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0" id="{163AF91D-CC88-4670-8835-A7551C1410A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1" id="{CDFBF4FE-0777-465D-98BA-9046C1A441B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2" id="{32B9408E-297B-446E-9AE7-52E29C0D561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52" id="{9262EFFB-2609-4C66-A6AE-3BE6834F448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3" id="{5E5A10A6-1D1F-49FF-9993-9FC9DB028EE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4" id="{92345280-7B4C-4B92-A90D-0ADFF599D61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5" id="{C0911432-395D-4E48-AD42-4A69736CBA2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8" id="{AF2EB7DD-A371-4957-80ED-4DC7B786961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8A904949-26BB-4A62-BA6F-CCFD21D19E6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F78A71E2-51B8-43AD-A300-5AA86C8D4EE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2179ACEF-420F-429A-B834-3E23B0639C0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J270"/>
  <sheetViews>
    <sheetView zoomScale="90" zoomScaleNormal="90" workbookViewId="0">
      <pane xSplit="1" ySplit="10" topLeftCell="B35" activePane="bottomRight" state="frozen"/>
      <selection activeCell="AF88" sqref="AF88"/>
      <selection pane="topRight" activeCell="AF88" sqref="AF88"/>
      <selection pane="bottomLeft" activeCell="AF88" sqref="AF88"/>
      <selection pane="bottomRight" activeCell="E83" sqref="E8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2079/06/11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11</v>
      </c>
      <c r="L5" s="148">
        <f t="shared" si="0"/>
        <v>11.7</v>
      </c>
      <c r="M5" s="148">
        <f t="shared" si="0"/>
        <v>11.7</v>
      </c>
      <c r="N5" s="148">
        <f t="shared" si="0"/>
        <v>0</v>
      </c>
      <c r="O5" s="148">
        <f t="shared" si="0"/>
        <v>17.399999999999999</v>
      </c>
      <c r="P5" s="148">
        <f t="shared" si="0"/>
        <v>62.3</v>
      </c>
      <c r="Q5" s="148">
        <f t="shared" si="0"/>
        <v>45</v>
      </c>
      <c r="R5" s="148">
        <f t="shared" si="0"/>
        <v>54.5</v>
      </c>
      <c r="S5" s="148">
        <f t="shared" si="0"/>
        <v>56.6</v>
      </c>
      <c r="T5" s="148">
        <f t="shared" si="0"/>
        <v>79</v>
      </c>
      <c r="U5" s="148">
        <f t="shared" si="0"/>
        <v>27.3</v>
      </c>
      <c r="V5" s="148">
        <f t="shared" si="0"/>
        <v>21.4</v>
      </c>
      <c r="W5" s="148">
        <f t="shared" si="0"/>
        <v>52.1</v>
      </c>
      <c r="X5" s="148">
        <f t="shared" si="0"/>
        <v>54</v>
      </c>
      <c r="Y5" s="148">
        <f t="shared" si="0"/>
        <v>66</v>
      </c>
      <c r="Z5" s="148">
        <f t="shared" si="0"/>
        <v>76</v>
      </c>
      <c r="AA5" s="148">
        <f t="shared" si="0"/>
        <v>45</v>
      </c>
      <c r="AB5" s="148">
        <f t="shared" si="0"/>
        <v>48.1</v>
      </c>
      <c r="AC5" s="148">
        <f t="shared" si="0"/>
        <v>23.6</v>
      </c>
      <c r="AD5" s="148">
        <f t="shared" si="0"/>
        <v>6.7</v>
      </c>
      <c r="AE5" s="148">
        <f t="shared" si="0"/>
        <v>10.7</v>
      </c>
      <c r="AF5" s="148">
        <f>B74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1716MW at 8:00hr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Load=4</v>
      </c>
      <c r="B7" s="137">
        <f t="shared" ref="B7:AF7" si="1">B81</f>
        <v>1751.3400000000001</v>
      </c>
      <c r="C7" s="137">
        <f t="shared" si="1"/>
        <v>1751.3400000000001</v>
      </c>
      <c r="D7" s="137">
        <f t="shared" si="1"/>
        <v>1006.9399999999999</v>
      </c>
      <c r="E7" s="137">
        <f t="shared" si="1"/>
        <v>1006.9399999999999</v>
      </c>
      <c r="F7" s="137">
        <f t="shared" si="1"/>
        <v>1586.1399999999999</v>
      </c>
      <c r="G7" s="137">
        <f t="shared" si="1"/>
        <v>1600.1399999999999</v>
      </c>
      <c r="H7" s="137">
        <f t="shared" si="1"/>
        <v>1612.1399999999999</v>
      </c>
      <c r="I7" s="137">
        <f t="shared" si="1"/>
        <v>1624.74</v>
      </c>
      <c r="J7" s="137">
        <f t="shared" si="1"/>
        <v>1639.74</v>
      </c>
      <c r="K7" s="137">
        <f t="shared" si="1"/>
        <v>1690.74</v>
      </c>
      <c r="L7" s="137">
        <f t="shared" si="1"/>
        <v>1704.74</v>
      </c>
      <c r="M7" s="137">
        <f t="shared" si="1"/>
        <v>1715.8400000000001</v>
      </c>
      <c r="N7" s="137">
        <f t="shared" si="1"/>
        <v>1695.5400000000002</v>
      </c>
      <c r="O7" s="137">
        <f t="shared" si="1"/>
        <v>3.54</v>
      </c>
      <c r="P7" s="137">
        <f t="shared" si="1"/>
        <v>1726.04</v>
      </c>
      <c r="Q7" s="137">
        <f t="shared" si="1"/>
        <v>1770.9399999999998</v>
      </c>
      <c r="R7" s="137">
        <f t="shared" si="1"/>
        <v>1770.74</v>
      </c>
      <c r="S7" s="137">
        <f t="shared" si="1"/>
        <v>1783.44</v>
      </c>
      <c r="T7" s="137">
        <f t="shared" si="1"/>
        <v>1812.34</v>
      </c>
      <c r="U7" s="137">
        <f t="shared" si="1"/>
        <v>1859.94</v>
      </c>
      <c r="V7" s="137">
        <f t="shared" si="1"/>
        <v>1826.84</v>
      </c>
      <c r="W7" s="137">
        <f t="shared" si="1"/>
        <v>1835.8400000000001</v>
      </c>
      <c r="X7" s="137">
        <f t="shared" si="1"/>
        <v>1887.6399999999999</v>
      </c>
      <c r="Y7" s="137">
        <f t="shared" si="1"/>
        <v>1897.1399999999999</v>
      </c>
      <c r="Z7" s="137">
        <f t="shared" si="1"/>
        <v>1926.04</v>
      </c>
      <c r="AA7" s="137">
        <f t="shared" si="1"/>
        <v>1908.24</v>
      </c>
      <c r="AB7" s="137">
        <f t="shared" si="1"/>
        <v>1860.54</v>
      </c>
      <c r="AC7" s="137">
        <f t="shared" si="1"/>
        <v>1843.44</v>
      </c>
      <c r="AD7" s="137">
        <f t="shared" si="1"/>
        <v>1812.6399999999999</v>
      </c>
      <c r="AE7" s="137">
        <f t="shared" si="1"/>
        <v>1779.64</v>
      </c>
      <c r="AF7" s="137">
        <f t="shared" si="1"/>
        <v>1776.84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54</v>
      </c>
      <c r="C11" s="105">
        <v>54</v>
      </c>
      <c r="D11" s="105"/>
      <c r="E11" s="105"/>
      <c r="F11" s="105">
        <v>54</v>
      </c>
      <c r="G11" s="105">
        <v>54</v>
      </c>
      <c r="H11" s="105">
        <v>54</v>
      </c>
      <c r="I11" s="105">
        <v>54</v>
      </c>
      <c r="J11" s="105">
        <v>54</v>
      </c>
      <c r="K11" s="105">
        <v>54</v>
      </c>
      <c r="L11" s="105">
        <v>54</v>
      </c>
      <c r="M11" s="105">
        <v>54</v>
      </c>
      <c r="N11" s="105">
        <v>54</v>
      </c>
      <c r="O11" s="105"/>
      <c r="P11" s="105">
        <v>54</v>
      </c>
      <c r="Q11" s="105">
        <v>54</v>
      </c>
      <c r="R11" s="105">
        <v>54</v>
      </c>
      <c r="S11" s="105">
        <v>54</v>
      </c>
      <c r="T11" s="105">
        <v>54</v>
      </c>
      <c r="U11" s="105">
        <v>54</v>
      </c>
      <c r="V11" s="105">
        <v>54</v>
      </c>
      <c r="W11" s="105">
        <v>54</v>
      </c>
      <c r="X11" s="105">
        <v>54</v>
      </c>
      <c r="Y11" s="128">
        <v>54</v>
      </c>
      <c r="Z11" s="128">
        <v>54</v>
      </c>
      <c r="AA11" s="128">
        <v>54</v>
      </c>
      <c r="AB11" s="128">
        <v>54</v>
      </c>
      <c r="AC11" s="128">
        <v>54</v>
      </c>
      <c r="AD11" s="128">
        <v>54</v>
      </c>
      <c r="AE11" s="128">
        <v>54</v>
      </c>
      <c r="AF11" s="128">
        <v>54</v>
      </c>
      <c r="AG11" s="127">
        <v>52.4</v>
      </c>
      <c r="AH11" s="20">
        <f t="shared" ref="AH11:AH76" si="2">MAX(B11:AF11)</f>
        <v>54</v>
      </c>
      <c r="AI11" s="19">
        <f t="shared" ref="AI11:AI76" si="3">MIN(B11:AF11)</f>
        <v>54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50.1</v>
      </c>
      <c r="C12" s="105">
        <v>50.1</v>
      </c>
      <c r="D12" s="105"/>
      <c r="E12" s="105"/>
      <c r="F12" s="105">
        <v>50</v>
      </c>
      <c r="G12" s="105">
        <v>50</v>
      </c>
      <c r="H12" s="105">
        <v>50</v>
      </c>
      <c r="I12" s="105">
        <v>50</v>
      </c>
      <c r="J12" s="105">
        <v>50</v>
      </c>
      <c r="K12" s="105">
        <v>50</v>
      </c>
      <c r="L12" s="105">
        <v>50</v>
      </c>
      <c r="M12" s="105">
        <v>50</v>
      </c>
      <c r="N12" s="105">
        <v>50</v>
      </c>
      <c r="O12" s="105"/>
      <c r="P12" s="105">
        <v>50</v>
      </c>
      <c r="Q12" s="105">
        <v>50</v>
      </c>
      <c r="R12" s="105">
        <v>50.2</v>
      </c>
      <c r="S12" s="105">
        <v>50.2</v>
      </c>
      <c r="T12" s="105">
        <v>50.2</v>
      </c>
      <c r="U12" s="105">
        <v>50.2</v>
      </c>
      <c r="V12" s="105">
        <v>50.2</v>
      </c>
      <c r="W12" s="105">
        <v>50.2</v>
      </c>
      <c r="X12" s="105">
        <v>50.2</v>
      </c>
      <c r="Y12" s="105">
        <v>50.2</v>
      </c>
      <c r="Z12" s="105">
        <v>50.2</v>
      </c>
      <c r="AA12" s="105">
        <v>50.2</v>
      </c>
      <c r="AB12" s="105">
        <v>50.2</v>
      </c>
      <c r="AC12" s="105">
        <v>50.2</v>
      </c>
      <c r="AD12" s="105">
        <v>50.2</v>
      </c>
      <c r="AE12" s="105">
        <v>50.2</v>
      </c>
      <c r="AF12" s="105">
        <v>50.2</v>
      </c>
      <c r="AG12" s="126">
        <v>50</v>
      </c>
      <c r="AH12" s="20">
        <f t="shared" si="2"/>
        <v>50.2</v>
      </c>
      <c r="AI12" s="19">
        <f t="shared" si="3"/>
        <v>50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46.2</v>
      </c>
      <c r="C13" s="105">
        <v>46.2</v>
      </c>
      <c r="D13" s="105"/>
      <c r="E13" s="105"/>
      <c r="F13" s="105">
        <v>46</v>
      </c>
      <c r="G13" s="105">
        <v>46</v>
      </c>
      <c r="H13" s="105">
        <v>46</v>
      </c>
      <c r="I13" s="105">
        <v>46</v>
      </c>
      <c r="J13" s="105">
        <v>46</v>
      </c>
      <c r="K13" s="105">
        <v>46</v>
      </c>
      <c r="L13" s="105">
        <v>46</v>
      </c>
      <c r="M13" s="105">
        <v>46</v>
      </c>
      <c r="N13" s="105">
        <v>46</v>
      </c>
      <c r="O13" s="105"/>
      <c r="P13" s="105">
        <v>46</v>
      </c>
      <c r="Q13" s="105">
        <v>46</v>
      </c>
      <c r="R13" s="105">
        <v>46.1</v>
      </c>
      <c r="S13" s="105">
        <v>46.1</v>
      </c>
      <c r="T13" s="105">
        <v>46.1</v>
      </c>
      <c r="U13" s="105">
        <v>46.1</v>
      </c>
      <c r="V13" s="105">
        <v>46.1</v>
      </c>
      <c r="W13" s="105">
        <v>46.1</v>
      </c>
      <c r="X13" s="105">
        <v>46.1</v>
      </c>
      <c r="Y13" s="105">
        <v>46.1</v>
      </c>
      <c r="Z13" s="105">
        <v>46.1</v>
      </c>
      <c r="AA13" s="105">
        <v>46.1</v>
      </c>
      <c r="AB13" s="105">
        <v>46.1</v>
      </c>
      <c r="AC13" s="105">
        <v>46.1</v>
      </c>
      <c r="AD13" s="105">
        <v>46.1</v>
      </c>
      <c r="AE13" s="105">
        <v>46.1</v>
      </c>
      <c r="AF13" s="105">
        <v>46.1</v>
      </c>
      <c r="AG13" s="126">
        <v>45</v>
      </c>
      <c r="AH13" s="20">
        <f t="shared" si="2"/>
        <v>46.2</v>
      </c>
      <c r="AI13" s="19">
        <f t="shared" si="3"/>
        <v>46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27</v>
      </c>
      <c r="C14" s="105">
        <v>27</v>
      </c>
      <c r="D14" s="105"/>
      <c r="E14" s="105"/>
      <c r="F14" s="105">
        <v>27</v>
      </c>
      <c r="G14" s="105">
        <v>27</v>
      </c>
      <c r="H14" s="105">
        <v>30</v>
      </c>
      <c r="I14" s="105">
        <v>30</v>
      </c>
      <c r="J14" s="105">
        <v>30</v>
      </c>
      <c r="K14" s="105">
        <v>35</v>
      </c>
      <c r="L14" s="105">
        <v>38</v>
      </c>
      <c r="M14" s="105">
        <v>38</v>
      </c>
      <c r="N14" s="105">
        <v>38</v>
      </c>
      <c r="O14" s="105"/>
      <c r="P14" s="105">
        <v>38</v>
      </c>
      <c r="Q14" s="105">
        <v>38</v>
      </c>
      <c r="R14" s="105">
        <v>35</v>
      </c>
      <c r="S14" s="105">
        <v>35</v>
      </c>
      <c r="T14" s="105">
        <v>32</v>
      </c>
      <c r="U14" s="105">
        <v>38</v>
      </c>
      <c r="V14" s="105">
        <v>33</v>
      </c>
      <c r="W14" s="105">
        <v>33</v>
      </c>
      <c r="X14" s="105">
        <v>33</v>
      </c>
      <c r="Y14" s="105">
        <v>33</v>
      </c>
      <c r="Z14" s="105">
        <v>40</v>
      </c>
      <c r="AA14" s="105">
        <v>40</v>
      </c>
      <c r="AB14" s="105">
        <v>41</v>
      </c>
      <c r="AC14" s="105">
        <v>41</v>
      </c>
      <c r="AD14" s="105">
        <v>30</v>
      </c>
      <c r="AE14" s="105">
        <v>30</v>
      </c>
      <c r="AF14" s="105">
        <v>28</v>
      </c>
      <c r="AG14" s="126">
        <v>42</v>
      </c>
      <c r="AH14" s="20">
        <f t="shared" si="2"/>
        <v>41</v>
      </c>
      <c r="AI14" s="19">
        <f t="shared" si="3"/>
        <v>27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0</v>
      </c>
      <c r="N15" s="105">
        <v>0</v>
      </c>
      <c r="O15" s="105"/>
      <c r="P15" s="105">
        <v>0</v>
      </c>
      <c r="Q15" s="105">
        <v>0</v>
      </c>
      <c r="R15" s="105">
        <v>0</v>
      </c>
      <c r="S15" s="105">
        <v>0</v>
      </c>
      <c r="T15" s="105">
        <v>0</v>
      </c>
      <c r="U15" s="105">
        <v>0</v>
      </c>
      <c r="V15" s="105">
        <v>21</v>
      </c>
      <c r="W15" s="105">
        <v>21</v>
      </c>
      <c r="X15" s="105">
        <v>21</v>
      </c>
      <c r="Y15" s="105">
        <v>14.5</v>
      </c>
      <c r="Z15" s="105">
        <v>14.5</v>
      </c>
      <c r="AA15" s="105">
        <v>14.5</v>
      </c>
      <c r="AB15" s="105">
        <v>14.5</v>
      </c>
      <c r="AC15" s="105">
        <v>10</v>
      </c>
      <c r="AD15" s="105">
        <v>5</v>
      </c>
      <c r="AE15" s="105">
        <v>5</v>
      </c>
      <c r="AF15" s="105">
        <v>0</v>
      </c>
      <c r="AG15" s="96">
        <v>30</v>
      </c>
      <c r="AH15" s="20">
        <f t="shared" si="2"/>
        <v>21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27</v>
      </c>
      <c r="C16" s="105">
        <v>27</v>
      </c>
      <c r="D16" s="105">
        <v>27</v>
      </c>
      <c r="E16" s="105">
        <v>27</v>
      </c>
      <c r="F16" s="105">
        <v>27</v>
      </c>
      <c r="G16" s="105">
        <v>27</v>
      </c>
      <c r="H16" s="105">
        <v>33</v>
      </c>
      <c r="I16" s="105">
        <v>25</v>
      </c>
      <c r="J16" s="105">
        <v>25</v>
      </c>
      <c r="K16" s="105">
        <v>25</v>
      </c>
      <c r="L16" s="105">
        <v>25</v>
      </c>
      <c r="M16" s="105">
        <v>25</v>
      </c>
      <c r="N16" s="105">
        <v>25</v>
      </c>
      <c r="O16" s="105"/>
      <c r="P16" s="105">
        <v>25</v>
      </c>
      <c r="Q16" s="105">
        <v>25</v>
      </c>
      <c r="R16" s="105">
        <v>33.200000000000003</v>
      </c>
      <c r="S16" s="105">
        <v>33.200000000000003</v>
      </c>
      <c r="T16" s="105">
        <v>33.200000000000003</v>
      </c>
      <c r="U16" s="105">
        <v>33.200000000000003</v>
      </c>
      <c r="V16" s="105">
        <v>33.200000000000003</v>
      </c>
      <c r="W16" s="105">
        <v>33.200000000000003</v>
      </c>
      <c r="X16" s="105">
        <v>33.200000000000003</v>
      </c>
      <c r="Y16" s="105">
        <v>33.200000000000003</v>
      </c>
      <c r="Z16" s="105">
        <v>33.200000000000003</v>
      </c>
      <c r="AA16" s="105">
        <v>33.200000000000003</v>
      </c>
      <c r="AB16" s="105">
        <v>33.200000000000003</v>
      </c>
      <c r="AC16" s="105">
        <v>33.200000000000003</v>
      </c>
      <c r="AD16" s="105">
        <v>33.200000000000003</v>
      </c>
      <c r="AE16" s="105">
        <v>33.200000000000003</v>
      </c>
      <c r="AF16" s="105">
        <v>26</v>
      </c>
      <c r="AG16" s="126">
        <v>24.2</v>
      </c>
      <c r="AH16" s="20">
        <f t="shared" si="2"/>
        <v>33.200000000000003</v>
      </c>
      <c r="AI16" s="19">
        <f t="shared" si="3"/>
        <v>25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17</v>
      </c>
      <c r="C17" s="105">
        <v>17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5">
        <v>0</v>
      </c>
      <c r="O17" s="105"/>
      <c r="P17" s="105">
        <v>0</v>
      </c>
      <c r="Q17" s="105">
        <v>0</v>
      </c>
      <c r="R17" s="105">
        <v>0</v>
      </c>
      <c r="S17" s="105">
        <v>0</v>
      </c>
      <c r="T17" s="105">
        <v>0</v>
      </c>
      <c r="U17" s="105">
        <v>0</v>
      </c>
      <c r="V17" s="105">
        <v>19</v>
      </c>
      <c r="W17" s="105">
        <v>19</v>
      </c>
      <c r="X17" s="105">
        <v>19</v>
      </c>
      <c r="Y17" s="105">
        <v>19</v>
      </c>
      <c r="Z17" s="105">
        <v>19</v>
      </c>
      <c r="AA17" s="105">
        <v>19</v>
      </c>
      <c r="AB17" s="105">
        <v>18</v>
      </c>
      <c r="AC17" s="105">
        <v>18</v>
      </c>
      <c r="AD17" s="105">
        <v>18</v>
      </c>
      <c r="AE17" s="105">
        <v>18</v>
      </c>
      <c r="AF17" s="105">
        <v>18</v>
      </c>
      <c r="AG17" s="96">
        <v>30</v>
      </c>
      <c r="AH17" s="20">
        <f t="shared" si="2"/>
        <v>19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25.1</v>
      </c>
      <c r="C18" s="105">
        <v>25.1</v>
      </c>
      <c r="D18" s="105"/>
      <c r="E18" s="105"/>
      <c r="F18" s="105">
        <v>25.1</v>
      </c>
      <c r="G18" s="105">
        <v>25.1</v>
      </c>
      <c r="H18" s="105">
        <v>25.1</v>
      </c>
      <c r="I18" s="105">
        <v>25.1</v>
      </c>
      <c r="J18" s="105">
        <v>25.1</v>
      </c>
      <c r="K18" s="105">
        <v>25.1</v>
      </c>
      <c r="L18" s="105">
        <v>25.1</v>
      </c>
      <c r="M18" s="105">
        <v>25.1</v>
      </c>
      <c r="N18" s="105">
        <v>25.1</v>
      </c>
      <c r="O18" s="105"/>
      <c r="P18" s="105">
        <v>25.1</v>
      </c>
      <c r="Q18" s="105">
        <v>25.1</v>
      </c>
      <c r="R18" s="105">
        <v>25.1</v>
      </c>
      <c r="S18" s="105">
        <v>25.1</v>
      </c>
      <c r="T18" s="105">
        <v>25.1</v>
      </c>
      <c r="U18" s="105">
        <v>25.1</v>
      </c>
      <c r="V18" s="105">
        <v>25.1</v>
      </c>
      <c r="W18" s="105">
        <v>25.1</v>
      </c>
      <c r="X18" s="105">
        <v>25.1</v>
      </c>
      <c r="Y18" s="105">
        <v>25.1</v>
      </c>
      <c r="Z18" s="105">
        <v>25.1</v>
      </c>
      <c r="AA18" s="105">
        <v>25.1</v>
      </c>
      <c r="AB18" s="105">
        <v>25.1</v>
      </c>
      <c r="AC18" s="105">
        <v>25.1</v>
      </c>
      <c r="AD18" s="105">
        <v>25.1</v>
      </c>
      <c r="AE18" s="105">
        <v>25.1</v>
      </c>
      <c r="AF18" s="105">
        <v>25.1</v>
      </c>
      <c r="AG18" s="126">
        <v>25</v>
      </c>
      <c r="AH18" s="20">
        <f t="shared" si="2"/>
        <v>25.1</v>
      </c>
      <c r="AI18" s="19">
        <f t="shared" si="3"/>
        <v>25.1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25</v>
      </c>
      <c r="C19" s="105">
        <v>25</v>
      </c>
      <c r="D19" s="105"/>
      <c r="E19" s="105"/>
      <c r="F19" s="105">
        <v>22</v>
      </c>
      <c r="G19" s="105">
        <v>22</v>
      </c>
      <c r="H19" s="105">
        <v>22</v>
      </c>
      <c r="I19" s="105">
        <v>22</v>
      </c>
      <c r="J19" s="105">
        <v>22</v>
      </c>
      <c r="K19" s="105">
        <v>22</v>
      </c>
      <c r="L19" s="105">
        <v>22</v>
      </c>
      <c r="M19" s="105">
        <v>22</v>
      </c>
      <c r="N19" s="105">
        <v>22</v>
      </c>
      <c r="O19" s="105"/>
      <c r="P19" s="105">
        <v>22</v>
      </c>
      <c r="Q19" s="105">
        <v>22</v>
      </c>
      <c r="R19" s="105">
        <v>22</v>
      </c>
      <c r="S19" s="105">
        <v>22</v>
      </c>
      <c r="T19" s="105">
        <v>22</v>
      </c>
      <c r="U19" s="105">
        <v>22</v>
      </c>
      <c r="V19" s="105">
        <v>22</v>
      </c>
      <c r="W19" s="105">
        <v>22</v>
      </c>
      <c r="X19" s="105">
        <v>22</v>
      </c>
      <c r="Y19" s="105">
        <v>22</v>
      </c>
      <c r="Z19" s="105">
        <v>22</v>
      </c>
      <c r="AA19" s="105">
        <v>22</v>
      </c>
      <c r="AB19" s="105">
        <v>22</v>
      </c>
      <c r="AC19" s="105">
        <v>22</v>
      </c>
      <c r="AD19" s="105">
        <v>22</v>
      </c>
      <c r="AE19" s="105">
        <v>22</v>
      </c>
      <c r="AF19" s="105">
        <v>22</v>
      </c>
      <c r="AG19" s="126">
        <v>25</v>
      </c>
      <c r="AH19" s="20">
        <f t="shared" si="2"/>
        <v>25</v>
      </c>
      <c r="AI19" s="19">
        <f t="shared" si="3"/>
        <v>22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23</v>
      </c>
      <c r="C20" s="105">
        <v>23</v>
      </c>
      <c r="D20" s="105"/>
      <c r="E20" s="105"/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>
        <v>25</v>
      </c>
      <c r="L20" s="105">
        <v>25</v>
      </c>
      <c r="M20" s="105">
        <v>25</v>
      </c>
      <c r="N20" s="105">
        <v>25</v>
      </c>
      <c r="O20" s="105"/>
      <c r="P20" s="105">
        <v>25</v>
      </c>
      <c r="Q20" s="105">
        <v>25</v>
      </c>
      <c r="R20" s="105">
        <v>25</v>
      </c>
      <c r="S20" s="105">
        <v>25</v>
      </c>
      <c r="T20" s="105">
        <v>25</v>
      </c>
      <c r="U20" s="105">
        <v>25</v>
      </c>
      <c r="V20" s="105">
        <v>25</v>
      </c>
      <c r="W20" s="105">
        <v>25</v>
      </c>
      <c r="X20" s="105">
        <v>25</v>
      </c>
      <c r="Y20" s="105">
        <v>25</v>
      </c>
      <c r="Z20" s="105">
        <v>25</v>
      </c>
      <c r="AA20" s="105">
        <v>25</v>
      </c>
      <c r="AB20" s="105">
        <v>25</v>
      </c>
      <c r="AC20" s="105">
        <v>25</v>
      </c>
      <c r="AD20" s="105">
        <v>25</v>
      </c>
      <c r="AE20" s="105">
        <v>25</v>
      </c>
      <c r="AF20" s="105">
        <v>25</v>
      </c>
      <c r="AG20" s="126">
        <v>25</v>
      </c>
      <c r="AH20" s="20">
        <f t="shared" si="2"/>
        <v>25</v>
      </c>
      <c r="AI20" s="19">
        <f t="shared" si="3"/>
        <v>0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23.2</v>
      </c>
      <c r="C21" s="105">
        <v>23.2</v>
      </c>
      <c r="D21" s="105"/>
      <c r="E21" s="105"/>
      <c r="F21" s="105">
        <v>23.2</v>
      </c>
      <c r="G21" s="105">
        <v>23.2</v>
      </c>
      <c r="H21" s="105">
        <v>23.2</v>
      </c>
      <c r="I21" s="105">
        <v>23.2</v>
      </c>
      <c r="J21" s="105">
        <v>23.2</v>
      </c>
      <c r="K21" s="105">
        <v>23.2</v>
      </c>
      <c r="L21" s="105">
        <v>23.2</v>
      </c>
      <c r="M21" s="105">
        <v>23.2</v>
      </c>
      <c r="N21" s="105">
        <v>23.2</v>
      </c>
      <c r="O21" s="105"/>
      <c r="P21" s="105">
        <v>23.2</v>
      </c>
      <c r="Q21" s="105">
        <v>23.2</v>
      </c>
      <c r="R21" s="105">
        <v>23.2</v>
      </c>
      <c r="S21" s="105">
        <v>23.2</v>
      </c>
      <c r="T21" s="105">
        <v>23.2</v>
      </c>
      <c r="U21" s="105">
        <v>23.2</v>
      </c>
      <c r="V21" s="105">
        <v>23.2</v>
      </c>
      <c r="W21" s="105">
        <v>23.2</v>
      </c>
      <c r="X21" s="105">
        <v>23.2</v>
      </c>
      <c r="Y21" s="105">
        <v>23.2</v>
      </c>
      <c r="Z21" s="105">
        <v>23.2</v>
      </c>
      <c r="AA21" s="105">
        <v>23.2</v>
      </c>
      <c r="AB21" s="105">
        <v>23.2</v>
      </c>
      <c r="AC21" s="105">
        <v>23.2</v>
      </c>
      <c r="AD21" s="105">
        <v>23.2</v>
      </c>
      <c r="AE21" s="105">
        <v>23.2</v>
      </c>
      <c r="AF21" s="105">
        <v>23.2</v>
      </c>
      <c r="AG21" s="126">
        <v>23.5</v>
      </c>
      <c r="AH21" s="20">
        <f t="shared" si="2"/>
        <v>23.2</v>
      </c>
      <c r="AI21" s="19">
        <f t="shared" si="3"/>
        <v>23.2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20</v>
      </c>
      <c r="C22" s="105">
        <v>20</v>
      </c>
      <c r="D22" s="105"/>
      <c r="E22" s="105"/>
      <c r="F22" s="105">
        <v>0</v>
      </c>
      <c r="G22" s="105">
        <v>0</v>
      </c>
      <c r="H22" s="105">
        <v>0</v>
      </c>
      <c r="I22" s="105">
        <v>0</v>
      </c>
      <c r="J22" s="105">
        <v>0</v>
      </c>
      <c r="K22" s="105">
        <v>20</v>
      </c>
      <c r="L22" s="105">
        <v>20</v>
      </c>
      <c r="M22" s="105">
        <v>20</v>
      </c>
      <c r="N22" s="105">
        <v>20</v>
      </c>
      <c r="O22" s="105"/>
      <c r="P22" s="105">
        <v>20</v>
      </c>
      <c r="Q22" s="105">
        <v>20</v>
      </c>
      <c r="R22" s="105">
        <v>20</v>
      </c>
      <c r="S22" s="105">
        <v>20</v>
      </c>
      <c r="T22" s="105">
        <v>20</v>
      </c>
      <c r="U22" s="105">
        <v>20</v>
      </c>
      <c r="V22" s="105">
        <v>20</v>
      </c>
      <c r="W22" s="105">
        <v>20</v>
      </c>
      <c r="X22" s="105">
        <v>20</v>
      </c>
      <c r="Y22" s="105">
        <v>20</v>
      </c>
      <c r="Z22" s="105">
        <v>20</v>
      </c>
      <c r="AA22" s="105">
        <v>20</v>
      </c>
      <c r="AB22" s="105">
        <v>20</v>
      </c>
      <c r="AC22" s="105">
        <v>20</v>
      </c>
      <c r="AD22" s="105">
        <v>20</v>
      </c>
      <c r="AE22" s="105">
        <v>20</v>
      </c>
      <c r="AF22" s="105">
        <v>20</v>
      </c>
      <c r="AG22" s="126">
        <v>22.2</v>
      </c>
      <c r="AH22" s="20">
        <f t="shared" si="2"/>
        <v>20</v>
      </c>
      <c r="AI22" s="19">
        <f t="shared" si="3"/>
        <v>0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21</v>
      </c>
      <c r="C23" s="105">
        <v>21</v>
      </c>
      <c r="D23" s="105"/>
      <c r="E23" s="105"/>
      <c r="F23" s="105">
        <v>21</v>
      </c>
      <c r="G23" s="105">
        <v>21</v>
      </c>
      <c r="H23" s="105">
        <v>21</v>
      </c>
      <c r="I23" s="105">
        <v>21</v>
      </c>
      <c r="J23" s="105">
        <v>21</v>
      </c>
      <c r="K23" s="105">
        <v>21</v>
      </c>
      <c r="L23" s="105">
        <v>21</v>
      </c>
      <c r="M23" s="105">
        <v>21</v>
      </c>
      <c r="N23" s="105">
        <v>21</v>
      </c>
      <c r="O23" s="105"/>
      <c r="P23" s="105">
        <v>21</v>
      </c>
      <c r="Q23" s="105">
        <v>21</v>
      </c>
      <c r="R23" s="105">
        <v>21</v>
      </c>
      <c r="S23" s="105">
        <v>21</v>
      </c>
      <c r="T23" s="105">
        <v>21</v>
      </c>
      <c r="U23" s="105">
        <v>21</v>
      </c>
      <c r="V23" s="105">
        <v>21</v>
      </c>
      <c r="W23" s="105">
        <v>21</v>
      </c>
      <c r="X23" s="105">
        <v>21</v>
      </c>
      <c r="Y23" s="105">
        <v>21</v>
      </c>
      <c r="Z23" s="105">
        <v>21</v>
      </c>
      <c r="AA23" s="105">
        <v>21</v>
      </c>
      <c r="AB23" s="105">
        <v>21</v>
      </c>
      <c r="AC23" s="105">
        <v>21</v>
      </c>
      <c r="AD23" s="105">
        <v>21</v>
      </c>
      <c r="AE23" s="105">
        <v>21</v>
      </c>
      <c r="AF23" s="105">
        <v>21</v>
      </c>
      <c r="AG23" s="126">
        <v>22.1</v>
      </c>
      <c r="AH23" s="20">
        <f t="shared" si="2"/>
        <v>21</v>
      </c>
      <c r="AI23" s="19">
        <f t="shared" si="3"/>
        <v>21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21</v>
      </c>
      <c r="C24" s="105">
        <v>21</v>
      </c>
      <c r="D24" s="105"/>
      <c r="E24" s="105"/>
      <c r="F24" s="105">
        <v>21</v>
      </c>
      <c r="G24" s="105">
        <v>21</v>
      </c>
      <c r="H24" s="105">
        <v>21</v>
      </c>
      <c r="I24" s="105">
        <v>21</v>
      </c>
      <c r="J24" s="105">
        <v>21</v>
      </c>
      <c r="K24" s="105">
        <v>21</v>
      </c>
      <c r="L24" s="105">
        <v>21</v>
      </c>
      <c r="M24" s="105">
        <v>21</v>
      </c>
      <c r="N24" s="105">
        <v>21</v>
      </c>
      <c r="O24" s="105"/>
      <c r="P24" s="105">
        <v>21</v>
      </c>
      <c r="Q24" s="105">
        <v>21</v>
      </c>
      <c r="R24" s="105">
        <v>21</v>
      </c>
      <c r="S24" s="105">
        <v>21</v>
      </c>
      <c r="T24" s="105">
        <v>21</v>
      </c>
      <c r="U24" s="105">
        <v>21</v>
      </c>
      <c r="V24" s="105">
        <v>21</v>
      </c>
      <c r="W24" s="105">
        <v>21</v>
      </c>
      <c r="X24" s="105">
        <v>21</v>
      </c>
      <c r="Y24" s="105">
        <v>21</v>
      </c>
      <c r="Z24" s="105">
        <v>21</v>
      </c>
      <c r="AA24" s="105">
        <v>21</v>
      </c>
      <c r="AB24" s="105">
        <v>21</v>
      </c>
      <c r="AC24" s="105">
        <v>21</v>
      </c>
      <c r="AD24" s="105">
        <v>21</v>
      </c>
      <c r="AE24" s="105">
        <v>21</v>
      </c>
      <c r="AF24" s="105">
        <v>21</v>
      </c>
      <c r="AG24" s="126">
        <v>22</v>
      </c>
      <c r="AH24" s="20">
        <f t="shared" si="2"/>
        <v>21</v>
      </c>
      <c r="AI24" s="19">
        <f t="shared" si="3"/>
        <v>21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22</v>
      </c>
      <c r="C25" s="105">
        <v>22</v>
      </c>
      <c r="D25" s="105"/>
      <c r="E25" s="105"/>
      <c r="F25" s="105">
        <v>22</v>
      </c>
      <c r="G25" s="105">
        <v>22</v>
      </c>
      <c r="H25" s="105">
        <v>22</v>
      </c>
      <c r="I25" s="105">
        <v>22</v>
      </c>
      <c r="J25" s="105">
        <v>22</v>
      </c>
      <c r="K25" s="105">
        <v>22</v>
      </c>
      <c r="L25" s="105">
        <v>22</v>
      </c>
      <c r="M25" s="105">
        <v>22</v>
      </c>
      <c r="N25" s="105">
        <v>22</v>
      </c>
      <c r="O25" s="105"/>
      <c r="P25" s="105">
        <v>22</v>
      </c>
      <c r="Q25" s="105">
        <v>22</v>
      </c>
      <c r="R25" s="105">
        <v>22</v>
      </c>
      <c r="S25" s="105">
        <v>22</v>
      </c>
      <c r="T25" s="105">
        <v>22</v>
      </c>
      <c r="U25" s="105">
        <v>22</v>
      </c>
      <c r="V25" s="105">
        <v>22</v>
      </c>
      <c r="W25" s="105">
        <v>22</v>
      </c>
      <c r="X25" s="105">
        <v>22</v>
      </c>
      <c r="Y25" s="105">
        <v>22</v>
      </c>
      <c r="Z25" s="105">
        <v>22</v>
      </c>
      <c r="AA25" s="105">
        <v>22</v>
      </c>
      <c r="AB25" s="105">
        <v>22</v>
      </c>
      <c r="AC25" s="105">
        <v>22</v>
      </c>
      <c r="AD25" s="105">
        <v>22</v>
      </c>
      <c r="AE25" s="105">
        <v>22</v>
      </c>
      <c r="AF25" s="105">
        <v>22</v>
      </c>
      <c r="AG25" s="126">
        <v>22</v>
      </c>
      <c r="AH25" s="20">
        <f t="shared" si="2"/>
        <v>22</v>
      </c>
      <c r="AI25" s="19">
        <f t="shared" si="3"/>
        <v>22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/>
      <c r="E26" s="105"/>
      <c r="F26" s="105">
        <v>0</v>
      </c>
      <c r="G26" s="105">
        <v>0</v>
      </c>
      <c r="H26" s="105">
        <v>0</v>
      </c>
      <c r="I26" s="105">
        <v>0</v>
      </c>
      <c r="J26" s="105">
        <v>5</v>
      </c>
      <c r="K26" s="105">
        <v>10</v>
      </c>
      <c r="L26" s="105">
        <v>10</v>
      </c>
      <c r="M26" s="105">
        <v>10</v>
      </c>
      <c r="N26" s="105">
        <v>10</v>
      </c>
      <c r="O26" s="105"/>
      <c r="P26" s="105">
        <v>10</v>
      </c>
      <c r="Q26" s="105">
        <v>10</v>
      </c>
      <c r="R26" s="105">
        <v>5</v>
      </c>
      <c r="S26" s="105">
        <v>5</v>
      </c>
      <c r="T26" s="105">
        <v>5</v>
      </c>
      <c r="U26" s="105">
        <v>10</v>
      </c>
      <c r="V26" s="105">
        <v>10</v>
      </c>
      <c r="W26" s="105">
        <v>10</v>
      </c>
      <c r="X26" s="105">
        <v>10</v>
      </c>
      <c r="Y26" s="105">
        <v>10</v>
      </c>
      <c r="Z26" s="105">
        <v>10</v>
      </c>
      <c r="AA26" s="105">
        <v>10</v>
      </c>
      <c r="AB26" s="105">
        <v>10</v>
      </c>
      <c r="AC26" s="105">
        <v>10</v>
      </c>
      <c r="AD26" s="105">
        <v>10</v>
      </c>
      <c r="AE26" s="105">
        <v>10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</v>
      </c>
      <c r="C27" s="105">
        <v>14</v>
      </c>
      <c r="D27" s="105"/>
      <c r="E27" s="105"/>
      <c r="F27" s="105">
        <v>14</v>
      </c>
      <c r="G27" s="105">
        <v>14</v>
      </c>
      <c r="H27" s="105">
        <v>5</v>
      </c>
      <c r="I27" s="105">
        <v>14.9</v>
      </c>
      <c r="J27" s="105">
        <v>14.9</v>
      </c>
      <c r="K27" s="105">
        <v>14.9</v>
      </c>
      <c r="L27" s="105">
        <v>14.9</v>
      </c>
      <c r="M27" s="105">
        <v>14.9</v>
      </c>
      <c r="N27" s="105">
        <v>14.9</v>
      </c>
      <c r="O27" s="105"/>
      <c r="P27" s="105">
        <v>14.9</v>
      </c>
      <c r="Q27" s="105">
        <v>14.9</v>
      </c>
      <c r="R27" s="105">
        <v>14.9</v>
      </c>
      <c r="S27" s="105">
        <v>14.9</v>
      </c>
      <c r="T27" s="105">
        <v>14.9</v>
      </c>
      <c r="U27" s="105">
        <v>14.9</v>
      </c>
      <c r="V27" s="105">
        <v>14.9</v>
      </c>
      <c r="W27" s="105">
        <v>14.9</v>
      </c>
      <c r="X27" s="105">
        <v>14.9</v>
      </c>
      <c r="Y27" s="105">
        <v>14.9</v>
      </c>
      <c r="Z27" s="105">
        <v>14.9</v>
      </c>
      <c r="AA27" s="105">
        <v>14.9</v>
      </c>
      <c r="AB27" s="105">
        <v>14.9</v>
      </c>
      <c r="AC27" s="105">
        <v>14.9</v>
      </c>
      <c r="AD27" s="105">
        <v>14.9</v>
      </c>
      <c r="AE27" s="105">
        <v>14.9</v>
      </c>
      <c r="AF27" s="105">
        <v>14.9</v>
      </c>
      <c r="AG27" s="126">
        <v>14.9</v>
      </c>
      <c r="AH27" s="20">
        <f t="shared" si="2"/>
        <v>14.9</v>
      </c>
      <c r="AI27" s="19">
        <f t="shared" si="3"/>
        <v>5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/>
      <c r="E28" s="105"/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/>
      <c r="P28" s="105">
        <v>6.8</v>
      </c>
      <c r="Q28" s="105">
        <v>6.8</v>
      </c>
      <c r="R28" s="105">
        <v>6.8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>
        <v>6.8</v>
      </c>
      <c r="AE28" s="105">
        <v>6.8</v>
      </c>
      <c r="AF28" s="105">
        <v>6.8</v>
      </c>
      <c r="AG28" s="126">
        <v>13.6</v>
      </c>
      <c r="AH28" s="20">
        <f t="shared" si="2"/>
        <v>6.8</v>
      </c>
      <c r="AI28" s="19">
        <f t="shared" si="3"/>
        <v>6.8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13</v>
      </c>
      <c r="C29" s="105">
        <v>13</v>
      </c>
      <c r="D29" s="105"/>
      <c r="E29" s="105"/>
      <c r="F29" s="105">
        <v>13</v>
      </c>
      <c r="G29" s="105">
        <v>13</v>
      </c>
      <c r="H29" s="105">
        <v>13</v>
      </c>
      <c r="I29" s="105">
        <v>13</v>
      </c>
      <c r="J29" s="105">
        <v>13</v>
      </c>
      <c r="K29" s="105">
        <v>13</v>
      </c>
      <c r="L29" s="105">
        <v>13</v>
      </c>
      <c r="M29" s="105">
        <v>13</v>
      </c>
      <c r="N29" s="105">
        <v>13</v>
      </c>
      <c r="O29" s="105"/>
      <c r="P29" s="105">
        <v>13</v>
      </c>
      <c r="Q29" s="105">
        <v>13</v>
      </c>
      <c r="R29" s="105">
        <v>13</v>
      </c>
      <c r="S29" s="105">
        <v>13</v>
      </c>
      <c r="T29" s="105">
        <v>13</v>
      </c>
      <c r="U29" s="105">
        <v>13</v>
      </c>
      <c r="V29" s="105">
        <v>13</v>
      </c>
      <c r="W29" s="105">
        <v>13</v>
      </c>
      <c r="X29" s="105">
        <v>13</v>
      </c>
      <c r="Y29" s="105">
        <v>13</v>
      </c>
      <c r="Z29" s="105">
        <v>13</v>
      </c>
      <c r="AA29" s="105">
        <v>13</v>
      </c>
      <c r="AB29" s="105">
        <v>13</v>
      </c>
      <c r="AC29" s="105">
        <v>13</v>
      </c>
      <c r="AD29" s="105">
        <v>13</v>
      </c>
      <c r="AE29" s="105">
        <v>13</v>
      </c>
      <c r="AF29" s="105">
        <v>13</v>
      </c>
      <c r="AG29" s="126">
        <v>13</v>
      </c>
      <c r="AH29" s="20">
        <f t="shared" si="2"/>
        <v>13</v>
      </c>
      <c r="AI29" s="19">
        <f t="shared" si="3"/>
        <v>13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5</v>
      </c>
      <c r="C30" s="105">
        <v>5</v>
      </c>
      <c r="D30" s="105"/>
      <c r="E30" s="105"/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0</v>
      </c>
      <c r="N30" s="105">
        <v>0</v>
      </c>
      <c r="O30" s="105"/>
      <c r="P30" s="105">
        <v>10</v>
      </c>
      <c r="Q30" s="105">
        <v>10</v>
      </c>
      <c r="R30" s="105">
        <v>10</v>
      </c>
      <c r="S30" s="105">
        <v>10</v>
      </c>
      <c r="T30" s="105">
        <v>10</v>
      </c>
      <c r="U30" s="105">
        <v>10</v>
      </c>
      <c r="V30" s="105">
        <v>10</v>
      </c>
      <c r="W30" s="105">
        <v>10</v>
      </c>
      <c r="X30" s="105">
        <v>10</v>
      </c>
      <c r="Y30" s="105">
        <v>10</v>
      </c>
      <c r="Z30" s="105">
        <v>10</v>
      </c>
      <c r="AA30" s="105">
        <v>10</v>
      </c>
      <c r="AB30" s="105">
        <v>10</v>
      </c>
      <c r="AC30" s="105">
        <v>6</v>
      </c>
      <c r="AD30" s="105">
        <v>6</v>
      </c>
      <c r="AE30" s="105">
        <v>6</v>
      </c>
      <c r="AF30" s="105">
        <v>6</v>
      </c>
      <c r="AG30" s="126">
        <v>12</v>
      </c>
      <c r="AH30" s="20">
        <f t="shared" si="2"/>
        <v>10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12</v>
      </c>
      <c r="C31" s="105">
        <v>12</v>
      </c>
      <c r="D31" s="105"/>
      <c r="E31" s="105"/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/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>
        <v>12</v>
      </c>
      <c r="AE31" s="105">
        <v>12</v>
      </c>
      <c r="AF31" s="105">
        <v>12</v>
      </c>
      <c r="AG31" s="126">
        <v>12</v>
      </c>
      <c r="AH31" s="20">
        <f t="shared" si="2"/>
        <v>12</v>
      </c>
      <c r="AI31" s="19">
        <f t="shared" si="3"/>
        <v>12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2</v>
      </c>
      <c r="C32" s="105">
        <v>2</v>
      </c>
      <c r="D32" s="105"/>
      <c r="E32" s="105"/>
      <c r="F32" s="105">
        <v>2</v>
      </c>
      <c r="G32" s="105">
        <v>2</v>
      </c>
      <c r="H32" s="105">
        <v>2</v>
      </c>
      <c r="I32" s="105">
        <v>2</v>
      </c>
      <c r="J32" s="105">
        <v>2</v>
      </c>
      <c r="K32" s="105">
        <v>2</v>
      </c>
      <c r="L32" s="105">
        <v>2</v>
      </c>
      <c r="M32" s="105">
        <v>2</v>
      </c>
      <c r="N32" s="105">
        <v>2</v>
      </c>
      <c r="O32" s="105"/>
      <c r="P32" s="105">
        <v>2</v>
      </c>
      <c r="Q32" s="105">
        <v>2</v>
      </c>
      <c r="R32" s="105">
        <v>2</v>
      </c>
      <c r="S32" s="105">
        <v>2</v>
      </c>
      <c r="T32" s="105">
        <v>2</v>
      </c>
      <c r="U32" s="105">
        <v>2</v>
      </c>
      <c r="V32" s="105">
        <v>2</v>
      </c>
      <c r="W32" s="105">
        <v>2</v>
      </c>
      <c r="X32" s="105">
        <v>2</v>
      </c>
      <c r="Y32" s="105">
        <v>2</v>
      </c>
      <c r="Z32" s="105">
        <v>2</v>
      </c>
      <c r="AA32" s="105">
        <v>2</v>
      </c>
      <c r="AB32" s="105">
        <v>2</v>
      </c>
      <c r="AC32" s="105">
        <v>2</v>
      </c>
      <c r="AD32" s="105">
        <v>2</v>
      </c>
      <c r="AE32" s="105">
        <v>2</v>
      </c>
      <c r="AF32" s="105">
        <v>2</v>
      </c>
      <c r="AG32" s="126">
        <v>12</v>
      </c>
      <c r="AH32" s="20">
        <f t="shared" si="2"/>
        <v>2</v>
      </c>
      <c r="AI32" s="19">
        <f t="shared" si="3"/>
        <v>2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10</v>
      </c>
      <c r="C33" s="105">
        <v>10</v>
      </c>
      <c r="D33" s="105"/>
      <c r="E33" s="105"/>
      <c r="F33" s="105">
        <v>10</v>
      </c>
      <c r="G33" s="105">
        <v>10</v>
      </c>
      <c r="H33" s="105">
        <v>10</v>
      </c>
      <c r="I33" s="105">
        <v>10</v>
      </c>
      <c r="J33" s="105">
        <v>10</v>
      </c>
      <c r="K33" s="105">
        <v>10</v>
      </c>
      <c r="L33" s="105">
        <v>10</v>
      </c>
      <c r="M33" s="105">
        <v>10</v>
      </c>
      <c r="N33" s="105">
        <v>10</v>
      </c>
      <c r="O33" s="105"/>
      <c r="P33" s="105">
        <v>10</v>
      </c>
      <c r="Q33" s="105">
        <v>10</v>
      </c>
      <c r="R33" s="105">
        <v>10</v>
      </c>
      <c r="S33" s="105">
        <v>10</v>
      </c>
      <c r="T33" s="105">
        <v>10</v>
      </c>
      <c r="U33" s="105">
        <v>10</v>
      </c>
      <c r="V33" s="105">
        <v>10</v>
      </c>
      <c r="W33" s="105">
        <v>10</v>
      </c>
      <c r="X33" s="105">
        <v>10</v>
      </c>
      <c r="Y33" s="105">
        <v>10</v>
      </c>
      <c r="Z33" s="105">
        <v>10</v>
      </c>
      <c r="AA33" s="105">
        <v>10</v>
      </c>
      <c r="AB33" s="105">
        <v>10</v>
      </c>
      <c r="AC33" s="105">
        <v>10</v>
      </c>
      <c r="AD33" s="105">
        <v>10</v>
      </c>
      <c r="AE33" s="105">
        <v>10</v>
      </c>
      <c r="AF33" s="105">
        <v>10</v>
      </c>
      <c r="AG33" s="125">
        <v>22</v>
      </c>
      <c r="AH33" s="20">
        <f t="shared" si="2"/>
        <v>10</v>
      </c>
      <c r="AI33" s="19">
        <f t="shared" si="3"/>
        <v>10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12</v>
      </c>
      <c r="C34" s="105">
        <v>12</v>
      </c>
      <c r="D34" s="105"/>
      <c r="E34" s="105"/>
      <c r="F34" s="105">
        <v>12</v>
      </c>
      <c r="G34" s="105">
        <v>12</v>
      </c>
      <c r="H34" s="105">
        <v>12</v>
      </c>
      <c r="I34" s="105">
        <v>12</v>
      </c>
      <c r="J34" s="105">
        <v>12</v>
      </c>
      <c r="K34" s="105">
        <v>12</v>
      </c>
      <c r="L34" s="105">
        <v>12</v>
      </c>
      <c r="M34" s="105">
        <v>12</v>
      </c>
      <c r="N34" s="105">
        <v>12</v>
      </c>
      <c r="O34" s="105"/>
      <c r="P34" s="105">
        <v>12</v>
      </c>
      <c r="Q34" s="105">
        <v>12</v>
      </c>
      <c r="R34" s="105">
        <v>12</v>
      </c>
      <c r="S34" s="105">
        <v>12</v>
      </c>
      <c r="T34" s="105">
        <v>12</v>
      </c>
      <c r="U34" s="105">
        <v>12</v>
      </c>
      <c r="V34" s="105">
        <v>12</v>
      </c>
      <c r="W34" s="105">
        <v>12</v>
      </c>
      <c r="X34" s="105">
        <v>12</v>
      </c>
      <c r="Y34" s="105">
        <v>12</v>
      </c>
      <c r="Z34" s="105">
        <v>12</v>
      </c>
      <c r="AA34" s="105">
        <v>12</v>
      </c>
      <c r="AB34" s="105">
        <v>12</v>
      </c>
      <c r="AC34" s="105">
        <v>12</v>
      </c>
      <c r="AD34" s="105">
        <v>12</v>
      </c>
      <c r="AE34" s="105">
        <v>12</v>
      </c>
      <c r="AF34" s="105">
        <v>12</v>
      </c>
      <c r="AG34" s="96">
        <v>11.88</v>
      </c>
      <c r="AH34" s="20">
        <f t="shared" si="2"/>
        <v>12</v>
      </c>
      <c r="AI34" s="19">
        <f t="shared" si="3"/>
        <v>12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/>
      <c r="E35" s="105"/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/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>
        <v>11</v>
      </c>
      <c r="AG35" s="94">
        <v>11</v>
      </c>
      <c r="AH35" s="20">
        <f t="shared" si="2"/>
        <v>11</v>
      </c>
      <c r="AI35" s="19">
        <f t="shared" si="3"/>
        <v>11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/>
      <c r="E36" s="105"/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>
        <v>9</v>
      </c>
      <c r="N36" s="105">
        <v>9</v>
      </c>
      <c r="O36" s="105"/>
      <c r="P36" s="105">
        <v>9</v>
      </c>
      <c r="Q36" s="105">
        <v>9</v>
      </c>
      <c r="R36" s="105">
        <v>9</v>
      </c>
      <c r="S36" s="105">
        <v>9</v>
      </c>
      <c r="T36" s="105">
        <v>9</v>
      </c>
      <c r="U36" s="105">
        <v>9</v>
      </c>
      <c r="V36" s="105">
        <v>9</v>
      </c>
      <c r="W36" s="105">
        <v>9</v>
      </c>
      <c r="X36" s="105">
        <v>9</v>
      </c>
      <c r="Y36" s="105">
        <v>9</v>
      </c>
      <c r="Z36" s="105">
        <v>9</v>
      </c>
      <c r="AA36" s="105">
        <v>9</v>
      </c>
      <c r="AB36" s="105">
        <v>9</v>
      </c>
      <c r="AC36" s="105">
        <v>9</v>
      </c>
      <c r="AD36" s="105">
        <v>9</v>
      </c>
      <c r="AE36" s="105">
        <v>9</v>
      </c>
      <c r="AF36" s="105">
        <v>9</v>
      </c>
      <c r="AG36" s="94">
        <v>10</v>
      </c>
      <c r="AH36" s="20">
        <f t="shared" si="2"/>
        <v>9</v>
      </c>
      <c r="AI36" s="19">
        <f t="shared" si="3"/>
        <v>9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/>
      <c r="E37" s="105"/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5">
        <v>0</v>
      </c>
      <c r="O37" s="105"/>
      <c r="P37" s="105">
        <v>0</v>
      </c>
      <c r="Q37" s="105">
        <v>0</v>
      </c>
      <c r="R37" s="105">
        <v>0</v>
      </c>
      <c r="S37" s="105">
        <v>2</v>
      </c>
      <c r="T37" s="105">
        <v>2</v>
      </c>
      <c r="U37" s="105">
        <v>2</v>
      </c>
      <c r="V37" s="105">
        <v>2</v>
      </c>
      <c r="W37" s="105">
        <v>2</v>
      </c>
      <c r="X37" s="105">
        <v>2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2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/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v>180</v>
      </c>
      <c r="C39" s="119">
        <v>168</v>
      </c>
      <c r="D39" s="119"/>
      <c r="E39" s="119"/>
      <c r="F39" s="119">
        <v>176</v>
      </c>
      <c r="G39" s="119">
        <v>177</v>
      </c>
      <c r="H39" s="119">
        <v>176</v>
      </c>
      <c r="I39" s="119">
        <v>176</v>
      </c>
      <c r="J39" s="119">
        <v>176</v>
      </c>
      <c r="K39" s="119">
        <v>176</v>
      </c>
      <c r="L39" s="119">
        <v>176</v>
      </c>
      <c r="M39" s="113">
        <f>83.7+96.1</f>
        <v>179.8</v>
      </c>
      <c r="N39" s="113">
        <f>83.7+96.1</f>
        <v>179.8</v>
      </c>
      <c r="O39" s="113"/>
      <c r="P39" s="113">
        <f>106.4</f>
        <v>106.4</v>
      </c>
      <c r="Q39" s="113">
        <f>94.2</f>
        <v>94.2</v>
      </c>
      <c r="R39" s="113">
        <f>84.4+98.9</f>
        <v>183.3</v>
      </c>
      <c r="S39" s="119">
        <f>70.7+96.6</f>
        <v>167.3</v>
      </c>
      <c r="T39" s="119">
        <f>82.2+89.8</f>
        <v>172</v>
      </c>
      <c r="U39" s="119">
        <f>97.4+84.1</f>
        <v>181.5</v>
      </c>
      <c r="V39" s="119">
        <f>98.2+84.1</f>
        <v>182.3</v>
      </c>
      <c r="W39" s="119">
        <f>84+98.5</f>
        <v>182.5</v>
      </c>
      <c r="X39" s="119">
        <f>84.1+96.4</f>
        <v>180.5</v>
      </c>
      <c r="Y39" s="119">
        <v>180.5</v>
      </c>
      <c r="Z39" s="119">
        <v>180.8</v>
      </c>
      <c r="AA39" s="119">
        <f>96.7+83.3</f>
        <v>180</v>
      </c>
      <c r="AB39" s="119">
        <f>83.9+97.6</f>
        <v>181.5</v>
      </c>
      <c r="AC39" s="119">
        <v>182</v>
      </c>
      <c r="AD39" s="119">
        <f>84.2+98.4</f>
        <v>182.60000000000002</v>
      </c>
      <c r="AE39" s="119">
        <f>84.6+99.4</f>
        <v>184</v>
      </c>
      <c r="AF39" s="119">
        <f>84.8+99.6</f>
        <v>184.39999999999998</v>
      </c>
      <c r="AG39" s="94">
        <v>240</v>
      </c>
      <c r="AH39" s="20">
        <f t="shared" si="2"/>
        <v>184.39999999999998</v>
      </c>
      <c r="AI39" s="19">
        <f t="shared" si="3"/>
        <v>94.2</v>
      </c>
      <c r="AK39" s="41"/>
    </row>
    <row r="40" spans="1:88" ht="15.75" thickBot="1" x14ac:dyDescent="0.3">
      <c r="A40" s="118" t="s">
        <v>195</v>
      </c>
      <c r="B40" s="86">
        <f t="shared" ref="B40:X40" si="4">SUM(B11:B38)</f>
        <v>796.4</v>
      </c>
      <c r="C40" s="86">
        <f t="shared" si="4"/>
        <v>796.4</v>
      </c>
      <c r="D40" s="86">
        <f t="shared" si="4"/>
        <v>327</v>
      </c>
      <c r="E40" s="86">
        <f t="shared" si="4"/>
        <v>327</v>
      </c>
      <c r="F40" s="86">
        <f t="shared" si="4"/>
        <v>728.1</v>
      </c>
      <c r="G40" s="86">
        <f t="shared" si="4"/>
        <v>728.1</v>
      </c>
      <c r="H40" s="86">
        <f t="shared" si="4"/>
        <v>728.1</v>
      </c>
      <c r="I40" s="86">
        <f t="shared" si="4"/>
        <v>730</v>
      </c>
      <c r="J40" s="86">
        <f t="shared" si="4"/>
        <v>735</v>
      </c>
      <c r="K40" s="86">
        <f t="shared" si="4"/>
        <v>790</v>
      </c>
      <c r="L40" s="86">
        <f t="shared" si="4"/>
        <v>793</v>
      </c>
      <c r="M40" s="86">
        <f t="shared" si="4"/>
        <v>793</v>
      </c>
      <c r="N40" s="86">
        <f t="shared" si="4"/>
        <v>793</v>
      </c>
      <c r="O40" s="86">
        <f t="shared" si="4"/>
        <v>0</v>
      </c>
      <c r="P40" s="86">
        <f t="shared" si="4"/>
        <v>803</v>
      </c>
      <c r="Q40" s="86">
        <f t="shared" si="4"/>
        <v>803</v>
      </c>
      <c r="R40" s="86">
        <f t="shared" si="4"/>
        <v>803.5</v>
      </c>
      <c r="S40" s="86">
        <f t="shared" si="4"/>
        <v>805.5</v>
      </c>
      <c r="T40" s="86">
        <f t="shared" si="4"/>
        <v>802.5</v>
      </c>
      <c r="U40" s="86">
        <f t="shared" si="4"/>
        <v>813.5</v>
      </c>
      <c r="V40" s="86">
        <f t="shared" si="4"/>
        <v>848.5</v>
      </c>
      <c r="W40" s="86">
        <f t="shared" si="4"/>
        <v>848.5</v>
      </c>
      <c r="X40" s="86">
        <f t="shared" si="4"/>
        <v>848.5</v>
      </c>
      <c r="Y40" s="86">
        <v>830.1</v>
      </c>
      <c r="Z40" s="86">
        <f t="shared" ref="Z40:AG40" si="5">SUM(Z11:Z38)</f>
        <v>847</v>
      </c>
      <c r="AA40" s="86">
        <f t="shared" si="5"/>
        <v>847</v>
      </c>
      <c r="AB40" s="86">
        <f t="shared" si="5"/>
        <v>847</v>
      </c>
      <c r="AC40" s="86">
        <f t="shared" si="5"/>
        <v>838.5</v>
      </c>
      <c r="AD40" s="86">
        <f t="shared" si="5"/>
        <v>822.5</v>
      </c>
      <c r="AE40" s="86">
        <f t="shared" si="5"/>
        <v>822.5</v>
      </c>
      <c r="AF40" s="86">
        <f t="shared" si="5"/>
        <v>798.3</v>
      </c>
      <c r="AG40" s="101">
        <f t="shared" si="5"/>
        <v>707.78000000000009</v>
      </c>
      <c r="AH40" s="20">
        <f t="shared" si="2"/>
        <v>848.5</v>
      </c>
      <c r="AI40" s="19">
        <f t="shared" si="3"/>
        <v>0</v>
      </c>
      <c r="AK40" s="41"/>
    </row>
    <row r="41" spans="1:88" x14ac:dyDescent="0.25">
      <c r="A41" s="117" t="s">
        <v>194</v>
      </c>
      <c r="B41" s="105">
        <v>456</v>
      </c>
      <c r="C41" s="105">
        <v>456</v>
      </c>
      <c r="D41" s="105">
        <v>456</v>
      </c>
      <c r="E41" s="105">
        <v>456</v>
      </c>
      <c r="F41" s="105">
        <v>456</v>
      </c>
      <c r="G41" s="105">
        <v>456</v>
      </c>
      <c r="H41" s="105">
        <v>456</v>
      </c>
      <c r="I41" s="105">
        <v>456</v>
      </c>
      <c r="J41" s="105">
        <v>456</v>
      </c>
      <c r="K41" s="105">
        <v>456</v>
      </c>
      <c r="L41" s="105">
        <v>456</v>
      </c>
      <c r="M41" s="105">
        <v>456</v>
      </c>
      <c r="N41" s="105">
        <v>456</v>
      </c>
      <c r="O41" s="105"/>
      <c r="P41" s="105">
        <v>456</v>
      </c>
      <c r="Q41" s="105">
        <v>456</v>
      </c>
      <c r="R41" s="105">
        <v>456</v>
      </c>
      <c r="S41" s="105">
        <v>456</v>
      </c>
      <c r="T41" s="105">
        <v>456</v>
      </c>
      <c r="U41" s="105">
        <v>456</v>
      </c>
      <c r="V41" s="105">
        <v>456</v>
      </c>
      <c r="W41" s="105">
        <v>456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456</v>
      </c>
      <c r="AD41" s="105">
        <v>456</v>
      </c>
      <c r="AE41" s="105">
        <v>456</v>
      </c>
      <c r="AF41" s="105">
        <v>456</v>
      </c>
      <c r="AG41" s="96">
        <v>456</v>
      </c>
      <c r="AH41" s="20">
        <f t="shared" si="2"/>
        <v>456</v>
      </c>
      <c r="AI41" s="19">
        <f t="shared" si="3"/>
        <v>456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/>
      <c r="P42" s="80">
        <v>60</v>
      </c>
      <c r="Q42" s="80">
        <v>60</v>
      </c>
      <c r="R42" s="80">
        <v>60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/>
      <c r="P43" s="107">
        <v>22</v>
      </c>
      <c r="Q43" s="107">
        <v>22</v>
      </c>
      <c r="R43" s="107">
        <v>22</v>
      </c>
      <c r="S43" s="107">
        <v>22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>
        <v>22</v>
      </c>
      <c r="AG43" s="106">
        <v>22.1</v>
      </c>
      <c r="AH43" s="20">
        <f t="shared" si="2"/>
        <v>22</v>
      </c>
      <c r="AI43" s="19">
        <f t="shared" si="3"/>
        <v>22</v>
      </c>
      <c r="AK43" s="41"/>
    </row>
    <row r="44" spans="1:88" ht="15.75" thickBot="1" x14ac:dyDescent="0.3">
      <c r="A44" s="114" t="s">
        <v>191</v>
      </c>
      <c r="B44" s="86">
        <f t="shared" ref="B44:AG44" si="6">SUM(B41:B43)</f>
        <v>538</v>
      </c>
      <c r="C44" s="86">
        <f t="shared" si="6"/>
        <v>538</v>
      </c>
      <c r="D44" s="86">
        <f t="shared" si="6"/>
        <v>538</v>
      </c>
      <c r="E44" s="86">
        <f t="shared" si="6"/>
        <v>538</v>
      </c>
      <c r="F44" s="86">
        <f t="shared" si="6"/>
        <v>538</v>
      </c>
      <c r="G44" s="86">
        <f t="shared" si="6"/>
        <v>538</v>
      </c>
      <c r="H44" s="86">
        <f t="shared" si="6"/>
        <v>538</v>
      </c>
      <c r="I44" s="86">
        <f t="shared" si="6"/>
        <v>538</v>
      </c>
      <c r="J44" s="86">
        <f t="shared" si="6"/>
        <v>538</v>
      </c>
      <c r="K44" s="86">
        <f t="shared" si="6"/>
        <v>538</v>
      </c>
      <c r="L44" s="86">
        <f t="shared" si="6"/>
        <v>538</v>
      </c>
      <c r="M44" s="86">
        <f t="shared" si="6"/>
        <v>538</v>
      </c>
      <c r="N44" s="86">
        <f t="shared" si="6"/>
        <v>538</v>
      </c>
      <c r="O44" s="86">
        <f t="shared" si="6"/>
        <v>0</v>
      </c>
      <c r="P44" s="86">
        <f t="shared" si="6"/>
        <v>538</v>
      </c>
      <c r="Q44" s="86">
        <f t="shared" si="6"/>
        <v>538</v>
      </c>
      <c r="R44" s="86">
        <f t="shared" si="6"/>
        <v>538</v>
      </c>
      <c r="S44" s="86">
        <f t="shared" si="6"/>
        <v>538</v>
      </c>
      <c r="T44" s="86">
        <f t="shared" si="6"/>
        <v>538</v>
      </c>
      <c r="U44" s="86">
        <f t="shared" si="6"/>
        <v>538</v>
      </c>
      <c r="V44" s="86">
        <f t="shared" si="6"/>
        <v>538</v>
      </c>
      <c r="W44" s="86">
        <f t="shared" si="6"/>
        <v>538</v>
      </c>
      <c r="X44" s="86">
        <f t="shared" si="6"/>
        <v>538</v>
      </c>
      <c r="Y44" s="86">
        <v>538</v>
      </c>
      <c r="Z44" s="86">
        <f t="shared" si="6"/>
        <v>538</v>
      </c>
      <c r="AA44" s="86">
        <f t="shared" si="6"/>
        <v>538</v>
      </c>
      <c r="AB44" s="86">
        <f t="shared" si="6"/>
        <v>538</v>
      </c>
      <c r="AC44" s="86">
        <f t="shared" si="6"/>
        <v>538</v>
      </c>
      <c r="AD44" s="86">
        <f t="shared" si="6"/>
        <v>538</v>
      </c>
      <c r="AE44" s="86">
        <f t="shared" si="6"/>
        <v>538</v>
      </c>
      <c r="AF44" s="86">
        <f t="shared" si="6"/>
        <v>538</v>
      </c>
      <c r="AG44" s="101">
        <f t="shared" si="6"/>
        <v>538.1</v>
      </c>
      <c r="AH44" s="20">
        <f t="shared" si="2"/>
        <v>538</v>
      </c>
      <c r="AI44" s="19">
        <f t="shared" si="3"/>
        <v>0</v>
      </c>
      <c r="AK44" s="41"/>
    </row>
    <row r="45" spans="1:88" x14ac:dyDescent="0.25">
      <c r="A45" s="97" t="s">
        <v>190</v>
      </c>
      <c r="B45" s="105">
        <v>144.5</v>
      </c>
      <c r="C45" s="105">
        <v>144.5</v>
      </c>
      <c r="D45" s="105"/>
      <c r="E45" s="105"/>
      <c r="F45" s="105">
        <v>144.5</v>
      </c>
      <c r="G45" s="105">
        <v>144.5</v>
      </c>
      <c r="H45" s="105">
        <v>144.5</v>
      </c>
      <c r="I45" s="105">
        <v>144.5</v>
      </c>
      <c r="J45" s="105">
        <v>144.5</v>
      </c>
      <c r="K45" s="105">
        <v>144.5</v>
      </c>
      <c r="L45" s="105">
        <v>144.5</v>
      </c>
      <c r="M45" s="105">
        <v>144.5</v>
      </c>
      <c r="N45" s="105">
        <v>143</v>
      </c>
      <c r="O45" s="105"/>
      <c r="P45" s="105">
        <v>143</v>
      </c>
      <c r="Q45" s="105">
        <v>143</v>
      </c>
      <c r="R45" s="105">
        <v>142.4</v>
      </c>
      <c r="S45" s="105">
        <v>143.30000000000001</v>
      </c>
      <c r="T45" s="105">
        <v>143.30000000000001</v>
      </c>
      <c r="U45" s="105">
        <v>143.30000000000001</v>
      </c>
      <c r="V45" s="105">
        <v>143.30000000000001</v>
      </c>
      <c r="W45" s="105">
        <v>143.30000000000001</v>
      </c>
      <c r="X45" s="105">
        <v>143.30000000000001</v>
      </c>
      <c r="Y45" s="105">
        <v>143.30000000000001</v>
      </c>
      <c r="Z45" s="105">
        <v>143.30000000000001</v>
      </c>
      <c r="AA45" s="105">
        <v>143.30000000000001</v>
      </c>
      <c r="AB45" s="105">
        <v>143.30000000000001</v>
      </c>
      <c r="AC45" s="105">
        <v>143.30000000000001</v>
      </c>
      <c r="AD45" s="105">
        <v>143.30000000000001</v>
      </c>
      <c r="AE45" s="105">
        <v>131.19999999999999</v>
      </c>
      <c r="AF45" s="105">
        <v>144.19999999999999</v>
      </c>
      <c r="AG45" s="96">
        <v>144</v>
      </c>
      <c r="AH45" s="20">
        <f t="shared" si="2"/>
        <v>144.5</v>
      </c>
      <c r="AI45" s="19">
        <f t="shared" si="3"/>
        <v>131.19999999999999</v>
      </c>
      <c r="AK45" s="41"/>
    </row>
    <row r="46" spans="1:88" x14ac:dyDescent="0.25">
      <c r="A46" s="95" t="s">
        <v>189</v>
      </c>
      <c r="B46" s="80">
        <v>62</v>
      </c>
      <c r="C46" s="80">
        <v>62</v>
      </c>
      <c r="D46" s="80"/>
      <c r="E46" s="80"/>
      <c r="F46" s="80">
        <v>20</v>
      </c>
      <c r="G46" s="80">
        <v>25</v>
      </c>
      <c r="H46" s="80">
        <v>30</v>
      </c>
      <c r="I46" s="80">
        <v>35</v>
      </c>
      <c r="J46" s="80">
        <v>45</v>
      </c>
      <c r="K46" s="80">
        <v>41</v>
      </c>
      <c r="L46" s="80">
        <v>41</v>
      </c>
      <c r="M46" s="80">
        <v>40.4</v>
      </c>
      <c r="N46" s="80">
        <v>32.799999999999997</v>
      </c>
      <c r="O46" s="105"/>
      <c r="P46" s="80">
        <v>28</v>
      </c>
      <c r="Q46" s="80">
        <v>28</v>
      </c>
      <c r="R46" s="105">
        <v>31.2</v>
      </c>
      <c r="S46" s="105">
        <v>28</v>
      </c>
      <c r="T46" s="105">
        <v>28</v>
      </c>
      <c r="U46" s="105">
        <v>41</v>
      </c>
      <c r="V46" s="105">
        <v>41</v>
      </c>
      <c r="W46" s="105">
        <v>71.900000000000006</v>
      </c>
      <c r="X46" s="105">
        <v>71.900000000000006</v>
      </c>
      <c r="Y46" s="80">
        <v>71.900000000000006</v>
      </c>
      <c r="Z46" s="80">
        <v>71.900000000000006</v>
      </c>
      <c r="AA46" s="80">
        <v>71.900000000000006</v>
      </c>
      <c r="AB46" s="80">
        <v>71.900000000000006</v>
      </c>
      <c r="AC46" s="80">
        <v>71.900000000000006</v>
      </c>
      <c r="AD46" s="80">
        <v>71.900000000000006</v>
      </c>
      <c r="AE46" s="80">
        <v>71.900000000000006</v>
      </c>
      <c r="AF46" s="80">
        <v>72.8</v>
      </c>
      <c r="AG46" s="94">
        <v>70</v>
      </c>
      <c r="AH46" s="20">
        <f t="shared" si="2"/>
        <v>72.8</v>
      </c>
      <c r="AI46" s="19">
        <f t="shared" si="3"/>
        <v>20</v>
      </c>
      <c r="AK46" s="41"/>
    </row>
    <row r="47" spans="1:88" x14ac:dyDescent="0.25">
      <c r="A47" s="95" t="s">
        <v>188</v>
      </c>
      <c r="B47" s="80">
        <v>62.2</v>
      </c>
      <c r="C47" s="80">
        <v>62.2</v>
      </c>
      <c r="D47" s="80"/>
      <c r="E47" s="80"/>
      <c r="F47" s="80">
        <v>33</v>
      </c>
      <c r="G47" s="80">
        <v>33</v>
      </c>
      <c r="H47" s="80">
        <v>40</v>
      </c>
      <c r="I47" s="80">
        <v>40</v>
      </c>
      <c r="J47" s="80">
        <v>40</v>
      </c>
      <c r="K47" s="80">
        <v>40</v>
      </c>
      <c r="L47" s="80">
        <v>40</v>
      </c>
      <c r="M47" s="80">
        <v>50.9</v>
      </c>
      <c r="N47" s="80">
        <v>58.2</v>
      </c>
      <c r="O47" s="105"/>
      <c r="P47" s="80">
        <v>52</v>
      </c>
      <c r="Q47" s="80">
        <v>52</v>
      </c>
      <c r="R47" s="105">
        <v>49.9</v>
      </c>
      <c r="S47" s="105">
        <v>49.9</v>
      </c>
      <c r="T47" s="105">
        <v>54</v>
      </c>
      <c r="U47" s="105">
        <v>64</v>
      </c>
      <c r="V47" s="105">
        <v>64</v>
      </c>
      <c r="W47" s="105">
        <v>64</v>
      </c>
      <c r="X47" s="105">
        <v>64</v>
      </c>
      <c r="Y47" s="80">
        <v>64</v>
      </c>
      <c r="Z47" s="80">
        <v>64</v>
      </c>
      <c r="AA47" s="80">
        <v>64</v>
      </c>
      <c r="AB47" s="80">
        <v>64</v>
      </c>
      <c r="AC47" s="80">
        <v>62.2</v>
      </c>
      <c r="AD47" s="80">
        <v>62.2</v>
      </c>
      <c r="AE47" s="80">
        <v>62.2</v>
      </c>
      <c r="AF47" s="80">
        <v>62.8</v>
      </c>
      <c r="AG47" s="94">
        <v>69</v>
      </c>
      <c r="AH47" s="20">
        <f t="shared" si="2"/>
        <v>64</v>
      </c>
      <c r="AI47" s="19">
        <f t="shared" si="3"/>
        <v>33</v>
      </c>
      <c r="AK47" s="41"/>
    </row>
    <row r="48" spans="1:88" x14ac:dyDescent="0.25">
      <c r="A48" s="95" t="s">
        <v>187</v>
      </c>
      <c r="B48" s="113">
        <v>60.4</v>
      </c>
      <c r="C48" s="113">
        <v>60.4</v>
      </c>
      <c r="D48" s="113">
        <v>60.4</v>
      </c>
      <c r="E48" s="113">
        <v>60.4</v>
      </c>
      <c r="F48" s="113">
        <v>41</v>
      </c>
      <c r="G48" s="113">
        <v>50</v>
      </c>
      <c r="H48" s="113">
        <v>50</v>
      </c>
      <c r="I48" s="113">
        <v>50</v>
      </c>
      <c r="J48" s="113">
        <v>50</v>
      </c>
      <c r="K48" s="113">
        <v>50</v>
      </c>
      <c r="L48" s="113">
        <v>50</v>
      </c>
      <c r="M48" s="113">
        <v>50</v>
      </c>
      <c r="N48" s="113">
        <v>31.5</v>
      </c>
      <c r="O48" s="105"/>
      <c r="P48" s="113">
        <v>57.2</v>
      </c>
      <c r="Q48" s="113">
        <v>57.2</v>
      </c>
      <c r="R48" s="105">
        <v>57.4</v>
      </c>
      <c r="S48" s="105">
        <v>60.9</v>
      </c>
      <c r="T48" s="105">
        <v>60.9</v>
      </c>
      <c r="U48" s="105">
        <v>60.9</v>
      </c>
      <c r="V48" s="105">
        <v>60.9</v>
      </c>
      <c r="W48" s="105">
        <v>60.9</v>
      </c>
      <c r="X48" s="105">
        <v>60.9</v>
      </c>
      <c r="Y48" s="80">
        <v>60.9</v>
      </c>
      <c r="Z48" s="80">
        <v>60.9</v>
      </c>
      <c r="AA48" s="80">
        <v>60.9</v>
      </c>
      <c r="AB48" s="80">
        <v>60.9</v>
      </c>
      <c r="AC48" s="80">
        <v>60.4</v>
      </c>
      <c r="AD48" s="80">
        <v>60.4</v>
      </c>
      <c r="AE48" s="80">
        <v>60.4</v>
      </c>
      <c r="AF48" s="113">
        <v>60</v>
      </c>
      <c r="AG48" s="94">
        <v>60</v>
      </c>
      <c r="AH48" s="20">
        <f t="shared" si="2"/>
        <v>60.9</v>
      </c>
      <c r="AI48" s="19">
        <f t="shared" si="3"/>
        <v>31.5</v>
      </c>
      <c r="AK48" s="41"/>
    </row>
    <row r="49" spans="1:41" x14ac:dyDescent="0.25">
      <c r="A49" s="95" t="s">
        <v>186</v>
      </c>
      <c r="B49" s="113">
        <v>28.7</v>
      </c>
      <c r="C49" s="113">
        <v>28.7</v>
      </c>
      <c r="D49" s="113">
        <v>28.7</v>
      </c>
      <c r="E49" s="113">
        <v>28.7</v>
      </c>
      <c r="F49" s="113">
        <v>28.7</v>
      </c>
      <c r="G49" s="113">
        <v>28.7</v>
      </c>
      <c r="H49" s="113">
        <v>28.7</v>
      </c>
      <c r="I49" s="113">
        <v>28.7</v>
      </c>
      <c r="J49" s="113">
        <v>28.7</v>
      </c>
      <c r="K49" s="113">
        <v>28.7</v>
      </c>
      <c r="L49" s="113">
        <v>28.7</v>
      </c>
      <c r="M49" s="113">
        <v>28.8</v>
      </c>
      <c r="N49" s="113">
        <v>28.8</v>
      </c>
      <c r="O49" s="105"/>
      <c r="P49" s="113">
        <v>28.9</v>
      </c>
      <c r="Q49" s="113">
        <v>28.9</v>
      </c>
      <c r="R49" s="105">
        <v>28.8</v>
      </c>
      <c r="S49" s="105">
        <v>28.8</v>
      </c>
      <c r="T49" s="105">
        <v>29.3</v>
      </c>
      <c r="U49" s="105">
        <v>29.3</v>
      </c>
      <c r="V49" s="105">
        <v>29.3</v>
      </c>
      <c r="W49" s="105">
        <v>29.3</v>
      </c>
      <c r="X49" s="105">
        <v>29.3</v>
      </c>
      <c r="Y49" s="80">
        <v>29.3</v>
      </c>
      <c r="Z49" s="80">
        <v>29.3</v>
      </c>
      <c r="AA49" s="80">
        <v>29.3</v>
      </c>
      <c r="AB49" s="80">
        <v>29.3</v>
      </c>
      <c r="AC49" s="80">
        <v>29.3</v>
      </c>
      <c r="AD49" s="80">
        <v>29.3</v>
      </c>
      <c r="AE49" s="80">
        <v>29.3</v>
      </c>
      <c r="AF49" s="113">
        <v>29.3</v>
      </c>
      <c r="AG49" s="94">
        <v>30</v>
      </c>
      <c r="AH49" s="20">
        <f t="shared" si="2"/>
        <v>29.3</v>
      </c>
      <c r="AI49" s="19">
        <f t="shared" si="3"/>
        <v>28.7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0</v>
      </c>
      <c r="N50" s="80">
        <v>0</v>
      </c>
      <c r="O50" s="80"/>
      <c r="P50" s="80">
        <v>0</v>
      </c>
      <c r="Q50" s="80">
        <v>0</v>
      </c>
      <c r="R50" s="80">
        <v>16</v>
      </c>
      <c r="S50" s="80">
        <v>16</v>
      </c>
      <c r="T50" s="80">
        <v>16</v>
      </c>
      <c r="U50" s="80">
        <v>16</v>
      </c>
      <c r="V50" s="80">
        <v>16</v>
      </c>
      <c r="W50" s="80">
        <v>0</v>
      </c>
      <c r="X50" s="80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80">
        <v>0</v>
      </c>
      <c r="AG50" s="94">
        <v>25</v>
      </c>
      <c r="AH50" s="20">
        <f t="shared" si="2"/>
        <v>16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17.3</v>
      </c>
      <c r="C51" s="80">
        <v>17.3</v>
      </c>
      <c r="D51" s="80">
        <v>11</v>
      </c>
      <c r="E51" s="80">
        <v>11</v>
      </c>
      <c r="F51" s="80">
        <v>11</v>
      </c>
      <c r="G51" s="80">
        <v>11</v>
      </c>
      <c r="H51" s="80">
        <v>11</v>
      </c>
      <c r="I51" s="80">
        <v>16.7</v>
      </c>
      <c r="J51" s="80">
        <v>16.7</v>
      </c>
      <c r="K51" s="80">
        <v>16.7</v>
      </c>
      <c r="L51" s="80">
        <v>16.7</v>
      </c>
      <c r="M51" s="80">
        <v>16.7</v>
      </c>
      <c r="N51" s="80">
        <v>16.7</v>
      </c>
      <c r="O51" s="80"/>
      <c r="P51" s="80">
        <v>16.7</v>
      </c>
      <c r="Q51" s="80">
        <v>16.7</v>
      </c>
      <c r="R51" s="80">
        <v>16.7</v>
      </c>
      <c r="S51" s="80">
        <v>16.7</v>
      </c>
      <c r="T51" s="80">
        <v>16.7</v>
      </c>
      <c r="U51" s="80">
        <v>16.7</v>
      </c>
      <c r="V51" s="80">
        <v>16.7</v>
      </c>
      <c r="W51" s="80">
        <v>16.7</v>
      </c>
      <c r="X51" s="80">
        <v>16.7</v>
      </c>
      <c r="Y51" s="105">
        <v>16.7</v>
      </c>
      <c r="Z51" s="105">
        <v>16.7</v>
      </c>
      <c r="AA51" s="105">
        <v>16.7</v>
      </c>
      <c r="AB51" s="105">
        <v>16.7</v>
      </c>
      <c r="AC51" s="105">
        <v>17</v>
      </c>
      <c r="AD51" s="105">
        <v>17</v>
      </c>
      <c r="AE51" s="105">
        <v>17</v>
      </c>
      <c r="AF51" s="80">
        <v>17.100000000000001</v>
      </c>
      <c r="AG51" s="94">
        <v>24</v>
      </c>
      <c r="AH51" s="20">
        <f t="shared" si="2"/>
        <v>17.3</v>
      </c>
      <c r="AI51" s="19">
        <f t="shared" si="3"/>
        <v>11</v>
      </c>
      <c r="AK51" s="41"/>
    </row>
    <row r="52" spans="1:41" x14ac:dyDescent="0.25">
      <c r="A52" s="95" t="s">
        <v>183</v>
      </c>
      <c r="B52" s="80">
        <v>4</v>
      </c>
      <c r="C52" s="80">
        <v>4</v>
      </c>
      <c r="D52" s="80">
        <v>4</v>
      </c>
      <c r="E52" s="80">
        <v>4</v>
      </c>
      <c r="F52" s="80">
        <v>4</v>
      </c>
      <c r="G52" s="80">
        <v>4</v>
      </c>
      <c r="H52" s="80">
        <v>4</v>
      </c>
      <c r="I52" s="80">
        <v>4</v>
      </c>
      <c r="J52" s="80">
        <v>4</v>
      </c>
      <c r="K52" s="80">
        <v>4</v>
      </c>
      <c r="L52" s="80">
        <v>4</v>
      </c>
      <c r="M52" s="80">
        <v>4</v>
      </c>
      <c r="N52" s="80">
        <v>4</v>
      </c>
      <c r="O52" s="80"/>
      <c r="P52" s="80">
        <v>4</v>
      </c>
      <c r="Q52" s="80">
        <v>4</v>
      </c>
      <c r="R52" s="80">
        <v>4</v>
      </c>
      <c r="S52" s="80">
        <v>4</v>
      </c>
      <c r="T52" s="80">
        <v>4</v>
      </c>
      <c r="U52" s="80">
        <v>4</v>
      </c>
      <c r="V52" s="80">
        <v>4</v>
      </c>
      <c r="W52" s="80">
        <v>4</v>
      </c>
      <c r="X52" s="80">
        <v>4</v>
      </c>
      <c r="Y52" s="80">
        <v>4</v>
      </c>
      <c r="Z52" s="80">
        <v>4</v>
      </c>
      <c r="AA52" s="80">
        <v>4</v>
      </c>
      <c r="AB52" s="80">
        <v>4</v>
      </c>
      <c r="AC52" s="80">
        <v>4</v>
      </c>
      <c r="AD52" s="80">
        <v>4</v>
      </c>
      <c r="AE52" s="80">
        <v>0</v>
      </c>
      <c r="AF52" s="80">
        <v>3</v>
      </c>
      <c r="AG52" s="94">
        <v>15</v>
      </c>
      <c r="AH52" s="20">
        <f t="shared" si="2"/>
        <v>4</v>
      </c>
      <c r="AI52" s="19">
        <f t="shared" si="3"/>
        <v>0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8.1</v>
      </c>
      <c r="C53" s="80">
        <v>8.1</v>
      </c>
      <c r="D53" s="80">
        <v>8.1</v>
      </c>
      <c r="E53" s="80">
        <v>8.1</v>
      </c>
      <c r="F53" s="80">
        <v>8.1</v>
      </c>
      <c r="G53" s="80">
        <v>8.1</v>
      </c>
      <c r="H53" s="80">
        <v>8.1</v>
      </c>
      <c r="I53" s="80">
        <v>8.1</v>
      </c>
      <c r="J53" s="80">
        <v>8.1</v>
      </c>
      <c r="K53" s="80">
        <v>8.1</v>
      </c>
      <c r="L53" s="80">
        <v>8.1</v>
      </c>
      <c r="M53" s="80">
        <v>8.1</v>
      </c>
      <c r="N53" s="80">
        <v>8.1</v>
      </c>
      <c r="O53" s="80"/>
      <c r="P53" s="80">
        <v>8.1</v>
      </c>
      <c r="Q53" s="80">
        <v>8.1</v>
      </c>
      <c r="R53" s="80">
        <v>8.1</v>
      </c>
      <c r="S53" s="80">
        <v>8.1</v>
      </c>
      <c r="T53" s="80">
        <v>8.1</v>
      </c>
      <c r="U53" s="80">
        <v>8.1</v>
      </c>
      <c r="V53" s="80">
        <v>8.1</v>
      </c>
      <c r="W53" s="80">
        <v>8.1</v>
      </c>
      <c r="X53" s="80">
        <v>8.1</v>
      </c>
      <c r="Y53" s="80">
        <v>5.0999999999999996</v>
      </c>
      <c r="Z53" s="80">
        <v>5.0999999999999996</v>
      </c>
      <c r="AA53" s="80">
        <v>5.0999999999999996</v>
      </c>
      <c r="AB53" s="80">
        <v>7.5</v>
      </c>
      <c r="AC53" s="80">
        <v>7.5</v>
      </c>
      <c r="AD53" s="80">
        <v>7.5</v>
      </c>
      <c r="AE53" s="80">
        <v>7.5</v>
      </c>
      <c r="AF53" s="80">
        <v>7.5</v>
      </c>
      <c r="AG53" s="94">
        <v>14.1</v>
      </c>
      <c r="AH53" s="20">
        <f t="shared" si="2"/>
        <v>8.1</v>
      </c>
      <c r="AI53" s="19">
        <f t="shared" si="3"/>
        <v>5.0999999999999996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14.2</v>
      </c>
      <c r="C54" s="80">
        <v>14.2</v>
      </c>
      <c r="D54" s="80">
        <v>14.2</v>
      </c>
      <c r="E54" s="80">
        <v>14.2</v>
      </c>
      <c r="F54" s="80">
        <v>14.2</v>
      </c>
      <c r="G54" s="80">
        <v>14.2</v>
      </c>
      <c r="H54" s="80">
        <v>14.2</v>
      </c>
      <c r="I54" s="80">
        <v>14.2</v>
      </c>
      <c r="J54" s="80">
        <v>14.2</v>
      </c>
      <c r="K54" s="80">
        <v>14.2</v>
      </c>
      <c r="L54" s="80">
        <v>14.2</v>
      </c>
      <c r="M54" s="80">
        <v>14.2</v>
      </c>
      <c r="N54" s="80">
        <v>14.2</v>
      </c>
      <c r="O54" s="80"/>
      <c r="P54" s="80">
        <v>14.2</v>
      </c>
      <c r="Q54" s="80">
        <v>14.2</v>
      </c>
      <c r="R54" s="80">
        <v>14.2</v>
      </c>
      <c r="S54" s="80">
        <v>14.2</v>
      </c>
      <c r="T54" s="80">
        <v>14.2</v>
      </c>
      <c r="U54" s="80">
        <v>14.2</v>
      </c>
      <c r="V54" s="80">
        <v>14.2</v>
      </c>
      <c r="W54" s="80">
        <v>14.2</v>
      </c>
      <c r="X54" s="80">
        <v>14.2</v>
      </c>
      <c r="Y54" s="80">
        <v>14.2</v>
      </c>
      <c r="Z54" s="80">
        <v>14.2</v>
      </c>
      <c r="AA54" s="80">
        <v>14.2</v>
      </c>
      <c r="AB54" s="80">
        <v>14.2</v>
      </c>
      <c r="AC54" s="80">
        <v>4.5</v>
      </c>
      <c r="AD54" s="80">
        <v>14.2</v>
      </c>
      <c r="AE54" s="80">
        <v>14.2</v>
      </c>
      <c r="AF54" s="80">
        <v>14.4</v>
      </c>
      <c r="AG54" s="94">
        <v>14</v>
      </c>
      <c r="AH54" s="20">
        <f t="shared" si="2"/>
        <v>14.4</v>
      </c>
      <c r="AI54" s="19">
        <f t="shared" si="3"/>
        <v>4.5</v>
      </c>
      <c r="AK54" s="41"/>
    </row>
    <row r="55" spans="1:41" x14ac:dyDescent="0.25">
      <c r="A55" s="95" t="s">
        <v>180</v>
      </c>
      <c r="B55" s="80">
        <v>9</v>
      </c>
      <c r="C55" s="80">
        <v>9</v>
      </c>
      <c r="D55" s="80">
        <v>9</v>
      </c>
      <c r="E55" s="80">
        <v>9</v>
      </c>
      <c r="F55" s="80">
        <v>9</v>
      </c>
      <c r="G55" s="80">
        <v>9</v>
      </c>
      <c r="H55" s="80">
        <v>9</v>
      </c>
      <c r="I55" s="80">
        <v>9</v>
      </c>
      <c r="J55" s="80">
        <v>9</v>
      </c>
      <c r="K55" s="80">
        <v>9</v>
      </c>
      <c r="L55" s="80">
        <v>9</v>
      </c>
      <c r="M55" s="80">
        <v>9</v>
      </c>
      <c r="N55" s="80">
        <v>9</v>
      </c>
      <c r="O55" s="80"/>
      <c r="P55" s="80">
        <v>9</v>
      </c>
      <c r="Q55" s="80">
        <v>9</v>
      </c>
      <c r="R55" s="80">
        <v>9</v>
      </c>
      <c r="S55" s="80">
        <v>9</v>
      </c>
      <c r="T55" s="80">
        <v>9</v>
      </c>
      <c r="U55" s="80">
        <v>9</v>
      </c>
      <c r="V55" s="80">
        <v>9</v>
      </c>
      <c r="W55" s="80">
        <v>9</v>
      </c>
      <c r="X55" s="80">
        <v>9</v>
      </c>
      <c r="Y55" s="80">
        <v>9</v>
      </c>
      <c r="Z55" s="80">
        <v>9</v>
      </c>
      <c r="AA55" s="80">
        <v>9</v>
      </c>
      <c r="AB55" s="80">
        <v>9</v>
      </c>
      <c r="AC55" s="80">
        <v>9</v>
      </c>
      <c r="AD55" s="80">
        <v>9</v>
      </c>
      <c r="AE55" s="80">
        <v>9</v>
      </c>
      <c r="AF55" s="80">
        <v>9</v>
      </c>
      <c r="AG55" s="94">
        <v>10.050000000000001</v>
      </c>
      <c r="AH55" s="20">
        <f t="shared" si="2"/>
        <v>9</v>
      </c>
      <c r="AI55" s="19">
        <f t="shared" si="3"/>
        <v>9</v>
      </c>
      <c r="AK55" s="41"/>
    </row>
    <row r="56" spans="1:41" x14ac:dyDescent="0.25">
      <c r="A56" s="95" t="s">
        <v>179</v>
      </c>
      <c r="B56" s="80">
        <v>3</v>
      </c>
      <c r="C56" s="80">
        <v>3</v>
      </c>
      <c r="D56" s="80">
        <v>3</v>
      </c>
      <c r="E56" s="80">
        <v>3</v>
      </c>
      <c r="F56" s="80">
        <v>3</v>
      </c>
      <c r="G56" s="80">
        <v>3</v>
      </c>
      <c r="H56" s="80">
        <v>3</v>
      </c>
      <c r="I56" s="80">
        <v>3</v>
      </c>
      <c r="J56" s="80">
        <v>3</v>
      </c>
      <c r="K56" s="80">
        <v>3</v>
      </c>
      <c r="L56" s="80">
        <v>3</v>
      </c>
      <c r="M56" s="80">
        <v>3</v>
      </c>
      <c r="N56" s="80">
        <v>3</v>
      </c>
      <c r="O56" s="80"/>
      <c r="P56" s="80">
        <v>3</v>
      </c>
      <c r="Q56" s="80">
        <v>3</v>
      </c>
      <c r="R56" s="80">
        <v>3</v>
      </c>
      <c r="S56" s="80">
        <v>3</v>
      </c>
      <c r="T56" s="80">
        <v>3</v>
      </c>
      <c r="U56" s="80">
        <v>3</v>
      </c>
      <c r="V56" s="80">
        <v>3</v>
      </c>
      <c r="W56" s="80">
        <v>3</v>
      </c>
      <c r="X56" s="80">
        <v>3</v>
      </c>
      <c r="Y56" s="80">
        <v>3</v>
      </c>
      <c r="Z56" s="80">
        <v>3</v>
      </c>
      <c r="AA56" s="80">
        <v>3</v>
      </c>
      <c r="AB56" s="80">
        <v>6.2</v>
      </c>
      <c r="AC56" s="80">
        <v>6.2</v>
      </c>
      <c r="AD56" s="80">
        <v>6.2</v>
      </c>
      <c r="AE56" s="80">
        <v>6.2</v>
      </c>
      <c r="AF56" s="80">
        <v>6.2</v>
      </c>
      <c r="AG56" s="94">
        <v>6.2</v>
      </c>
      <c r="AH56" s="20">
        <f t="shared" si="2"/>
        <v>6.2</v>
      </c>
      <c r="AI56" s="19">
        <f t="shared" si="3"/>
        <v>3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7">SUM(B45:B57)</f>
        <v>416.94</v>
      </c>
      <c r="C58" s="86">
        <f t="shared" si="7"/>
        <v>416.94</v>
      </c>
      <c r="D58" s="86">
        <f t="shared" si="7"/>
        <v>141.93999999999997</v>
      </c>
      <c r="E58" s="86">
        <f t="shared" si="7"/>
        <v>141.93999999999997</v>
      </c>
      <c r="F58" s="86">
        <f t="shared" si="7"/>
        <v>320.04000000000002</v>
      </c>
      <c r="G58" s="86">
        <f t="shared" si="7"/>
        <v>334.04</v>
      </c>
      <c r="H58" s="86">
        <f t="shared" si="7"/>
        <v>346.04</v>
      </c>
      <c r="I58" s="86">
        <f t="shared" si="7"/>
        <v>356.74</v>
      </c>
      <c r="J58" s="86">
        <f t="shared" si="7"/>
        <v>366.74</v>
      </c>
      <c r="K58" s="86">
        <f t="shared" si="7"/>
        <v>362.74</v>
      </c>
      <c r="L58" s="86">
        <f t="shared" si="7"/>
        <v>362.74</v>
      </c>
      <c r="M58" s="86">
        <f t="shared" si="7"/>
        <v>373.14000000000004</v>
      </c>
      <c r="N58" s="86">
        <f t="shared" si="7"/>
        <v>352.84000000000003</v>
      </c>
      <c r="O58" s="86">
        <f t="shared" si="7"/>
        <v>3.54</v>
      </c>
      <c r="P58" s="86">
        <f t="shared" si="7"/>
        <v>367.64</v>
      </c>
      <c r="Q58" s="86">
        <f t="shared" si="7"/>
        <v>367.64</v>
      </c>
      <c r="R58" s="86">
        <f t="shared" si="7"/>
        <v>384.24</v>
      </c>
      <c r="S58" s="86">
        <f t="shared" si="7"/>
        <v>385.44000000000005</v>
      </c>
      <c r="T58" s="86">
        <f t="shared" si="7"/>
        <v>390.04</v>
      </c>
      <c r="U58" s="86">
        <f t="shared" si="7"/>
        <v>413.04</v>
      </c>
      <c r="V58" s="86">
        <f t="shared" si="7"/>
        <v>413.04</v>
      </c>
      <c r="W58" s="86">
        <f t="shared" si="7"/>
        <v>427.94000000000005</v>
      </c>
      <c r="X58" s="86">
        <f t="shared" si="7"/>
        <v>427.94000000000005</v>
      </c>
      <c r="Y58" s="86">
        <f t="shared" si="7"/>
        <v>424.94000000000005</v>
      </c>
      <c r="Z58" s="86">
        <f t="shared" si="7"/>
        <v>424.94000000000005</v>
      </c>
      <c r="AA58" s="86">
        <f t="shared" si="7"/>
        <v>424.94000000000005</v>
      </c>
      <c r="AB58" s="86">
        <f t="shared" si="7"/>
        <v>430.54</v>
      </c>
      <c r="AC58" s="86">
        <f t="shared" si="7"/>
        <v>418.84000000000003</v>
      </c>
      <c r="AD58" s="86">
        <f t="shared" si="7"/>
        <v>428.54</v>
      </c>
      <c r="AE58" s="86">
        <f t="shared" si="7"/>
        <v>412.44</v>
      </c>
      <c r="AF58" s="86">
        <f t="shared" si="7"/>
        <v>429.84000000000003</v>
      </c>
      <c r="AG58" s="101">
        <f t="shared" si="7"/>
        <v>489.91</v>
      </c>
      <c r="AH58" s="20">
        <f t="shared" si="2"/>
        <v>430.54</v>
      </c>
      <c r="AI58" s="19">
        <f t="shared" si="3"/>
        <v>3.54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/>
      <c r="P59" s="105">
        <v>0</v>
      </c>
      <c r="Q59" s="105">
        <v>0</v>
      </c>
      <c r="R59" s="105">
        <v>0</v>
      </c>
      <c r="S59" s="105">
        <v>0</v>
      </c>
      <c r="T59" s="105">
        <v>14.9</v>
      </c>
      <c r="U59" s="105">
        <v>0</v>
      </c>
      <c r="V59" s="105">
        <v>0</v>
      </c>
      <c r="W59" s="105">
        <v>0</v>
      </c>
      <c r="X59" s="105">
        <v>14.3</v>
      </c>
      <c r="Y59" s="105">
        <v>29.3</v>
      </c>
      <c r="Z59" s="105">
        <v>29.3</v>
      </c>
      <c r="AA59" s="105">
        <v>14</v>
      </c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29.3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/>
      <c r="P60" s="80">
        <v>0</v>
      </c>
      <c r="Q60" s="80">
        <v>0</v>
      </c>
      <c r="R60" s="80">
        <v>0</v>
      </c>
      <c r="S60" s="80">
        <v>0</v>
      </c>
      <c r="T60" s="80">
        <v>7.5</v>
      </c>
      <c r="U60" s="80">
        <v>12</v>
      </c>
      <c r="V60" s="80">
        <v>0</v>
      </c>
      <c r="W60" s="80">
        <v>0</v>
      </c>
      <c r="X60" s="80">
        <v>5</v>
      </c>
      <c r="Y60" s="80">
        <v>15.2</v>
      </c>
      <c r="Z60" s="80">
        <v>15.2</v>
      </c>
      <c r="AA60" s="80">
        <v>6.1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15.2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/>
      <c r="P61" s="107">
        <v>0</v>
      </c>
      <c r="Q61" s="107">
        <v>0</v>
      </c>
      <c r="R61" s="107">
        <v>0</v>
      </c>
      <c r="S61" s="107">
        <v>0</v>
      </c>
      <c r="T61" s="107">
        <v>2.8</v>
      </c>
      <c r="U61" s="107">
        <v>4.4000000000000004</v>
      </c>
      <c r="V61" s="107">
        <v>0</v>
      </c>
      <c r="W61" s="107">
        <v>0</v>
      </c>
      <c r="X61" s="107">
        <v>1.8</v>
      </c>
      <c r="Y61" s="107">
        <v>5.6</v>
      </c>
      <c r="Z61" s="107">
        <v>5.6</v>
      </c>
      <c r="AA61" s="107">
        <v>2.2000000000000002</v>
      </c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5.6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8">SUM(B59:B61)</f>
        <v>0</v>
      </c>
      <c r="C62" s="86">
        <f t="shared" si="8"/>
        <v>0</v>
      </c>
      <c r="D62" s="86">
        <f t="shared" si="8"/>
        <v>0</v>
      </c>
      <c r="E62" s="86">
        <f t="shared" si="8"/>
        <v>0</v>
      </c>
      <c r="F62" s="86">
        <f t="shared" si="8"/>
        <v>0</v>
      </c>
      <c r="G62" s="86">
        <f t="shared" si="8"/>
        <v>0</v>
      </c>
      <c r="H62" s="86">
        <f t="shared" si="8"/>
        <v>0</v>
      </c>
      <c r="I62" s="86">
        <f t="shared" si="8"/>
        <v>0</v>
      </c>
      <c r="J62" s="86">
        <f t="shared" si="8"/>
        <v>0</v>
      </c>
      <c r="K62" s="86">
        <f t="shared" si="8"/>
        <v>0</v>
      </c>
      <c r="L62" s="86">
        <f t="shared" si="8"/>
        <v>0</v>
      </c>
      <c r="M62" s="86">
        <f t="shared" si="8"/>
        <v>0</v>
      </c>
      <c r="N62" s="86">
        <f t="shared" si="8"/>
        <v>0</v>
      </c>
      <c r="O62" s="86">
        <f t="shared" si="8"/>
        <v>0</v>
      </c>
      <c r="P62" s="86">
        <f t="shared" si="8"/>
        <v>0</v>
      </c>
      <c r="Q62" s="86">
        <f t="shared" si="8"/>
        <v>0</v>
      </c>
      <c r="R62" s="86">
        <f t="shared" si="8"/>
        <v>0</v>
      </c>
      <c r="S62" s="86">
        <f t="shared" si="8"/>
        <v>0</v>
      </c>
      <c r="T62" s="86">
        <f t="shared" si="8"/>
        <v>25.2</v>
      </c>
      <c r="U62" s="86">
        <f t="shared" si="8"/>
        <v>16.399999999999999</v>
      </c>
      <c r="V62" s="86">
        <f t="shared" si="8"/>
        <v>0</v>
      </c>
      <c r="W62" s="86">
        <f t="shared" si="8"/>
        <v>0</v>
      </c>
      <c r="X62" s="86">
        <f t="shared" si="8"/>
        <v>21.1</v>
      </c>
      <c r="Y62" s="86">
        <v>50.1</v>
      </c>
      <c r="Z62" s="86">
        <f t="shared" si="8"/>
        <v>50.1</v>
      </c>
      <c r="AA62" s="86">
        <f t="shared" si="8"/>
        <v>22.3</v>
      </c>
      <c r="AB62" s="86">
        <f t="shared" si="8"/>
        <v>0</v>
      </c>
      <c r="AC62" s="86">
        <f t="shared" si="8"/>
        <v>0</v>
      </c>
      <c r="AD62" s="86">
        <f t="shared" si="8"/>
        <v>0</v>
      </c>
      <c r="AE62" s="86">
        <f t="shared" si="8"/>
        <v>0</v>
      </c>
      <c r="AF62" s="86">
        <f t="shared" si="8"/>
        <v>0</v>
      </c>
      <c r="AG62" s="101">
        <f t="shared" si="8"/>
        <v>106</v>
      </c>
      <c r="AH62" s="20">
        <f t="shared" si="2"/>
        <v>50.1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/>
      <c r="E63" s="105"/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11</v>
      </c>
      <c r="M63" s="105">
        <v>11.7</v>
      </c>
      <c r="N63" s="105">
        <v>11.7</v>
      </c>
      <c r="O63" s="105"/>
      <c r="P63" s="105">
        <v>17.399999999999999</v>
      </c>
      <c r="Q63" s="105">
        <v>62.3</v>
      </c>
      <c r="R63" s="105">
        <v>45</v>
      </c>
      <c r="S63" s="105">
        <v>49.5</v>
      </c>
      <c r="T63" s="105">
        <v>46.6</v>
      </c>
      <c r="U63" s="105">
        <v>69</v>
      </c>
      <c r="V63" s="105">
        <v>22.3</v>
      </c>
      <c r="W63" s="105">
        <v>21.4</v>
      </c>
      <c r="X63" s="105">
        <v>52.1</v>
      </c>
      <c r="Y63" s="105">
        <v>54</v>
      </c>
      <c r="Z63" s="105">
        <v>61</v>
      </c>
      <c r="AA63" s="105">
        <v>71</v>
      </c>
      <c r="AB63" s="105">
        <v>40</v>
      </c>
      <c r="AC63" s="105">
        <v>43.1</v>
      </c>
      <c r="AD63" s="105">
        <v>18.600000000000001</v>
      </c>
      <c r="AE63" s="105">
        <v>1.7</v>
      </c>
      <c r="AF63" s="105">
        <v>5.7</v>
      </c>
      <c r="AG63" s="96"/>
      <c r="AH63" s="20">
        <f t="shared" si="2"/>
        <v>71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/>
      <c r="E64" s="80"/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/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-406</v>
      </c>
      <c r="C65" s="80">
        <v>-414</v>
      </c>
      <c r="D65" s="80">
        <v>-414</v>
      </c>
      <c r="E65" s="80">
        <v>-440</v>
      </c>
      <c r="F65" s="80">
        <v>-395</v>
      </c>
      <c r="G65" s="80">
        <v>-378</v>
      </c>
      <c r="H65" s="80">
        <v>-373</v>
      </c>
      <c r="I65" s="80">
        <v>-403</v>
      </c>
      <c r="J65" s="80">
        <v>-380</v>
      </c>
      <c r="K65" s="80">
        <v>-384</v>
      </c>
      <c r="L65" s="80">
        <v>-367</v>
      </c>
      <c r="M65" s="80">
        <v>-395.8</v>
      </c>
      <c r="N65" s="80">
        <v>-343</v>
      </c>
      <c r="O65" s="80"/>
      <c r="P65" s="80">
        <v>-318</v>
      </c>
      <c r="Q65" s="80">
        <v>-313.5</v>
      </c>
      <c r="R65" s="80">
        <v>-305</v>
      </c>
      <c r="S65" s="80">
        <v>-266</v>
      </c>
      <c r="T65" s="80">
        <v>-282</v>
      </c>
      <c r="U65" s="80">
        <v>-371</v>
      </c>
      <c r="V65" s="80">
        <v>-354</v>
      </c>
      <c r="W65" s="80">
        <v>-370</v>
      </c>
      <c r="X65" s="80">
        <v>-321</v>
      </c>
      <c r="Y65" s="80">
        <v>-215</v>
      </c>
      <c r="Z65" s="80">
        <v>-283</v>
      </c>
      <c r="AA65" s="80">
        <v>-294</v>
      </c>
      <c r="AB65" s="80">
        <v>-242</v>
      </c>
      <c r="AC65" s="80">
        <v>-268</v>
      </c>
      <c r="AD65" s="80">
        <v>-312.39999999999998</v>
      </c>
      <c r="AE65" s="80">
        <v>-405.3</v>
      </c>
      <c r="AF65" s="80">
        <v>-407.4</v>
      </c>
      <c r="AG65" s="102"/>
      <c r="AH65" s="20">
        <f t="shared" si="2"/>
        <v>-215</v>
      </c>
      <c r="AI65" s="19">
        <f t="shared" si="3"/>
        <v>-440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/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/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/>
      <c r="P68" s="103">
        <v>0</v>
      </c>
      <c r="Q68" s="103">
        <v>0</v>
      </c>
      <c r="R68" s="103">
        <v>0</v>
      </c>
      <c r="S68" s="103">
        <v>0</v>
      </c>
      <c r="T68" s="103">
        <v>5</v>
      </c>
      <c r="U68" s="103">
        <v>5</v>
      </c>
      <c r="V68" s="103">
        <v>0</v>
      </c>
      <c r="W68" s="103">
        <v>0</v>
      </c>
      <c r="X68" s="103">
        <v>0</v>
      </c>
      <c r="Y68" s="103">
        <v>0</v>
      </c>
      <c r="Z68" s="103">
        <v>5</v>
      </c>
      <c r="AA68" s="103">
        <v>5</v>
      </c>
      <c r="AB68" s="103">
        <v>5</v>
      </c>
      <c r="AC68" s="103">
        <v>5</v>
      </c>
      <c r="AD68" s="103">
        <v>5</v>
      </c>
      <c r="AE68" s="103">
        <v>5</v>
      </c>
      <c r="AF68" s="103">
        <v>5</v>
      </c>
      <c r="AG68" s="102"/>
      <c r="AH68" s="20">
        <f t="shared" si="2"/>
        <v>5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/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/>
      <c r="P70" s="93">
        <v>0</v>
      </c>
      <c r="Q70" s="93">
        <v>0</v>
      </c>
      <c r="R70" s="93">
        <v>0</v>
      </c>
      <c r="S70" s="93">
        <v>5</v>
      </c>
      <c r="T70" s="93">
        <v>5</v>
      </c>
      <c r="U70" s="93">
        <v>5</v>
      </c>
      <c r="V70" s="93">
        <v>5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5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/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/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/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9">SUMIF(B63:B73,"&gt;0")</f>
        <v>0</v>
      </c>
      <c r="C74" s="86">
        <f t="shared" si="9"/>
        <v>0</v>
      </c>
      <c r="D74" s="86">
        <f t="shared" si="9"/>
        <v>0</v>
      </c>
      <c r="E74" s="86">
        <f t="shared" si="9"/>
        <v>0</v>
      </c>
      <c r="F74" s="86">
        <f t="shared" si="9"/>
        <v>0</v>
      </c>
      <c r="G74" s="86">
        <f t="shared" si="9"/>
        <v>0</v>
      </c>
      <c r="H74" s="86">
        <f t="shared" si="9"/>
        <v>0</v>
      </c>
      <c r="I74" s="86">
        <f t="shared" si="9"/>
        <v>0</v>
      </c>
      <c r="J74" s="86">
        <f t="shared" si="9"/>
        <v>0</v>
      </c>
      <c r="K74" s="86">
        <f t="shared" si="9"/>
        <v>0</v>
      </c>
      <c r="L74" s="86">
        <f t="shared" si="9"/>
        <v>11</v>
      </c>
      <c r="M74" s="86">
        <f t="shared" si="9"/>
        <v>11.7</v>
      </c>
      <c r="N74" s="86">
        <f t="shared" si="9"/>
        <v>11.7</v>
      </c>
      <c r="O74" s="86">
        <f t="shared" si="9"/>
        <v>0</v>
      </c>
      <c r="P74" s="86">
        <f t="shared" si="9"/>
        <v>17.399999999999999</v>
      </c>
      <c r="Q74" s="86">
        <f t="shared" si="9"/>
        <v>62.3</v>
      </c>
      <c r="R74" s="86">
        <f t="shared" si="9"/>
        <v>45</v>
      </c>
      <c r="S74" s="86">
        <f t="shared" si="9"/>
        <v>54.5</v>
      </c>
      <c r="T74" s="86">
        <f t="shared" si="9"/>
        <v>56.6</v>
      </c>
      <c r="U74" s="86">
        <f t="shared" si="9"/>
        <v>79</v>
      </c>
      <c r="V74" s="86">
        <f t="shared" si="9"/>
        <v>27.3</v>
      </c>
      <c r="W74" s="86">
        <f t="shared" si="9"/>
        <v>21.4</v>
      </c>
      <c r="X74" s="86">
        <f t="shared" si="9"/>
        <v>52.1</v>
      </c>
      <c r="Y74" s="86">
        <f t="shared" si="9"/>
        <v>54</v>
      </c>
      <c r="Z74" s="86">
        <f t="shared" si="9"/>
        <v>66</v>
      </c>
      <c r="AA74" s="86">
        <f t="shared" si="9"/>
        <v>76</v>
      </c>
      <c r="AB74" s="86">
        <f t="shared" si="9"/>
        <v>45</v>
      </c>
      <c r="AC74" s="86">
        <f t="shared" si="9"/>
        <v>48.1</v>
      </c>
      <c r="AD74" s="86">
        <f t="shared" si="9"/>
        <v>23.6</v>
      </c>
      <c r="AE74" s="86">
        <f t="shared" si="9"/>
        <v>6.7</v>
      </c>
      <c r="AF74" s="86">
        <f t="shared" si="9"/>
        <v>10.7</v>
      </c>
      <c r="AG74" s="85">
        <f>SUM(AG63:AG73)</f>
        <v>0</v>
      </c>
      <c r="AH74" s="20">
        <f t="shared" si="2"/>
        <v>79</v>
      </c>
      <c r="AI74" s="19">
        <f t="shared" si="3"/>
        <v>0</v>
      </c>
      <c r="AK74" s="41"/>
    </row>
    <row r="75" spans="1:37" x14ac:dyDescent="0.25">
      <c r="A75" s="97" t="s">
        <v>164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>
        <v>0</v>
      </c>
      <c r="AC75" s="93">
        <v>0</v>
      </c>
      <c r="AD75" s="93">
        <v>0</v>
      </c>
      <c r="AE75" s="93">
        <v>0</v>
      </c>
      <c r="AF75" s="93">
        <v>0</v>
      </c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>
        <v>0</v>
      </c>
      <c r="AC76" s="103">
        <v>0</v>
      </c>
      <c r="AD76" s="103">
        <v>0</v>
      </c>
      <c r="AE76" s="103">
        <v>0</v>
      </c>
      <c r="AF76" s="103">
        <v>0</v>
      </c>
      <c r="AG76" s="102">
        <v>14.4</v>
      </c>
      <c r="AH76" s="20">
        <f t="shared" si="2"/>
        <v>0</v>
      </c>
      <c r="AI76" s="19">
        <f t="shared" si="3"/>
        <v>0</v>
      </c>
      <c r="AK76" s="41"/>
    </row>
    <row r="77" spans="1:37" ht="15.75" thickBot="1" x14ac:dyDescent="0.3">
      <c r="A77" s="91" t="s">
        <v>162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>
        <v>0</v>
      </c>
      <c r="AC77" s="90">
        <v>0</v>
      </c>
      <c r="AD77" s="90">
        <v>0</v>
      </c>
      <c r="AE77" s="90">
        <v>0</v>
      </c>
      <c r="AF77" s="90">
        <v>0</v>
      </c>
      <c r="AG77" s="89">
        <v>2</v>
      </c>
      <c r="AH77" s="20">
        <f t="shared" ref="AH77:AH109" si="10">MAX(B77:AF77)</f>
        <v>0</v>
      </c>
      <c r="AI77" s="19">
        <f t="shared" ref="AI77:AI109" si="11">MIN(B77:AF77)</f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10"/>
        <v>0</v>
      </c>
      <c r="AI78" s="19">
        <f t="shared" si="11"/>
        <v>0</v>
      </c>
    </row>
    <row r="79" spans="1:37" ht="15.75" thickBot="1" x14ac:dyDescent="0.3">
      <c r="A79" s="87" t="s">
        <v>160</v>
      </c>
      <c r="B79" s="98">
        <f t="shared" ref="B79:AG79" si="12">B40+B44+B62+B58+B74+B78</f>
        <v>1751.3400000000001</v>
      </c>
      <c r="C79" s="98">
        <f t="shared" si="12"/>
        <v>1751.3400000000001</v>
      </c>
      <c r="D79" s="98">
        <f t="shared" si="12"/>
        <v>1006.9399999999999</v>
      </c>
      <c r="E79" s="98">
        <f t="shared" si="12"/>
        <v>1006.9399999999999</v>
      </c>
      <c r="F79" s="98">
        <f t="shared" si="12"/>
        <v>1586.1399999999999</v>
      </c>
      <c r="G79" s="98">
        <f t="shared" si="12"/>
        <v>1600.1399999999999</v>
      </c>
      <c r="H79" s="98">
        <f t="shared" si="12"/>
        <v>1612.1399999999999</v>
      </c>
      <c r="I79" s="98">
        <f t="shared" si="12"/>
        <v>1624.74</v>
      </c>
      <c r="J79" s="98">
        <f t="shared" si="12"/>
        <v>1639.74</v>
      </c>
      <c r="K79" s="98">
        <f t="shared" si="12"/>
        <v>1690.74</v>
      </c>
      <c r="L79" s="98">
        <f t="shared" si="12"/>
        <v>1704.74</v>
      </c>
      <c r="M79" s="98">
        <f t="shared" si="12"/>
        <v>1715.8400000000001</v>
      </c>
      <c r="N79" s="98">
        <f t="shared" si="12"/>
        <v>1695.5400000000002</v>
      </c>
      <c r="O79" s="98">
        <f t="shared" si="12"/>
        <v>3.54</v>
      </c>
      <c r="P79" s="98">
        <f t="shared" si="12"/>
        <v>1726.04</v>
      </c>
      <c r="Q79" s="98">
        <f t="shared" si="12"/>
        <v>1770.9399999999998</v>
      </c>
      <c r="R79" s="98">
        <f t="shared" si="12"/>
        <v>1770.74</v>
      </c>
      <c r="S79" s="98">
        <f t="shared" si="12"/>
        <v>1783.44</v>
      </c>
      <c r="T79" s="98">
        <f t="shared" si="12"/>
        <v>1812.34</v>
      </c>
      <c r="U79" s="98">
        <f t="shared" si="12"/>
        <v>1859.94</v>
      </c>
      <c r="V79" s="98">
        <f t="shared" si="12"/>
        <v>1826.84</v>
      </c>
      <c r="W79" s="98">
        <f t="shared" si="12"/>
        <v>1835.8400000000001</v>
      </c>
      <c r="X79" s="98">
        <f t="shared" si="12"/>
        <v>1887.6399999999999</v>
      </c>
      <c r="Y79" s="98">
        <f t="shared" si="12"/>
        <v>1897.1399999999999</v>
      </c>
      <c r="Z79" s="98">
        <f t="shared" si="12"/>
        <v>1926.04</v>
      </c>
      <c r="AA79" s="98">
        <f t="shared" si="12"/>
        <v>1908.24</v>
      </c>
      <c r="AB79" s="98">
        <f t="shared" si="12"/>
        <v>1860.54</v>
      </c>
      <c r="AC79" s="98">
        <f t="shared" si="12"/>
        <v>1843.44</v>
      </c>
      <c r="AD79" s="98">
        <f t="shared" si="12"/>
        <v>1812.6399999999999</v>
      </c>
      <c r="AE79" s="98">
        <f t="shared" si="12"/>
        <v>1779.64</v>
      </c>
      <c r="AF79" s="98">
        <f t="shared" si="12"/>
        <v>1776.84</v>
      </c>
      <c r="AG79" s="101">
        <f t="shared" si="12"/>
        <v>1897.1900000000003</v>
      </c>
      <c r="AH79" s="20">
        <f t="shared" si="10"/>
        <v>1926.04</v>
      </c>
      <c r="AI79" s="19">
        <f t="shared" si="11"/>
        <v>3.54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10"/>
        <v>0</v>
      </c>
      <c r="AI80" s="19">
        <f t="shared" si="11"/>
        <v>0</v>
      </c>
    </row>
    <row r="81" spans="1:37" ht="15.75" thickBot="1" x14ac:dyDescent="0.3">
      <c r="A81" s="87" t="s">
        <v>158</v>
      </c>
      <c r="B81" s="98">
        <f t="shared" ref="B81:AF81" si="13">B79+B80</f>
        <v>1751.3400000000001</v>
      </c>
      <c r="C81" s="98">
        <f t="shared" si="13"/>
        <v>1751.3400000000001</v>
      </c>
      <c r="D81" s="98">
        <f t="shared" si="13"/>
        <v>1006.9399999999999</v>
      </c>
      <c r="E81" s="98">
        <f t="shared" si="13"/>
        <v>1006.9399999999999</v>
      </c>
      <c r="F81" s="98">
        <f t="shared" si="13"/>
        <v>1586.1399999999999</v>
      </c>
      <c r="G81" s="98">
        <f t="shared" si="13"/>
        <v>1600.1399999999999</v>
      </c>
      <c r="H81" s="98">
        <f t="shared" si="13"/>
        <v>1612.1399999999999</v>
      </c>
      <c r="I81" s="98">
        <f t="shared" si="13"/>
        <v>1624.74</v>
      </c>
      <c r="J81" s="98">
        <f t="shared" si="13"/>
        <v>1639.74</v>
      </c>
      <c r="K81" s="98">
        <f t="shared" si="13"/>
        <v>1690.74</v>
      </c>
      <c r="L81" s="98">
        <f t="shared" si="13"/>
        <v>1704.74</v>
      </c>
      <c r="M81" s="98">
        <f t="shared" si="13"/>
        <v>1715.8400000000001</v>
      </c>
      <c r="N81" s="98">
        <f t="shared" si="13"/>
        <v>1695.5400000000002</v>
      </c>
      <c r="O81" s="98">
        <f t="shared" si="13"/>
        <v>3.54</v>
      </c>
      <c r="P81" s="98">
        <f t="shared" si="13"/>
        <v>1726.04</v>
      </c>
      <c r="Q81" s="98">
        <f t="shared" si="13"/>
        <v>1770.9399999999998</v>
      </c>
      <c r="R81" s="98">
        <f t="shared" si="13"/>
        <v>1770.74</v>
      </c>
      <c r="S81" s="98">
        <f t="shared" si="13"/>
        <v>1783.44</v>
      </c>
      <c r="T81" s="98">
        <f t="shared" si="13"/>
        <v>1812.34</v>
      </c>
      <c r="U81" s="98">
        <f t="shared" si="13"/>
        <v>1859.94</v>
      </c>
      <c r="V81" s="98">
        <f t="shared" si="13"/>
        <v>1826.84</v>
      </c>
      <c r="W81" s="98">
        <f t="shared" si="13"/>
        <v>1835.8400000000001</v>
      </c>
      <c r="X81" s="98">
        <f t="shared" si="13"/>
        <v>1887.6399999999999</v>
      </c>
      <c r="Y81" s="98">
        <f t="shared" si="13"/>
        <v>1897.1399999999999</v>
      </c>
      <c r="Z81" s="98">
        <f t="shared" si="13"/>
        <v>1926.04</v>
      </c>
      <c r="AA81" s="98">
        <f t="shared" si="13"/>
        <v>1908.24</v>
      </c>
      <c r="AB81" s="98">
        <f t="shared" si="13"/>
        <v>1860.54</v>
      </c>
      <c r="AC81" s="98">
        <f t="shared" si="13"/>
        <v>1843.44</v>
      </c>
      <c r="AD81" s="98">
        <f t="shared" si="13"/>
        <v>1812.6399999999999</v>
      </c>
      <c r="AE81" s="98">
        <f t="shared" si="13"/>
        <v>1779.64</v>
      </c>
      <c r="AF81" s="98">
        <f t="shared" si="13"/>
        <v>1776.84</v>
      </c>
      <c r="AG81" s="85">
        <f>AG78+AG74+AG62+AG58+AG40+AG80</f>
        <v>1359.0900000000001</v>
      </c>
      <c r="AH81" s="20">
        <f t="shared" si="10"/>
        <v>1926.04</v>
      </c>
      <c r="AI81" s="19">
        <f t="shared" si="11"/>
        <v>3.54</v>
      </c>
    </row>
    <row r="82" spans="1:37" ht="15.75" thickBot="1" x14ac:dyDescent="0.3">
      <c r="A82" s="87" t="s">
        <v>157</v>
      </c>
      <c r="B82" s="98">
        <f t="shared" ref="B82:AF82" si="14">B81-B89</f>
        <v>1345.3400000000001</v>
      </c>
      <c r="C82" s="98">
        <f t="shared" si="14"/>
        <v>1337.3400000000001</v>
      </c>
      <c r="D82" s="98">
        <f t="shared" si="14"/>
        <v>592.93999999999994</v>
      </c>
      <c r="E82" s="98">
        <f t="shared" si="14"/>
        <v>566.93999999999994</v>
      </c>
      <c r="F82" s="98">
        <f t="shared" si="14"/>
        <v>1191.1399999999999</v>
      </c>
      <c r="G82" s="98">
        <f t="shared" si="14"/>
        <v>1222.1399999999999</v>
      </c>
      <c r="H82" s="98">
        <f t="shared" si="14"/>
        <v>1239.1399999999999</v>
      </c>
      <c r="I82" s="98">
        <f t="shared" si="14"/>
        <v>1221.74</v>
      </c>
      <c r="J82" s="98">
        <f t="shared" si="14"/>
        <v>1259.74</v>
      </c>
      <c r="K82" s="98">
        <f t="shared" si="14"/>
        <v>1306.74</v>
      </c>
      <c r="L82" s="98">
        <f t="shared" si="14"/>
        <v>1337.74</v>
      </c>
      <c r="M82" s="98">
        <f t="shared" si="14"/>
        <v>1320.0400000000002</v>
      </c>
      <c r="N82" s="98">
        <f t="shared" si="14"/>
        <v>1352.5400000000002</v>
      </c>
      <c r="O82" s="98">
        <f t="shared" si="14"/>
        <v>3.54</v>
      </c>
      <c r="P82" s="98">
        <f t="shared" si="14"/>
        <v>1408.04</v>
      </c>
      <c r="Q82" s="98">
        <f t="shared" si="14"/>
        <v>1457.4399999999998</v>
      </c>
      <c r="R82" s="98">
        <f t="shared" si="14"/>
        <v>1465.74</v>
      </c>
      <c r="S82" s="98">
        <f t="shared" si="14"/>
        <v>1517.44</v>
      </c>
      <c r="T82" s="98">
        <f t="shared" si="14"/>
        <v>1530.34</v>
      </c>
      <c r="U82" s="98">
        <f t="shared" si="14"/>
        <v>1488.94</v>
      </c>
      <c r="V82" s="98">
        <f t="shared" si="14"/>
        <v>1472.84</v>
      </c>
      <c r="W82" s="98">
        <f t="shared" si="14"/>
        <v>1465.8400000000001</v>
      </c>
      <c r="X82" s="98">
        <f t="shared" si="14"/>
        <v>1566.6399999999999</v>
      </c>
      <c r="Y82" s="98">
        <f t="shared" si="14"/>
        <v>1682.1399999999999</v>
      </c>
      <c r="Z82" s="98">
        <f t="shared" si="14"/>
        <v>1643.04</v>
      </c>
      <c r="AA82" s="98">
        <f t="shared" si="14"/>
        <v>1614.24</v>
      </c>
      <c r="AB82" s="98">
        <f t="shared" si="14"/>
        <v>1618.54</v>
      </c>
      <c r="AC82" s="98">
        <f t="shared" si="14"/>
        <v>1575.44</v>
      </c>
      <c r="AD82" s="98">
        <f t="shared" si="14"/>
        <v>1500.2399999999998</v>
      </c>
      <c r="AE82" s="98">
        <f t="shared" si="14"/>
        <v>1374.3400000000001</v>
      </c>
      <c r="AF82" s="98">
        <f t="shared" si="14"/>
        <v>1369.44</v>
      </c>
      <c r="AG82" s="85"/>
      <c r="AH82" s="20">
        <f t="shared" si="10"/>
        <v>1682.1399999999999</v>
      </c>
      <c r="AI82" s="19">
        <f t="shared" si="11"/>
        <v>3.54</v>
      </c>
    </row>
    <row r="83" spans="1:37" x14ac:dyDescent="0.25">
      <c r="A83" s="97" t="s">
        <v>156</v>
      </c>
      <c r="B83" s="93">
        <f t="shared" ref="B83:AF83" si="15">IF(B66&lt;0,B66*-1,0)</f>
        <v>0</v>
      </c>
      <c r="C83" s="93">
        <f t="shared" si="15"/>
        <v>0</v>
      </c>
      <c r="D83" s="93">
        <f t="shared" si="15"/>
        <v>0</v>
      </c>
      <c r="E83" s="93">
        <f t="shared" si="15"/>
        <v>0</v>
      </c>
      <c r="F83" s="93">
        <f t="shared" si="15"/>
        <v>0</v>
      </c>
      <c r="G83" s="93">
        <f t="shared" si="15"/>
        <v>0</v>
      </c>
      <c r="H83" s="93">
        <f t="shared" si="15"/>
        <v>0</v>
      </c>
      <c r="I83" s="93">
        <f t="shared" si="15"/>
        <v>0</v>
      </c>
      <c r="J83" s="93">
        <f t="shared" si="15"/>
        <v>0</v>
      </c>
      <c r="K83" s="93">
        <f t="shared" si="15"/>
        <v>0</v>
      </c>
      <c r="L83" s="93">
        <f t="shared" si="15"/>
        <v>0</v>
      </c>
      <c r="M83" s="93">
        <f t="shared" si="15"/>
        <v>0</v>
      </c>
      <c r="N83" s="93">
        <f t="shared" si="15"/>
        <v>0</v>
      </c>
      <c r="O83" s="93">
        <f t="shared" si="15"/>
        <v>0</v>
      </c>
      <c r="P83" s="93">
        <f t="shared" si="15"/>
        <v>0</v>
      </c>
      <c r="Q83" s="93">
        <f t="shared" si="15"/>
        <v>0</v>
      </c>
      <c r="R83" s="93">
        <f t="shared" si="15"/>
        <v>0</v>
      </c>
      <c r="S83" s="93">
        <f t="shared" si="15"/>
        <v>0</v>
      </c>
      <c r="T83" s="93">
        <f t="shared" si="15"/>
        <v>0</v>
      </c>
      <c r="U83" s="93">
        <f t="shared" si="15"/>
        <v>0</v>
      </c>
      <c r="V83" s="93">
        <f t="shared" si="15"/>
        <v>0</v>
      </c>
      <c r="W83" s="93">
        <f t="shared" si="15"/>
        <v>0</v>
      </c>
      <c r="X83" s="93">
        <f t="shared" si="15"/>
        <v>0</v>
      </c>
      <c r="Y83" s="93">
        <f t="shared" si="15"/>
        <v>0</v>
      </c>
      <c r="Z83" s="93">
        <f t="shared" si="15"/>
        <v>0</v>
      </c>
      <c r="AA83" s="93">
        <f t="shared" si="15"/>
        <v>0</v>
      </c>
      <c r="AB83" s="93">
        <f t="shared" si="15"/>
        <v>0</v>
      </c>
      <c r="AC83" s="93">
        <f t="shared" si="15"/>
        <v>0</v>
      </c>
      <c r="AD83" s="93">
        <f t="shared" si="15"/>
        <v>0</v>
      </c>
      <c r="AE83" s="93">
        <f t="shared" si="15"/>
        <v>0</v>
      </c>
      <c r="AF83" s="93">
        <f t="shared" si="15"/>
        <v>0</v>
      </c>
      <c r="AG83" s="96"/>
      <c r="AH83" s="20">
        <f t="shared" si="10"/>
        <v>0</v>
      </c>
      <c r="AI83" s="19">
        <f t="shared" si="11"/>
        <v>0</v>
      </c>
    </row>
    <row r="84" spans="1:37" x14ac:dyDescent="0.25">
      <c r="A84" s="95" t="s">
        <v>155</v>
      </c>
      <c r="B84" s="93">
        <f t="shared" ref="B84:AF84" si="16">IF(B64&lt;0,B64*-1,0)</f>
        <v>0</v>
      </c>
      <c r="C84" s="93">
        <f t="shared" si="16"/>
        <v>0</v>
      </c>
      <c r="D84" s="93">
        <f t="shared" si="16"/>
        <v>0</v>
      </c>
      <c r="E84" s="93">
        <f t="shared" si="16"/>
        <v>0</v>
      </c>
      <c r="F84" s="93">
        <f t="shared" si="16"/>
        <v>0</v>
      </c>
      <c r="G84" s="93">
        <f t="shared" si="16"/>
        <v>0</v>
      </c>
      <c r="H84" s="93">
        <f t="shared" si="16"/>
        <v>0</v>
      </c>
      <c r="I84" s="93">
        <f t="shared" si="16"/>
        <v>0</v>
      </c>
      <c r="J84" s="93">
        <f t="shared" si="16"/>
        <v>0</v>
      </c>
      <c r="K84" s="93">
        <f t="shared" si="16"/>
        <v>0</v>
      </c>
      <c r="L84" s="93">
        <f t="shared" si="16"/>
        <v>0</v>
      </c>
      <c r="M84" s="93">
        <f t="shared" si="16"/>
        <v>0</v>
      </c>
      <c r="N84" s="93">
        <f t="shared" si="16"/>
        <v>0</v>
      </c>
      <c r="O84" s="93">
        <f t="shared" si="16"/>
        <v>0</v>
      </c>
      <c r="P84" s="93">
        <f t="shared" si="16"/>
        <v>0</v>
      </c>
      <c r="Q84" s="93">
        <f t="shared" si="16"/>
        <v>0</v>
      </c>
      <c r="R84" s="93">
        <f t="shared" si="16"/>
        <v>0</v>
      </c>
      <c r="S84" s="93">
        <f t="shared" si="16"/>
        <v>0</v>
      </c>
      <c r="T84" s="93">
        <f t="shared" si="16"/>
        <v>0</v>
      </c>
      <c r="U84" s="93">
        <f t="shared" si="16"/>
        <v>0</v>
      </c>
      <c r="V84" s="93">
        <f t="shared" si="16"/>
        <v>0</v>
      </c>
      <c r="W84" s="93">
        <f t="shared" si="16"/>
        <v>0</v>
      </c>
      <c r="X84" s="93">
        <f t="shared" si="16"/>
        <v>0</v>
      </c>
      <c r="Y84" s="93">
        <f t="shared" si="16"/>
        <v>0</v>
      </c>
      <c r="Z84" s="93">
        <f t="shared" si="16"/>
        <v>0</v>
      </c>
      <c r="AA84" s="93">
        <f t="shared" si="16"/>
        <v>0</v>
      </c>
      <c r="AB84" s="93">
        <f t="shared" si="16"/>
        <v>0</v>
      </c>
      <c r="AC84" s="93">
        <f t="shared" si="16"/>
        <v>0</v>
      </c>
      <c r="AD84" s="93">
        <f t="shared" si="16"/>
        <v>0</v>
      </c>
      <c r="AE84" s="93">
        <f t="shared" si="16"/>
        <v>0</v>
      </c>
      <c r="AF84" s="93">
        <f t="shared" si="16"/>
        <v>0</v>
      </c>
      <c r="AG84" s="94"/>
      <c r="AH84" s="20">
        <f t="shared" si="10"/>
        <v>0</v>
      </c>
      <c r="AI84" s="19">
        <f t="shared" si="11"/>
        <v>0</v>
      </c>
    </row>
    <row r="85" spans="1:37" x14ac:dyDescent="0.25">
      <c r="A85" s="91" t="s">
        <v>154</v>
      </c>
      <c r="B85" s="93">
        <f t="shared" ref="B85:AF85" si="17">IF(B67&lt;0,B67*-1,0)</f>
        <v>0</v>
      </c>
      <c r="C85" s="93">
        <f t="shared" si="17"/>
        <v>0</v>
      </c>
      <c r="D85" s="93">
        <f t="shared" si="17"/>
        <v>0</v>
      </c>
      <c r="E85" s="93">
        <f t="shared" si="17"/>
        <v>0</v>
      </c>
      <c r="F85" s="93">
        <f t="shared" si="17"/>
        <v>0</v>
      </c>
      <c r="G85" s="93">
        <f t="shared" si="17"/>
        <v>0</v>
      </c>
      <c r="H85" s="93">
        <f t="shared" si="17"/>
        <v>0</v>
      </c>
      <c r="I85" s="93">
        <f t="shared" si="17"/>
        <v>0</v>
      </c>
      <c r="J85" s="93">
        <f t="shared" si="17"/>
        <v>0</v>
      </c>
      <c r="K85" s="93">
        <f t="shared" si="17"/>
        <v>0</v>
      </c>
      <c r="L85" s="93">
        <f t="shared" si="17"/>
        <v>0</v>
      </c>
      <c r="M85" s="93">
        <f t="shared" si="17"/>
        <v>0</v>
      </c>
      <c r="N85" s="93">
        <f t="shared" si="17"/>
        <v>0</v>
      </c>
      <c r="O85" s="93">
        <f t="shared" si="17"/>
        <v>0</v>
      </c>
      <c r="P85" s="93">
        <f t="shared" si="17"/>
        <v>0</v>
      </c>
      <c r="Q85" s="93">
        <f t="shared" si="17"/>
        <v>0</v>
      </c>
      <c r="R85" s="93">
        <f t="shared" si="17"/>
        <v>0</v>
      </c>
      <c r="S85" s="93">
        <f t="shared" si="17"/>
        <v>0</v>
      </c>
      <c r="T85" s="93">
        <f t="shared" si="17"/>
        <v>0</v>
      </c>
      <c r="U85" s="93">
        <f t="shared" si="17"/>
        <v>0</v>
      </c>
      <c r="V85" s="93">
        <f t="shared" si="17"/>
        <v>0</v>
      </c>
      <c r="W85" s="93">
        <f t="shared" si="17"/>
        <v>0</v>
      </c>
      <c r="X85" s="93">
        <f t="shared" si="17"/>
        <v>0</v>
      </c>
      <c r="Y85" s="93">
        <f t="shared" si="17"/>
        <v>0</v>
      </c>
      <c r="Z85" s="93">
        <f t="shared" si="17"/>
        <v>0</v>
      </c>
      <c r="AA85" s="93">
        <f t="shared" si="17"/>
        <v>0</v>
      </c>
      <c r="AB85" s="93">
        <f t="shared" si="17"/>
        <v>0</v>
      </c>
      <c r="AC85" s="93">
        <f t="shared" si="17"/>
        <v>0</v>
      </c>
      <c r="AD85" s="93">
        <f t="shared" si="17"/>
        <v>0</v>
      </c>
      <c r="AE85" s="93">
        <f t="shared" si="17"/>
        <v>0</v>
      </c>
      <c r="AF85" s="93">
        <f t="shared" si="17"/>
        <v>0</v>
      </c>
      <c r="AG85" s="92"/>
      <c r="AH85" s="20">
        <f t="shared" si="10"/>
        <v>0</v>
      </c>
      <c r="AI85" s="19">
        <f t="shared" si="11"/>
        <v>0</v>
      </c>
    </row>
    <row r="86" spans="1:37" x14ac:dyDescent="0.25">
      <c r="A86" s="91" t="s">
        <v>153</v>
      </c>
      <c r="B86" s="93">
        <f t="shared" ref="B86:AF86" si="18">IF(B65&lt;0,B65*-1,0)</f>
        <v>406</v>
      </c>
      <c r="C86" s="93">
        <f t="shared" si="18"/>
        <v>414</v>
      </c>
      <c r="D86" s="93">
        <f t="shared" si="18"/>
        <v>414</v>
      </c>
      <c r="E86" s="93">
        <f t="shared" si="18"/>
        <v>440</v>
      </c>
      <c r="F86" s="93">
        <f t="shared" si="18"/>
        <v>395</v>
      </c>
      <c r="G86" s="93">
        <f t="shared" si="18"/>
        <v>378</v>
      </c>
      <c r="H86" s="93">
        <f t="shared" si="18"/>
        <v>373</v>
      </c>
      <c r="I86" s="93">
        <f t="shared" si="18"/>
        <v>403</v>
      </c>
      <c r="J86" s="93">
        <f t="shared" si="18"/>
        <v>380</v>
      </c>
      <c r="K86" s="93">
        <f t="shared" si="18"/>
        <v>384</v>
      </c>
      <c r="L86" s="93">
        <f t="shared" si="18"/>
        <v>367</v>
      </c>
      <c r="M86" s="93">
        <f t="shared" si="18"/>
        <v>395.8</v>
      </c>
      <c r="N86" s="93">
        <f t="shared" si="18"/>
        <v>343</v>
      </c>
      <c r="O86" s="93">
        <f t="shared" si="18"/>
        <v>0</v>
      </c>
      <c r="P86" s="93">
        <f t="shared" si="18"/>
        <v>318</v>
      </c>
      <c r="Q86" s="93">
        <f t="shared" si="18"/>
        <v>313.5</v>
      </c>
      <c r="R86" s="93">
        <f t="shared" si="18"/>
        <v>305</v>
      </c>
      <c r="S86" s="93">
        <f t="shared" si="18"/>
        <v>266</v>
      </c>
      <c r="T86" s="93">
        <f t="shared" si="18"/>
        <v>282</v>
      </c>
      <c r="U86" s="93">
        <f t="shared" si="18"/>
        <v>371</v>
      </c>
      <c r="V86" s="93">
        <f t="shared" si="18"/>
        <v>354</v>
      </c>
      <c r="W86" s="93">
        <f t="shared" si="18"/>
        <v>370</v>
      </c>
      <c r="X86" s="93">
        <f t="shared" si="18"/>
        <v>321</v>
      </c>
      <c r="Y86" s="93">
        <f t="shared" si="18"/>
        <v>215</v>
      </c>
      <c r="Z86" s="93">
        <f t="shared" si="18"/>
        <v>283</v>
      </c>
      <c r="AA86" s="93">
        <f t="shared" si="18"/>
        <v>294</v>
      </c>
      <c r="AB86" s="93">
        <f t="shared" si="18"/>
        <v>242</v>
      </c>
      <c r="AC86" s="93">
        <f t="shared" si="18"/>
        <v>268</v>
      </c>
      <c r="AD86" s="93">
        <f t="shared" si="18"/>
        <v>312.39999999999998</v>
      </c>
      <c r="AE86" s="93">
        <f t="shared" si="18"/>
        <v>405.3</v>
      </c>
      <c r="AF86" s="93">
        <f t="shared" si="18"/>
        <v>407.4</v>
      </c>
      <c r="AG86" s="92"/>
      <c r="AH86" s="20">
        <f t="shared" si="10"/>
        <v>440</v>
      </c>
      <c r="AI86" s="19">
        <f t="shared" si="11"/>
        <v>0</v>
      </c>
    </row>
    <row r="87" spans="1:37" x14ac:dyDescent="0.25">
      <c r="A87" s="91" t="s">
        <v>152</v>
      </c>
      <c r="B87" s="93">
        <f t="shared" ref="B87:AF87" si="19">IF(B63&lt;0,B63*-1,0)</f>
        <v>0</v>
      </c>
      <c r="C87" s="93">
        <f t="shared" si="19"/>
        <v>0</v>
      </c>
      <c r="D87" s="93">
        <f t="shared" si="19"/>
        <v>0</v>
      </c>
      <c r="E87" s="93">
        <f t="shared" si="19"/>
        <v>0</v>
      </c>
      <c r="F87" s="93">
        <f t="shared" si="19"/>
        <v>0</v>
      </c>
      <c r="G87" s="93">
        <f t="shared" si="19"/>
        <v>0</v>
      </c>
      <c r="H87" s="93">
        <f t="shared" si="19"/>
        <v>0</v>
      </c>
      <c r="I87" s="93">
        <f t="shared" si="19"/>
        <v>0</v>
      </c>
      <c r="J87" s="93">
        <f t="shared" si="19"/>
        <v>0</v>
      </c>
      <c r="K87" s="93">
        <f t="shared" si="19"/>
        <v>0</v>
      </c>
      <c r="L87" s="93">
        <f t="shared" si="19"/>
        <v>0</v>
      </c>
      <c r="M87" s="93">
        <f t="shared" si="19"/>
        <v>0</v>
      </c>
      <c r="N87" s="93">
        <f t="shared" si="19"/>
        <v>0</v>
      </c>
      <c r="O87" s="93">
        <f t="shared" si="19"/>
        <v>0</v>
      </c>
      <c r="P87" s="93">
        <f t="shared" si="19"/>
        <v>0</v>
      </c>
      <c r="Q87" s="93">
        <f t="shared" si="19"/>
        <v>0</v>
      </c>
      <c r="R87" s="93">
        <f t="shared" si="19"/>
        <v>0</v>
      </c>
      <c r="S87" s="93">
        <f t="shared" si="19"/>
        <v>0</v>
      </c>
      <c r="T87" s="93">
        <f t="shared" si="19"/>
        <v>0</v>
      </c>
      <c r="U87" s="93">
        <f t="shared" si="19"/>
        <v>0</v>
      </c>
      <c r="V87" s="93">
        <f t="shared" si="19"/>
        <v>0</v>
      </c>
      <c r="W87" s="93">
        <f t="shared" si="19"/>
        <v>0</v>
      </c>
      <c r="X87" s="93">
        <f t="shared" si="19"/>
        <v>0</v>
      </c>
      <c r="Y87" s="93">
        <f t="shared" si="19"/>
        <v>0</v>
      </c>
      <c r="Z87" s="93">
        <f t="shared" si="19"/>
        <v>0</v>
      </c>
      <c r="AA87" s="93">
        <f t="shared" si="19"/>
        <v>0</v>
      </c>
      <c r="AB87" s="93">
        <f t="shared" si="19"/>
        <v>0</v>
      </c>
      <c r="AC87" s="93">
        <f t="shared" si="19"/>
        <v>0</v>
      </c>
      <c r="AD87" s="93">
        <f t="shared" si="19"/>
        <v>0</v>
      </c>
      <c r="AE87" s="93">
        <f t="shared" si="19"/>
        <v>0</v>
      </c>
      <c r="AF87" s="93">
        <f t="shared" si="19"/>
        <v>0</v>
      </c>
      <c r="AG87" s="92"/>
      <c r="AH87" s="20">
        <f t="shared" si="10"/>
        <v>0</v>
      </c>
      <c r="AI87" s="19">
        <f t="shared" si="11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10"/>
        <v>0</v>
      </c>
      <c r="AI88" s="19">
        <f t="shared" si="11"/>
        <v>0</v>
      </c>
    </row>
    <row r="89" spans="1:37" ht="15.75" thickBot="1" x14ac:dyDescent="0.3">
      <c r="A89" s="88" t="s">
        <v>150</v>
      </c>
      <c r="B89" s="86">
        <f t="shared" ref="B89:AF89" si="20">SUM(B83:B88)</f>
        <v>406</v>
      </c>
      <c r="C89" s="86">
        <f t="shared" si="20"/>
        <v>414</v>
      </c>
      <c r="D89" s="86">
        <f t="shared" si="20"/>
        <v>414</v>
      </c>
      <c r="E89" s="86">
        <f t="shared" si="20"/>
        <v>440</v>
      </c>
      <c r="F89" s="86">
        <f t="shared" si="20"/>
        <v>395</v>
      </c>
      <c r="G89" s="86">
        <f t="shared" si="20"/>
        <v>378</v>
      </c>
      <c r="H89" s="86">
        <f t="shared" si="20"/>
        <v>373</v>
      </c>
      <c r="I89" s="86">
        <f t="shared" si="20"/>
        <v>403</v>
      </c>
      <c r="J89" s="86">
        <f t="shared" si="20"/>
        <v>380</v>
      </c>
      <c r="K89" s="86">
        <f t="shared" si="20"/>
        <v>384</v>
      </c>
      <c r="L89" s="86">
        <f t="shared" si="20"/>
        <v>367</v>
      </c>
      <c r="M89" s="86">
        <f t="shared" si="20"/>
        <v>395.8</v>
      </c>
      <c r="N89" s="86">
        <f t="shared" si="20"/>
        <v>343</v>
      </c>
      <c r="O89" s="86">
        <f t="shared" si="20"/>
        <v>0</v>
      </c>
      <c r="P89" s="86">
        <f t="shared" si="20"/>
        <v>318</v>
      </c>
      <c r="Q89" s="86">
        <f t="shared" si="20"/>
        <v>313.5</v>
      </c>
      <c r="R89" s="86">
        <f t="shared" si="20"/>
        <v>305</v>
      </c>
      <c r="S89" s="86">
        <f t="shared" si="20"/>
        <v>266</v>
      </c>
      <c r="T89" s="86">
        <f t="shared" si="20"/>
        <v>282</v>
      </c>
      <c r="U89" s="86">
        <f t="shared" si="20"/>
        <v>371</v>
      </c>
      <c r="V89" s="86">
        <f t="shared" si="20"/>
        <v>354</v>
      </c>
      <c r="W89" s="86">
        <f t="shared" si="20"/>
        <v>370</v>
      </c>
      <c r="X89" s="86">
        <f t="shared" si="20"/>
        <v>321</v>
      </c>
      <c r="Y89" s="86">
        <f t="shared" si="20"/>
        <v>215</v>
      </c>
      <c r="Z89" s="86">
        <f t="shared" si="20"/>
        <v>283</v>
      </c>
      <c r="AA89" s="86">
        <f t="shared" si="20"/>
        <v>294</v>
      </c>
      <c r="AB89" s="86">
        <f t="shared" si="20"/>
        <v>242</v>
      </c>
      <c r="AC89" s="86">
        <f t="shared" si="20"/>
        <v>268</v>
      </c>
      <c r="AD89" s="86">
        <f t="shared" si="20"/>
        <v>312.39999999999998</v>
      </c>
      <c r="AE89" s="86">
        <f t="shared" si="20"/>
        <v>405.3</v>
      </c>
      <c r="AF89" s="86">
        <f t="shared" si="20"/>
        <v>407.4</v>
      </c>
      <c r="AG89" s="85"/>
      <c r="AH89" s="20">
        <f t="shared" si="10"/>
        <v>440</v>
      </c>
      <c r="AI89" s="19">
        <f t="shared" si="11"/>
        <v>0</v>
      </c>
      <c r="AK89" s="41"/>
    </row>
    <row r="90" spans="1:37" ht="15.75" thickBot="1" x14ac:dyDescent="0.3">
      <c r="A90" s="87" t="s">
        <v>149</v>
      </c>
      <c r="B90" s="86">
        <f t="shared" ref="B90:AF90" si="21">B74-B89</f>
        <v>-406</v>
      </c>
      <c r="C90" s="86">
        <f t="shared" si="21"/>
        <v>-414</v>
      </c>
      <c r="D90" s="86">
        <f t="shared" si="21"/>
        <v>-414</v>
      </c>
      <c r="E90" s="86">
        <f t="shared" si="21"/>
        <v>-440</v>
      </c>
      <c r="F90" s="86">
        <f t="shared" si="21"/>
        <v>-395</v>
      </c>
      <c r="G90" s="86">
        <f t="shared" si="21"/>
        <v>-378</v>
      </c>
      <c r="H90" s="86">
        <f t="shared" si="21"/>
        <v>-373</v>
      </c>
      <c r="I90" s="86">
        <f t="shared" si="21"/>
        <v>-403</v>
      </c>
      <c r="J90" s="86">
        <f t="shared" si="21"/>
        <v>-380</v>
      </c>
      <c r="K90" s="86">
        <f t="shared" si="21"/>
        <v>-384</v>
      </c>
      <c r="L90" s="86">
        <f t="shared" si="21"/>
        <v>-356</v>
      </c>
      <c r="M90" s="86">
        <f t="shared" si="21"/>
        <v>-384.1</v>
      </c>
      <c r="N90" s="86">
        <f t="shared" si="21"/>
        <v>-331.3</v>
      </c>
      <c r="O90" s="86">
        <f t="shared" si="21"/>
        <v>0</v>
      </c>
      <c r="P90" s="86">
        <f t="shared" si="21"/>
        <v>-300.60000000000002</v>
      </c>
      <c r="Q90" s="86">
        <f t="shared" si="21"/>
        <v>-251.2</v>
      </c>
      <c r="R90" s="86">
        <f t="shared" si="21"/>
        <v>-260</v>
      </c>
      <c r="S90" s="86">
        <f t="shared" si="21"/>
        <v>-211.5</v>
      </c>
      <c r="T90" s="86">
        <f t="shared" si="21"/>
        <v>-225.4</v>
      </c>
      <c r="U90" s="86">
        <f t="shared" si="21"/>
        <v>-292</v>
      </c>
      <c r="V90" s="86">
        <f t="shared" si="21"/>
        <v>-326.7</v>
      </c>
      <c r="W90" s="86">
        <f t="shared" si="21"/>
        <v>-348.6</v>
      </c>
      <c r="X90" s="86">
        <f t="shared" si="21"/>
        <v>-268.89999999999998</v>
      </c>
      <c r="Y90" s="86">
        <f t="shared" si="21"/>
        <v>-161</v>
      </c>
      <c r="Z90" s="86">
        <f t="shared" si="21"/>
        <v>-217</v>
      </c>
      <c r="AA90" s="86">
        <f t="shared" si="21"/>
        <v>-218</v>
      </c>
      <c r="AB90" s="86">
        <f t="shared" si="21"/>
        <v>-197</v>
      </c>
      <c r="AC90" s="86">
        <f t="shared" si="21"/>
        <v>-219.9</v>
      </c>
      <c r="AD90" s="86">
        <f t="shared" si="21"/>
        <v>-288.79999999999995</v>
      </c>
      <c r="AE90" s="86">
        <f t="shared" si="21"/>
        <v>-398.6</v>
      </c>
      <c r="AF90" s="86">
        <f t="shared" si="21"/>
        <v>-396.7</v>
      </c>
      <c r="AG90" s="85"/>
      <c r="AH90" s="20">
        <f t="shared" si="10"/>
        <v>0</v>
      </c>
      <c r="AI90" s="19">
        <f t="shared" si="11"/>
        <v>-440</v>
      </c>
    </row>
    <row r="91" spans="1:37" x14ac:dyDescent="0.25">
      <c r="A91" s="47" t="s">
        <v>148</v>
      </c>
      <c r="B91" s="84">
        <v>50.03</v>
      </c>
      <c r="C91" s="84">
        <v>50.03</v>
      </c>
      <c r="D91" s="84"/>
      <c r="E91" s="84"/>
      <c r="F91" s="84">
        <v>49.993000000000002</v>
      </c>
      <c r="G91" s="84">
        <v>49.984999999999999</v>
      </c>
      <c r="H91" s="84">
        <v>50.048000000000002</v>
      </c>
      <c r="I91" s="84">
        <v>50.048000000000002</v>
      </c>
      <c r="J91" s="84">
        <v>50.048000000000002</v>
      </c>
      <c r="K91" s="84">
        <v>50.048000000000002</v>
      </c>
      <c r="L91" s="84">
        <v>50.081000000000003</v>
      </c>
      <c r="M91" s="84">
        <v>50.104999999999997</v>
      </c>
      <c r="N91" s="84">
        <v>50.06</v>
      </c>
      <c r="O91" s="84"/>
      <c r="P91" s="84">
        <v>50.04</v>
      </c>
      <c r="Q91" s="84">
        <v>49.97</v>
      </c>
      <c r="R91" s="84">
        <v>49.97</v>
      </c>
      <c r="S91" s="84">
        <v>49.935000000000002</v>
      </c>
      <c r="T91" s="84">
        <v>49.993000000000002</v>
      </c>
      <c r="U91" s="84">
        <v>50.033999999999999</v>
      </c>
      <c r="V91" s="84">
        <v>49.930999999999997</v>
      </c>
      <c r="W91" s="84">
        <v>50.027000000000001</v>
      </c>
      <c r="X91" s="84">
        <v>49.814999999999998</v>
      </c>
      <c r="Y91" s="84">
        <v>49.851999999999997</v>
      </c>
      <c r="Z91" s="84">
        <v>49.933999999999997</v>
      </c>
      <c r="AA91" s="84">
        <v>49.976999999999997</v>
      </c>
      <c r="AB91" s="84">
        <v>49.99</v>
      </c>
      <c r="AC91" s="84">
        <v>50.01</v>
      </c>
      <c r="AD91" s="84">
        <v>50.029000000000003</v>
      </c>
      <c r="AE91" s="84">
        <v>49.936999999999998</v>
      </c>
      <c r="AF91" s="84">
        <v>50.003999999999998</v>
      </c>
      <c r="AG91" s="83"/>
      <c r="AH91" s="20">
        <f t="shared" si="10"/>
        <v>50.104999999999997</v>
      </c>
      <c r="AI91" s="19">
        <f t="shared" si="11"/>
        <v>49.814999999999998</v>
      </c>
    </row>
    <row r="92" spans="1:37" x14ac:dyDescent="0.25">
      <c r="A92" s="44" t="s">
        <v>147</v>
      </c>
      <c r="B92" s="80">
        <v>126</v>
      </c>
      <c r="C92" s="80">
        <v>126</v>
      </c>
      <c r="D92" s="80"/>
      <c r="E92" s="80"/>
      <c r="F92" s="80">
        <v>125</v>
      </c>
      <c r="G92" s="80">
        <v>127</v>
      </c>
      <c r="H92" s="80">
        <v>126</v>
      </c>
      <c r="I92" s="80">
        <v>126</v>
      </c>
      <c r="J92" s="80">
        <v>126</v>
      </c>
      <c r="K92" s="80">
        <v>126</v>
      </c>
      <c r="L92" s="80">
        <v>123</v>
      </c>
      <c r="M92" s="80">
        <v>123</v>
      </c>
      <c r="N92" s="80">
        <v>121.9</v>
      </c>
      <c r="O92" s="80"/>
      <c r="P92" s="80">
        <v>121.6</v>
      </c>
      <c r="Q92" s="80">
        <v>120.7</v>
      </c>
      <c r="R92" s="80">
        <v>119.5</v>
      </c>
      <c r="S92" s="80">
        <v>119</v>
      </c>
      <c r="T92" s="80">
        <v>121.1</v>
      </c>
      <c r="U92" s="80">
        <v>122.4</v>
      </c>
      <c r="V92" s="80">
        <v>122.4</v>
      </c>
      <c r="W92" s="80">
        <v>123.2</v>
      </c>
      <c r="X92" s="80">
        <v>124.3</v>
      </c>
      <c r="Y92" s="80">
        <v>123.7</v>
      </c>
      <c r="Z92" s="80">
        <v>124.9</v>
      </c>
      <c r="AA92" s="80">
        <v>125.3</v>
      </c>
      <c r="AB92" s="80">
        <v>125.8</v>
      </c>
      <c r="AC92" s="80">
        <v>125.3</v>
      </c>
      <c r="AD92" s="80">
        <v>124.6</v>
      </c>
      <c r="AE92" s="80">
        <v>123.9</v>
      </c>
      <c r="AF92" s="80">
        <v>123.7</v>
      </c>
      <c r="AG92" s="79"/>
      <c r="AH92" s="20">
        <f t="shared" si="10"/>
        <v>127</v>
      </c>
      <c r="AI92" s="19">
        <f t="shared" si="11"/>
        <v>119</v>
      </c>
    </row>
    <row r="93" spans="1:37" x14ac:dyDescent="0.25">
      <c r="A93" s="44" t="s">
        <v>146</v>
      </c>
      <c r="B93" s="80">
        <v>130</v>
      </c>
      <c r="C93" s="80">
        <v>130</v>
      </c>
      <c r="D93" s="80"/>
      <c r="E93" s="80"/>
      <c r="F93" s="80">
        <v>2130</v>
      </c>
      <c r="G93" s="80">
        <v>131</v>
      </c>
      <c r="H93" s="80">
        <v>130</v>
      </c>
      <c r="I93" s="80">
        <v>130</v>
      </c>
      <c r="J93" s="80">
        <v>130</v>
      </c>
      <c r="K93" s="80">
        <v>130</v>
      </c>
      <c r="L93" s="80">
        <v>126</v>
      </c>
      <c r="M93" s="80">
        <v>127.4</v>
      </c>
      <c r="N93" s="80">
        <v>124.4</v>
      </c>
      <c r="O93" s="80"/>
      <c r="P93" s="80">
        <v>123.2</v>
      </c>
      <c r="Q93" s="80">
        <v>122.6</v>
      </c>
      <c r="R93" s="80">
        <v>124.3</v>
      </c>
      <c r="S93" s="80">
        <v>124</v>
      </c>
      <c r="T93" s="80">
        <v>125.4</v>
      </c>
      <c r="U93" s="80">
        <v>126.3</v>
      </c>
      <c r="V93" s="80">
        <v>126.6</v>
      </c>
      <c r="W93" s="80">
        <v>127.2</v>
      </c>
      <c r="X93" s="80">
        <v>128</v>
      </c>
      <c r="Y93" s="80">
        <v>127.1</v>
      </c>
      <c r="Z93" s="80">
        <v>127.9</v>
      </c>
      <c r="AA93" s="80">
        <v>128.5</v>
      </c>
      <c r="AB93" s="80">
        <v>129</v>
      </c>
      <c r="AC93" s="80">
        <v>128.5</v>
      </c>
      <c r="AD93" s="80">
        <v>128.4</v>
      </c>
      <c r="AE93" s="80">
        <v>128.69999999999999</v>
      </c>
      <c r="AF93" s="80">
        <v>128.69999999999999</v>
      </c>
      <c r="AG93" s="79"/>
      <c r="AH93" s="20">
        <f t="shared" si="10"/>
        <v>2130</v>
      </c>
      <c r="AI93" s="19">
        <f t="shared" si="11"/>
        <v>122.6</v>
      </c>
    </row>
    <row r="94" spans="1:37" x14ac:dyDescent="0.25">
      <c r="A94" s="44" t="s">
        <v>145</v>
      </c>
      <c r="B94" s="80">
        <v>130</v>
      </c>
      <c r="C94" s="80">
        <v>130</v>
      </c>
      <c r="D94" s="80"/>
      <c r="E94" s="80"/>
      <c r="F94" s="80">
        <v>131</v>
      </c>
      <c r="G94" s="80">
        <v>131</v>
      </c>
      <c r="H94" s="80">
        <v>130</v>
      </c>
      <c r="I94" s="80">
        <v>130</v>
      </c>
      <c r="J94" s="80">
        <v>130</v>
      </c>
      <c r="K94" s="80">
        <v>130</v>
      </c>
      <c r="L94" s="80">
        <v>128</v>
      </c>
      <c r="M94" s="80">
        <v>127.3</v>
      </c>
      <c r="N94" s="80">
        <v>128.30000000000001</v>
      </c>
      <c r="O94" s="80"/>
      <c r="P94" s="80">
        <v>129.69999999999999</v>
      </c>
      <c r="Q94" s="80">
        <v>128.19999999999999</v>
      </c>
      <c r="R94" s="80">
        <v>129.5</v>
      </c>
      <c r="S94" s="80">
        <v>124</v>
      </c>
      <c r="T94" s="80">
        <v>127.3</v>
      </c>
      <c r="U94" s="80">
        <v>129.5</v>
      </c>
      <c r="V94" s="80">
        <v>129.4</v>
      </c>
      <c r="W94" s="80">
        <v>130</v>
      </c>
      <c r="X94" s="80">
        <v>129.4</v>
      </c>
      <c r="Y94" s="80">
        <v>127.5</v>
      </c>
      <c r="Z94" s="80">
        <v>129.5</v>
      </c>
      <c r="AA94" s="80">
        <v>129</v>
      </c>
      <c r="AB94" s="80">
        <v>128.9</v>
      </c>
      <c r="AC94" s="80">
        <v>129</v>
      </c>
      <c r="AD94" s="80">
        <v>126.6</v>
      </c>
      <c r="AE94" s="80">
        <v>127.3</v>
      </c>
      <c r="AF94" s="80">
        <v>127.7</v>
      </c>
      <c r="AG94" s="79"/>
      <c r="AH94" s="20">
        <f t="shared" si="10"/>
        <v>131</v>
      </c>
      <c r="AI94" s="19">
        <f t="shared" si="11"/>
        <v>124</v>
      </c>
    </row>
    <row r="95" spans="1:37" x14ac:dyDescent="0.25">
      <c r="A95" s="82" t="s">
        <v>144</v>
      </c>
      <c r="B95" s="80">
        <v>133</v>
      </c>
      <c r="C95" s="80">
        <v>133</v>
      </c>
      <c r="D95" s="80"/>
      <c r="E95" s="80"/>
      <c r="F95" s="80">
        <v>134</v>
      </c>
      <c r="G95" s="80">
        <v>134</v>
      </c>
      <c r="H95" s="80">
        <v>134</v>
      </c>
      <c r="I95" s="80">
        <v>134</v>
      </c>
      <c r="J95" s="80">
        <v>134</v>
      </c>
      <c r="K95" s="80">
        <v>134</v>
      </c>
      <c r="L95" s="80">
        <v>131</v>
      </c>
      <c r="M95" s="80">
        <v>131.5</v>
      </c>
      <c r="N95" s="80">
        <v>131.1</v>
      </c>
      <c r="O95" s="80"/>
      <c r="P95" s="80">
        <v>130.5</v>
      </c>
      <c r="Q95" s="80">
        <v>130.6</v>
      </c>
      <c r="R95" s="80">
        <v>132.1</v>
      </c>
      <c r="S95" s="80">
        <v>127</v>
      </c>
      <c r="T95" s="80">
        <v>129.1</v>
      </c>
      <c r="U95" s="80">
        <v>131.1</v>
      </c>
      <c r="V95" s="80">
        <v>132.1</v>
      </c>
      <c r="W95" s="80">
        <v>132</v>
      </c>
      <c r="X95" s="80">
        <v>130.69999999999999</v>
      </c>
      <c r="Y95" s="80">
        <v>129.30000000000001</v>
      </c>
      <c r="Z95" s="80">
        <v>131</v>
      </c>
      <c r="AA95" s="80">
        <v>131.19999999999999</v>
      </c>
      <c r="AB95" s="80">
        <v>130.80000000000001</v>
      </c>
      <c r="AC95" s="80">
        <v>130</v>
      </c>
      <c r="AD95" s="80">
        <v>130.1</v>
      </c>
      <c r="AE95" s="80">
        <v>131.69999999999999</v>
      </c>
      <c r="AF95" s="80">
        <v>131.9</v>
      </c>
      <c r="AG95" s="79"/>
      <c r="AH95" s="20">
        <f t="shared" si="10"/>
        <v>134</v>
      </c>
      <c r="AI95" s="19">
        <f t="shared" si="11"/>
        <v>127</v>
      </c>
    </row>
    <row r="96" spans="1:37" x14ac:dyDescent="0.25">
      <c r="A96" s="82" t="s">
        <v>143</v>
      </c>
      <c r="B96" s="66">
        <v>133</v>
      </c>
      <c r="C96" s="66">
        <v>133</v>
      </c>
      <c r="D96" s="66"/>
      <c r="E96" s="66"/>
      <c r="F96" s="66">
        <v>131</v>
      </c>
      <c r="G96" s="66">
        <v>131</v>
      </c>
      <c r="H96" s="66">
        <v>134</v>
      </c>
      <c r="I96" s="66">
        <v>134</v>
      </c>
      <c r="J96" s="66">
        <v>134</v>
      </c>
      <c r="K96" s="66">
        <v>134</v>
      </c>
      <c r="L96" s="66">
        <v>134</v>
      </c>
      <c r="M96" s="66">
        <v>134.19999999999999</v>
      </c>
      <c r="N96" s="66">
        <v>134.9</v>
      </c>
      <c r="O96" s="66"/>
      <c r="P96" s="66">
        <v>129.9</v>
      </c>
      <c r="Q96" s="66">
        <v>135.6</v>
      </c>
      <c r="R96" s="66">
        <v>130.6</v>
      </c>
      <c r="S96" s="66">
        <v>132</v>
      </c>
      <c r="T96" s="66">
        <v>133</v>
      </c>
      <c r="U96" s="66">
        <v>136.4</v>
      </c>
      <c r="V96" s="66">
        <v>131</v>
      </c>
      <c r="W96" s="66">
        <v>133.19999999999999</v>
      </c>
      <c r="X96" s="66">
        <v>135.5</v>
      </c>
      <c r="Y96" s="66">
        <v>132.4</v>
      </c>
      <c r="Z96" s="66">
        <v>131.1</v>
      </c>
      <c r="AA96" s="66">
        <v>132.30000000000001</v>
      </c>
      <c r="AB96" s="66">
        <v>132.30000000000001</v>
      </c>
      <c r="AC96" s="66">
        <v>132.30000000000001</v>
      </c>
      <c r="AD96" s="66">
        <v>132.9</v>
      </c>
      <c r="AE96" s="66">
        <v>132.69999999999999</v>
      </c>
      <c r="AF96" s="66">
        <v>131.69999999999999</v>
      </c>
      <c r="AG96" s="81"/>
      <c r="AH96" s="20">
        <f t="shared" si="10"/>
        <v>136.4</v>
      </c>
      <c r="AI96" s="19">
        <f t="shared" si="11"/>
        <v>129.9</v>
      </c>
    </row>
    <row r="97" spans="1:37" x14ac:dyDescent="0.25">
      <c r="A97" s="44" t="s">
        <v>142</v>
      </c>
      <c r="B97" s="80">
        <v>130</v>
      </c>
      <c r="C97" s="80">
        <v>130</v>
      </c>
      <c r="D97" s="80"/>
      <c r="E97" s="80"/>
      <c r="F97" s="80">
        <v>127</v>
      </c>
      <c r="G97" s="80">
        <v>126</v>
      </c>
      <c r="H97" s="80">
        <v>129</v>
      </c>
      <c r="I97" s="80">
        <v>129</v>
      </c>
      <c r="J97" s="80">
        <v>129</v>
      </c>
      <c r="K97" s="80">
        <v>129</v>
      </c>
      <c r="L97" s="80">
        <v>131</v>
      </c>
      <c r="M97" s="80">
        <v>127.2</v>
      </c>
      <c r="N97" s="80">
        <v>30.6</v>
      </c>
      <c r="O97" s="80"/>
      <c r="P97" s="80">
        <v>125.2</v>
      </c>
      <c r="Q97" s="80">
        <v>131.80000000000001</v>
      </c>
      <c r="R97" s="80">
        <v>126.6</v>
      </c>
      <c r="S97" s="80">
        <v>129</v>
      </c>
      <c r="T97" s="80">
        <v>130.19999999999999</v>
      </c>
      <c r="U97" s="80">
        <v>135</v>
      </c>
      <c r="V97" s="80">
        <v>127.2</v>
      </c>
      <c r="W97" s="80">
        <v>129</v>
      </c>
      <c r="X97" s="80">
        <v>130</v>
      </c>
      <c r="Y97" s="80">
        <v>126</v>
      </c>
      <c r="Z97" s="80">
        <v>128.1</v>
      </c>
      <c r="AA97" s="80">
        <v>130</v>
      </c>
      <c r="AB97" s="80">
        <v>129</v>
      </c>
      <c r="AC97" s="80">
        <v>130</v>
      </c>
      <c r="AD97" s="80">
        <v>132.19999999999999</v>
      </c>
      <c r="AE97" s="80">
        <v>133.69999999999999</v>
      </c>
      <c r="AF97" s="80">
        <v>134.30000000000001</v>
      </c>
      <c r="AG97" s="79"/>
      <c r="AH97" s="20">
        <f t="shared" si="10"/>
        <v>135</v>
      </c>
      <c r="AI97" s="19">
        <f t="shared" si="11"/>
        <v>30.6</v>
      </c>
    </row>
    <row r="98" spans="1:37" ht="15.75" thickBot="1" x14ac:dyDescent="0.3">
      <c r="A98" s="44" t="s">
        <v>141</v>
      </c>
      <c r="B98" s="77">
        <v>65.7</v>
      </c>
      <c r="C98" s="77">
        <v>65.7</v>
      </c>
      <c r="D98" s="77"/>
      <c r="E98" s="77"/>
      <c r="F98" s="77">
        <v>66</v>
      </c>
      <c r="G98" s="77">
        <v>66</v>
      </c>
      <c r="H98" s="77">
        <v>66</v>
      </c>
      <c r="I98" s="77">
        <v>66</v>
      </c>
      <c r="J98" s="77">
        <v>66</v>
      </c>
      <c r="K98" s="77">
        <v>66</v>
      </c>
      <c r="L98" s="77">
        <v>64</v>
      </c>
      <c r="M98" s="77">
        <v>64.2</v>
      </c>
      <c r="N98" s="77">
        <v>62.6</v>
      </c>
      <c r="O98" s="77"/>
      <c r="P98" s="77">
        <v>61.6</v>
      </c>
      <c r="Q98" s="77">
        <v>61.9</v>
      </c>
      <c r="R98" s="77">
        <v>62.4</v>
      </c>
      <c r="S98" s="77">
        <v>62.3</v>
      </c>
      <c r="T98" s="77">
        <v>63.3</v>
      </c>
      <c r="U98" s="77">
        <v>63.5</v>
      </c>
      <c r="V98" s="77">
        <v>63.7</v>
      </c>
      <c r="W98" s="77">
        <v>64</v>
      </c>
      <c r="X98" s="77">
        <v>64.400000000000006</v>
      </c>
      <c r="Y98" s="77">
        <v>64</v>
      </c>
      <c r="Z98" s="77">
        <v>64.3</v>
      </c>
      <c r="AA98" s="77">
        <v>64.7</v>
      </c>
      <c r="AB98" s="77">
        <v>64.7</v>
      </c>
      <c r="AC98" s="77">
        <v>64.7</v>
      </c>
      <c r="AD98" s="77">
        <v>64.7</v>
      </c>
      <c r="AE98" s="77">
        <v>65</v>
      </c>
      <c r="AF98" s="77">
        <v>65</v>
      </c>
      <c r="AG98" s="76"/>
      <c r="AH98" s="20">
        <f t="shared" si="10"/>
        <v>66</v>
      </c>
      <c r="AI98" s="19">
        <f t="shared" si="11"/>
        <v>61.6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10"/>
        <v>0</v>
      </c>
      <c r="AI99" s="19">
        <f t="shared" si="11"/>
        <v>0</v>
      </c>
    </row>
    <row r="100" spans="1:37" ht="15.75" thickBot="1" x14ac:dyDescent="0.3">
      <c r="A100" s="75" t="s">
        <v>140</v>
      </c>
      <c r="B100" s="74">
        <f t="shared" ref="B100:AF100" si="22">SUM(B15,B20,B22:B23,B48,B50:B51,B53,B55,B101:B105,B127,B133,B139,B148,B150,B162,B169,B172:B173,B180,B182,B184,B188:B190,B192:B194,B199,B205:B206,B208:B210,B218,B223)</f>
        <v>44.800000000000011</v>
      </c>
      <c r="C100" s="74">
        <f t="shared" si="22"/>
        <v>48.740000000000009</v>
      </c>
      <c r="D100" s="74">
        <f t="shared" si="22"/>
        <v>89.44</v>
      </c>
      <c r="E100" s="74">
        <f t="shared" si="22"/>
        <v>89.44</v>
      </c>
      <c r="F100" s="74">
        <f t="shared" si="22"/>
        <v>31.039999999999996</v>
      </c>
      <c r="G100" s="74">
        <f t="shared" si="22"/>
        <v>95.039999999999992</v>
      </c>
      <c r="H100" s="74">
        <f t="shared" si="22"/>
        <v>103.03999999999999</v>
      </c>
      <c r="I100" s="74">
        <f t="shared" si="22"/>
        <v>108.74000000000001</v>
      </c>
      <c r="J100" s="74">
        <f t="shared" si="22"/>
        <v>108.74000000000001</v>
      </c>
      <c r="K100" s="74">
        <f t="shared" si="22"/>
        <v>153.73999999999998</v>
      </c>
      <c r="L100" s="74">
        <f t="shared" si="22"/>
        <v>182.73999999999998</v>
      </c>
      <c r="M100" s="74">
        <f t="shared" si="22"/>
        <v>195.93999999999994</v>
      </c>
      <c r="N100" s="74">
        <f t="shared" si="22"/>
        <v>188.04000000000002</v>
      </c>
      <c r="O100" s="74">
        <f t="shared" si="22"/>
        <v>0.94</v>
      </c>
      <c r="P100" s="74">
        <f t="shared" si="22"/>
        <v>182.44</v>
      </c>
      <c r="Q100" s="74">
        <f t="shared" si="22"/>
        <v>195.39999999999998</v>
      </c>
      <c r="R100" s="74">
        <f t="shared" si="22"/>
        <v>399.3</v>
      </c>
      <c r="S100" s="74">
        <f t="shared" si="22"/>
        <v>198.49999999999997</v>
      </c>
      <c r="T100" s="74">
        <f t="shared" si="22"/>
        <v>203.09999999999997</v>
      </c>
      <c r="U100" s="74">
        <f t="shared" si="22"/>
        <v>202.90000000000003</v>
      </c>
      <c r="V100" s="74">
        <f t="shared" si="22"/>
        <v>226.09999999999997</v>
      </c>
      <c r="W100" s="74">
        <f t="shared" si="22"/>
        <v>217.39999999999998</v>
      </c>
      <c r="X100" s="74">
        <f t="shared" si="22"/>
        <v>254.3</v>
      </c>
      <c r="Y100" s="74">
        <f t="shared" si="22"/>
        <v>284.7</v>
      </c>
      <c r="Z100" s="74">
        <f t="shared" si="22"/>
        <v>251.1</v>
      </c>
      <c r="AA100" s="74">
        <f t="shared" si="22"/>
        <v>239.49999999999997</v>
      </c>
      <c r="AB100" s="74">
        <f t="shared" si="22"/>
        <v>232.89999999999998</v>
      </c>
      <c r="AC100" s="74">
        <f t="shared" si="22"/>
        <v>226.2</v>
      </c>
      <c r="AD100" s="74">
        <f t="shared" si="22"/>
        <v>148.1</v>
      </c>
      <c r="AE100" s="74">
        <f t="shared" si="22"/>
        <v>80.5</v>
      </c>
      <c r="AF100" s="74">
        <f t="shared" si="22"/>
        <v>66.3</v>
      </c>
      <c r="AG100" s="73"/>
      <c r="AH100" s="20">
        <f t="shared" si="10"/>
        <v>399.3</v>
      </c>
      <c r="AI100" s="19">
        <f t="shared" si="11"/>
        <v>0.94</v>
      </c>
    </row>
    <row r="101" spans="1:37" x14ac:dyDescent="0.25">
      <c r="A101" s="47" t="s">
        <v>139</v>
      </c>
      <c r="B101" s="72">
        <v>7</v>
      </c>
      <c r="C101" s="72">
        <v>5</v>
      </c>
      <c r="D101" s="72"/>
      <c r="E101" s="72"/>
      <c r="F101" s="72">
        <v>18</v>
      </c>
      <c r="G101" s="72">
        <v>22</v>
      </c>
      <c r="H101" s="72">
        <v>25</v>
      </c>
      <c r="I101" s="72">
        <v>25</v>
      </c>
      <c r="J101" s="72">
        <v>25</v>
      </c>
      <c r="K101" s="72">
        <v>25</v>
      </c>
      <c r="L101" s="72">
        <v>26</v>
      </c>
      <c r="M101" s="72">
        <v>30.2</v>
      </c>
      <c r="N101" s="72">
        <v>19.8</v>
      </c>
      <c r="O101" s="72"/>
      <c r="P101" s="72">
        <v>28.3</v>
      </c>
      <c r="Q101" s="72">
        <v>33.700000000000003</v>
      </c>
      <c r="R101" s="72">
        <v>23.9</v>
      </c>
      <c r="S101" s="72">
        <v>22.2</v>
      </c>
      <c r="T101" s="72">
        <v>23.7</v>
      </c>
      <c r="U101" s="72">
        <v>34.4</v>
      </c>
      <c r="V101" s="72">
        <v>29.4</v>
      </c>
      <c r="W101" s="72">
        <v>28.5</v>
      </c>
      <c r="X101" s="72">
        <v>33</v>
      </c>
      <c r="Y101" s="72">
        <v>21.4</v>
      </c>
      <c r="Z101" s="72">
        <v>26.1</v>
      </c>
      <c r="AA101" s="72">
        <v>30.2</v>
      </c>
      <c r="AB101" s="72">
        <v>30.2</v>
      </c>
      <c r="AC101" s="72">
        <v>30.2</v>
      </c>
      <c r="AD101" s="72">
        <v>21</v>
      </c>
      <c r="AE101" s="72">
        <v>20.5</v>
      </c>
      <c r="AF101" s="72">
        <v>18.100000000000001</v>
      </c>
      <c r="AG101" s="70">
        <v>75</v>
      </c>
      <c r="AH101" s="20">
        <f t="shared" si="10"/>
        <v>34.4</v>
      </c>
      <c r="AI101" s="19">
        <f t="shared" si="11"/>
        <v>5</v>
      </c>
    </row>
    <row r="102" spans="1:37" x14ac:dyDescent="0.25">
      <c r="A102" s="44" t="s">
        <v>138</v>
      </c>
      <c r="B102" s="71">
        <v>23</v>
      </c>
      <c r="C102" s="71">
        <v>20</v>
      </c>
      <c r="D102" s="71"/>
      <c r="E102" s="71"/>
      <c r="F102" s="71">
        <v>29</v>
      </c>
      <c r="G102" s="71">
        <v>32</v>
      </c>
      <c r="H102" s="71">
        <v>37</v>
      </c>
      <c r="I102" s="71">
        <v>37</v>
      </c>
      <c r="J102" s="71">
        <v>37</v>
      </c>
      <c r="K102" s="71">
        <v>37</v>
      </c>
      <c r="L102" s="71">
        <v>38</v>
      </c>
      <c r="M102" s="71">
        <v>43.5</v>
      </c>
      <c r="N102" s="71">
        <v>40</v>
      </c>
      <c r="O102" s="71"/>
      <c r="P102" s="71">
        <v>39.5</v>
      </c>
      <c r="Q102" s="71">
        <v>33.700000000000003</v>
      </c>
      <c r="R102" s="71">
        <v>33.4</v>
      </c>
      <c r="S102" s="71">
        <v>32.6</v>
      </c>
      <c r="T102" s="71">
        <v>34.200000000000003</v>
      </c>
      <c r="U102" s="71">
        <v>49</v>
      </c>
      <c r="V102" s="71">
        <v>47.1</v>
      </c>
      <c r="W102" s="71">
        <v>46</v>
      </c>
      <c r="X102" s="71">
        <v>51.5</v>
      </c>
      <c r="Y102" s="71">
        <v>39.1</v>
      </c>
      <c r="Z102" s="71">
        <v>42</v>
      </c>
      <c r="AA102" s="71">
        <v>48.1</v>
      </c>
      <c r="AB102" s="71">
        <v>48.1</v>
      </c>
      <c r="AC102" s="71">
        <v>48.1</v>
      </c>
      <c r="AD102" s="71">
        <v>38.6</v>
      </c>
      <c r="AE102" s="71">
        <v>40.1</v>
      </c>
      <c r="AF102" s="71">
        <v>39.4</v>
      </c>
      <c r="AG102" s="70">
        <v>240</v>
      </c>
      <c r="AH102" s="20">
        <f t="shared" si="10"/>
        <v>51.5</v>
      </c>
      <c r="AI102" s="19">
        <f t="shared" si="11"/>
        <v>20</v>
      </c>
    </row>
    <row r="103" spans="1:37" x14ac:dyDescent="0.25">
      <c r="A103" s="44" t="s">
        <v>137</v>
      </c>
      <c r="B103" s="71">
        <v>-140</v>
      </c>
      <c r="C103" s="71">
        <v>-130</v>
      </c>
      <c r="D103" s="71"/>
      <c r="E103" s="71"/>
      <c r="F103" s="71">
        <v>-108</v>
      </c>
      <c r="G103" s="71">
        <v>-67</v>
      </c>
      <c r="H103" s="71">
        <v>-66</v>
      </c>
      <c r="I103" s="71">
        <v>-66</v>
      </c>
      <c r="J103" s="71">
        <v>-66</v>
      </c>
      <c r="K103" s="71">
        <v>-66</v>
      </c>
      <c r="L103" s="71">
        <v>-90</v>
      </c>
      <c r="M103" s="71">
        <f>-40.2-43.2</f>
        <v>-83.4</v>
      </c>
      <c r="N103" s="71">
        <f>-36.3-32</f>
        <v>-68.3</v>
      </c>
      <c r="O103" s="71"/>
      <c r="P103" s="71">
        <f>-53-46.7</f>
        <v>-99.7</v>
      </c>
      <c r="Q103" s="71">
        <f>-42.4-47.6</f>
        <v>-90</v>
      </c>
      <c r="R103" s="71">
        <v>101.3</v>
      </c>
      <c r="S103" s="71">
        <f>-49-53</f>
        <v>-102</v>
      </c>
      <c r="T103" s="71">
        <f>-49-54.4</f>
        <v>-103.4</v>
      </c>
      <c r="U103" s="71">
        <f>-48-54</f>
        <v>-102</v>
      </c>
      <c r="V103" s="71">
        <f>-49.3-52.5</f>
        <v>-101.8</v>
      </c>
      <c r="W103" s="71">
        <f>-46.2-49.5</f>
        <v>-95.7</v>
      </c>
      <c r="X103" s="71">
        <f>-40-46</f>
        <v>-86</v>
      </c>
      <c r="Y103" s="71">
        <v>-47</v>
      </c>
      <c r="Z103" s="71">
        <f>-34.8-39</f>
        <v>-73.8</v>
      </c>
      <c r="AA103" s="71">
        <f>-43-49</f>
        <v>-92</v>
      </c>
      <c r="AB103" s="71">
        <f>-43-49</f>
        <v>-92</v>
      </c>
      <c r="AC103" s="71">
        <f>-43-49</f>
        <v>-92</v>
      </c>
      <c r="AD103" s="71">
        <v>-117</v>
      </c>
      <c r="AE103" s="71">
        <v>-145</v>
      </c>
      <c r="AF103" s="71">
        <v>-149</v>
      </c>
      <c r="AG103" s="70">
        <v>240</v>
      </c>
      <c r="AH103" s="20">
        <f t="shared" si="10"/>
        <v>101.3</v>
      </c>
      <c r="AI103" s="19">
        <f t="shared" si="11"/>
        <v>-149</v>
      </c>
    </row>
    <row r="104" spans="1:37" x14ac:dyDescent="0.25">
      <c r="A104" s="44" t="s">
        <v>136</v>
      </c>
      <c r="B104" s="71">
        <v>-4</v>
      </c>
      <c r="C104" s="71">
        <v>-6</v>
      </c>
      <c r="D104" s="71"/>
      <c r="E104" s="71"/>
      <c r="F104" s="71">
        <v>1</v>
      </c>
      <c r="G104" s="71">
        <v>8</v>
      </c>
      <c r="H104" s="71">
        <v>7</v>
      </c>
      <c r="I104" s="71">
        <v>7</v>
      </c>
      <c r="J104" s="71">
        <v>7</v>
      </c>
      <c r="K104" s="71">
        <v>7</v>
      </c>
      <c r="L104" s="71">
        <v>10</v>
      </c>
      <c r="M104" s="71">
        <v>10.199999999999999</v>
      </c>
      <c r="N104" s="71">
        <v>8.5</v>
      </c>
      <c r="O104" s="71"/>
      <c r="P104" s="71">
        <v>11.2</v>
      </c>
      <c r="Q104" s="71">
        <v>11.3</v>
      </c>
      <c r="R104" s="71">
        <v>7.7</v>
      </c>
      <c r="S104" s="71">
        <v>8</v>
      </c>
      <c r="T104" s="71">
        <v>17.5</v>
      </c>
      <c r="U104" s="71">
        <v>7.8</v>
      </c>
      <c r="V104" s="71">
        <v>9</v>
      </c>
      <c r="W104" s="71">
        <v>9.6999999999999993</v>
      </c>
      <c r="X104" s="71">
        <v>20.8</v>
      </c>
      <c r="Y104" s="71">
        <v>35</v>
      </c>
      <c r="Z104" s="71">
        <v>20.6</v>
      </c>
      <c r="AA104" s="71">
        <v>17</v>
      </c>
      <c r="AB104" s="71">
        <v>8</v>
      </c>
      <c r="AC104" s="71">
        <v>6</v>
      </c>
      <c r="AD104" s="71">
        <v>4.0999999999999996</v>
      </c>
      <c r="AE104" s="71">
        <v>0</v>
      </c>
      <c r="AF104" s="71">
        <v>-1.8</v>
      </c>
      <c r="AG104" s="70">
        <v>60</v>
      </c>
      <c r="AH104" s="20">
        <f t="shared" si="10"/>
        <v>35</v>
      </c>
      <c r="AI104" s="19">
        <f t="shared" si="11"/>
        <v>-6</v>
      </c>
    </row>
    <row r="105" spans="1:37" x14ac:dyDescent="0.25">
      <c r="A105" s="40" t="s">
        <v>135</v>
      </c>
      <c r="B105" s="68">
        <v>0</v>
      </c>
      <c r="C105" s="68">
        <v>0</v>
      </c>
      <c r="D105" s="68"/>
      <c r="E105" s="68"/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48</v>
      </c>
      <c r="M105" s="68">
        <v>44.7</v>
      </c>
      <c r="N105" s="68">
        <v>55.8</v>
      </c>
      <c r="O105" s="68"/>
      <c r="P105" s="68">
        <v>45.2</v>
      </c>
      <c r="Q105" s="68">
        <v>49.7</v>
      </c>
      <c r="R105" s="68">
        <v>59.8</v>
      </c>
      <c r="S105" s="68">
        <v>61</v>
      </c>
      <c r="T105" s="68">
        <v>54.4</v>
      </c>
      <c r="U105" s="68">
        <v>37</v>
      </c>
      <c r="V105" s="68">
        <v>44.7</v>
      </c>
      <c r="W105" s="68">
        <v>47.2</v>
      </c>
      <c r="X105" s="68">
        <v>53.3</v>
      </c>
      <c r="Y105" s="71">
        <v>64</v>
      </c>
      <c r="Z105" s="68">
        <v>64</v>
      </c>
      <c r="AA105" s="68">
        <v>64</v>
      </c>
      <c r="AB105" s="68">
        <v>64</v>
      </c>
      <c r="AC105" s="68">
        <v>64</v>
      </c>
      <c r="AD105" s="68">
        <v>36.5</v>
      </c>
      <c r="AE105" s="68">
        <v>0</v>
      </c>
      <c r="AF105" s="68">
        <v>0</v>
      </c>
      <c r="AG105" s="69">
        <v>120</v>
      </c>
      <c r="AH105" s="20">
        <f t="shared" si="10"/>
        <v>64</v>
      </c>
      <c r="AI105" s="19">
        <f t="shared" si="11"/>
        <v>0</v>
      </c>
    </row>
    <row r="106" spans="1:37" x14ac:dyDescent="0.25">
      <c r="A106" s="40" t="s">
        <v>134</v>
      </c>
      <c r="B106" s="68">
        <v>26</v>
      </c>
      <c r="C106" s="68">
        <v>27</v>
      </c>
      <c r="D106" s="68"/>
      <c r="E106" s="68"/>
      <c r="F106" s="68">
        <v>48</v>
      </c>
      <c r="G106" s="68">
        <v>62</v>
      </c>
      <c r="H106" s="68">
        <v>62</v>
      </c>
      <c r="I106" s="68">
        <v>62</v>
      </c>
      <c r="J106" s="68">
        <v>62</v>
      </c>
      <c r="K106" s="68">
        <v>62</v>
      </c>
      <c r="L106" s="68">
        <v>55</v>
      </c>
      <c r="M106" s="68">
        <v>50.3</v>
      </c>
      <c r="N106" s="68">
        <v>68.8</v>
      </c>
      <c r="O106" s="68"/>
      <c r="P106" s="68">
        <v>65.8</v>
      </c>
      <c r="Q106" s="68">
        <v>68</v>
      </c>
      <c r="R106" s="68">
        <v>73.8</v>
      </c>
      <c r="S106" s="68">
        <v>76</v>
      </c>
      <c r="T106" s="68">
        <v>67.7</v>
      </c>
      <c r="U106" s="68">
        <v>48.2</v>
      </c>
      <c r="V106" s="68">
        <v>54.4</v>
      </c>
      <c r="W106" s="68">
        <v>56</v>
      </c>
      <c r="X106" s="68">
        <v>53</v>
      </c>
      <c r="Y106" s="68">
        <v>82.4</v>
      </c>
      <c r="Z106" s="68">
        <v>58.4</v>
      </c>
      <c r="AA106" s="68">
        <v>39.299999999999997</v>
      </c>
      <c r="AB106" s="68">
        <v>39.299999999999997</v>
      </c>
      <c r="AC106" s="68">
        <v>39.299999999999997</v>
      </c>
      <c r="AD106" s="68">
        <v>43.9</v>
      </c>
      <c r="AE106" s="68">
        <v>28.7</v>
      </c>
      <c r="AF106" s="68">
        <v>21.2</v>
      </c>
      <c r="AG106" s="69"/>
      <c r="AH106" s="20">
        <f t="shared" si="10"/>
        <v>82.4</v>
      </c>
      <c r="AI106" s="19">
        <f t="shared" si="11"/>
        <v>21.2</v>
      </c>
    </row>
    <row r="107" spans="1:37" x14ac:dyDescent="0.25">
      <c r="A107" s="40" t="s">
        <v>133</v>
      </c>
      <c r="B107" s="68">
        <v>61</v>
      </c>
      <c r="C107" s="68"/>
      <c r="D107" s="68"/>
      <c r="E107" s="68"/>
      <c r="F107" s="68">
        <v>0</v>
      </c>
      <c r="G107" s="68">
        <v>0</v>
      </c>
      <c r="H107" s="68">
        <v>0</v>
      </c>
      <c r="I107" s="68">
        <v>0</v>
      </c>
      <c r="J107" s="68">
        <v>0</v>
      </c>
      <c r="K107" s="68">
        <v>0</v>
      </c>
      <c r="L107" s="68">
        <v>0</v>
      </c>
      <c r="M107" s="68">
        <v>0</v>
      </c>
      <c r="N107" s="68">
        <v>32.200000000000003</v>
      </c>
      <c r="O107" s="68"/>
      <c r="P107" s="68">
        <v>-33.700000000000003</v>
      </c>
      <c r="Q107" s="68">
        <v>-50.3</v>
      </c>
      <c r="R107" s="68">
        <v>-14.2</v>
      </c>
      <c r="S107" s="68">
        <v>0</v>
      </c>
      <c r="T107" s="68">
        <v>0</v>
      </c>
      <c r="U107" s="68">
        <v>0</v>
      </c>
      <c r="V107" s="68">
        <v>0</v>
      </c>
      <c r="W107" s="68">
        <v>30</v>
      </c>
      <c r="X107" s="68">
        <v>24</v>
      </c>
      <c r="Y107" s="68">
        <v>52</v>
      </c>
      <c r="Z107" s="68">
        <v>40.799999999999997</v>
      </c>
      <c r="AA107" s="68">
        <v>33.5</v>
      </c>
      <c r="AB107" s="68">
        <v>67</v>
      </c>
      <c r="AC107" s="68">
        <v>59</v>
      </c>
      <c r="AD107" s="68">
        <v>54</v>
      </c>
      <c r="AE107" s="68">
        <v>60.4</v>
      </c>
      <c r="AF107" s="68">
        <v>58.1</v>
      </c>
      <c r="AG107" s="48"/>
      <c r="AH107" s="20">
        <f t="shared" si="10"/>
        <v>67</v>
      </c>
      <c r="AI107" s="19">
        <f t="shared" si="11"/>
        <v>-50.3</v>
      </c>
    </row>
    <row r="108" spans="1:37" x14ac:dyDescent="0.25">
      <c r="A108" s="67" t="s">
        <v>132</v>
      </c>
      <c r="B108" s="66">
        <v>111</v>
      </c>
      <c r="C108" s="66"/>
      <c r="D108" s="66"/>
      <c r="E108" s="66"/>
      <c r="F108" s="66">
        <v>117</v>
      </c>
      <c r="G108" s="66">
        <v>121</v>
      </c>
      <c r="H108" s="66">
        <v>120</v>
      </c>
      <c r="I108" s="66">
        <v>120</v>
      </c>
      <c r="J108" s="66">
        <v>120</v>
      </c>
      <c r="K108" s="66">
        <v>120</v>
      </c>
      <c r="L108" s="66">
        <v>116</v>
      </c>
      <c r="M108" s="66">
        <v>114.7</v>
      </c>
      <c r="N108" s="66">
        <v>111.8</v>
      </c>
      <c r="O108" s="66"/>
      <c r="P108" s="66">
        <v>106.8</v>
      </c>
      <c r="Q108" s="66">
        <v>94.4</v>
      </c>
      <c r="R108" s="66">
        <v>109.7</v>
      </c>
      <c r="S108" s="66">
        <v>93</v>
      </c>
      <c r="T108" s="66">
        <v>98</v>
      </c>
      <c r="U108" s="66">
        <v>109</v>
      </c>
      <c r="V108" s="66">
        <v>111.3</v>
      </c>
      <c r="W108" s="66">
        <v>107</v>
      </c>
      <c r="X108" s="66">
        <v>96</v>
      </c>
      <c r="Y108" s="68">
        <v>34</v>
      </c>
      <c r="Z108" s="66">
        <v>95.3</v>
      </c>
      <c r="AA108" s="66">
        <v>97</v>
      </c>
      <c r="AB108" s="66">
        <v>102</v>
      </c>
      <c r="AC108" s="66">
        <v>104</v>
      </c>
      <c r="AD108" s="66">
        <v>104.2</v>
      </c>
      <c r="AE108" s="66">
        <v>111.8</v>
      </c>
      <c r="AF108" s="66">
        <v>111.9</v>
      </c>
      <c r="AG108" s="48"/>
      <c r="AH108" s="20">
        <f t="shared" si="10"/>
        <v>121</v>
      </c>
      <c r="AI108" s="19">
        <f t="shared" si="11"/>
        <v>34</v>
      </c>
    </row>
    <row r="109" spans="1:37" ht="15.75" thickBot="1" x14ac:dyDescent="0.3">
      <c r="A109" s="67" t="s">
        <v>131</v>
      </c>
      <c r="B109" s="66">
        <v>90</v>
      </c>
      <c r="C109" s="66"/>
      <c r="D109" s="66"/>
      <c r="E109" s="66"/>
      <c r="F109" s="66">
        <v>60</v>
      </c>
      <c r="G109" s="66">
        <v>37</v>
      </c>
      <c r="H109" s="66">
        <v>34</v>
      </c>
      <c r="I109" s="66">
        <v>34</v>
      </c>
      <c r="J109" s="66">
        <v>34</v>
      </c>
      <c r="K109" s="66">
        <v>34</v>
      </c>
      <c r="L109" s="66">
        <v>50</v>
      </c>
      <c r="M109" s="66">
        <v>14.3</v>
      </c>
      <c r="N109" s="66">
        <v>13</v>
      </c>
      <c r="O109" s="66"/>
      <c r="P109" s="66">
        <v>13.4</v>
      </c>
      <c r="Q109" s="66">
        <v>13.1</v>
      </c>
      <c r="R109" s="66">
        <v>48.7</v>
      </c>
      <c r="S109" s="66">
        <v>48</v>
      </c>
      <c r="T109" s="66">
        <v>52</v>
      </c>
      <c r="U109" s="66">
        <v>63</v>
      </c>
      <c r="V109" s="66">
        <v>59.8</v>
      </c>
      <c r="W109" s="66">
        <v>54</v>
      </c>
      <c r="X109" s="66">
        <v>56</v>
      </c>
      <c r="Y109" s="66">
        <v>47.2</v>
      </c>
      <c r="Z109" s="66">
        <v>46</v>
      </c>
      <c r="AA109" s="66">
        <v>62.3</v>
      </c>
      <c r="AB109" s="66">
        <v>62.3</v>
      </c>
      <c r="AC109" s="66">
        <v>62.3</v>
      </c>
      <c r="AD109" s="66">
        <v>67.7</v>
      </c>
      <c r="AE109" s="66">
        <v>89</v>
      </c>
      <c r="AF109" s="66">
        <v>94</v>
      </c>
      <c r="AG109" s="48"/>
      <c r="AH109" s="20">
        <f t="shared" si="10"/>
        <v>94</v>
      </c>
      <c r="AI109" s="19">
        <f t="shared" si="11"/>
        <v>13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3">SUM(B111:B215)</f>
        <v>0</v>
      </c>
      <c r="C216" s="36">
        <f t="shared" si="23"/>
        <v>0</v>
      </c>
      <c r="D216" s="36">
        <f t="shared" si="23"/>
        <v>0</v>
      </c>
      <c r="E216" s="36">
        <f t="shared" si="23"/>
        <v>0</v>
      </c>
      <c r="F216" s="36">
        <f t="shared" si="23"/>
        <v>0</v>
      </c>
      <c r="G216" s="36">
        <f t="shared" si="23"/>
        <v>0</v>
      </c>
      <c r="H216" s="36">
        <f t="shared" si="23"/>
        <v>0</v>
      </c>
      <c r="I216" s="36">
        <f t="shared" si="23"/>
        <v>0</v>
      </c>
      <c r="J216" s="36">
        <f t="shared" si="23"/>
        <v>0</v>
      </c>
      <c r="K216" s="36">
        <f t="shared" si="23"/>
        <v>0</v>
      </c>
      <c r="L216" s="36">
        <f t="shared" si="23"/>
        <v>0</v>
      </c>
      <c r="M216" s="36">
        <f t="shared" si="23"/>
        <v>0</v>
      </c>
      <c r="N216" s="36">
        <f t="shared" si="23"/>
        <v>0</v>
      </c>
      <c r="O216" s="36">
        <f t="shared" si="23"/>
        <v>0</v>
      </c>
      <c r="P216" s="36">
        <f t="shared" si="23"/>
        <v>0</v>
      </c>
      <c r="Q216" s="36">
        <f t="shared" si="23"/>
        <v>0</v>
      </c>
      <c r="R216" s="36">
        <f t="shared" si="23"/>
        <v>0</v>
      </c>
      <c r="S216" s="36">
        <f t="shared" si="23"/>
        <v>0</v>
      </c>
      <c r="T216" s="36">
        <f t="shared" si="23"/>
        <v>0</v>
      </c>
      <c r="U216" s="36">
        <f t="shared" si="23"/>
        <v>0</v>
      </c>
      <c r="V216" s="36">
        <f t="shared" si="23"/>
        <v>0</v>
      </c>
      <c r="W216" s="36">
        <f t="shared" si="23"/>
        <v>0</v>
      </c>
      <c r="X216" s="36">
        <f t="shared" si="23"/>
        <v>0</v>
      </c>
      <c r="Y216" s="36">
        <f t="shared" si="23"/>
        <v>0</v>
      </c>
      <c r="Z216" s="36">
        <f t="shared" si="23"/>
        <v>0</v>
      </c>
      <c r="AA216" s="36">
        <f t="shared" si="23"/>
        <v>0</v>
      </c>
      <c r="AB216" s="36">
        <f t="shared" si="23"/>
        <v>0</v>
      </c>
      <c r="AC216" s="36">
        <f t="shared" si="23"/>
        <v>0</v>
      </c>
      <c r="AD216" s="36">
        <f t="shared" si="23"/>
        <v>0</v>
      </c>
      <c r="AE216" s="36">
        <f t="shared" si="23"/>
        <v>0</v>
      </c>
      <c r="AF216" s="51">
        <f t="shared" si="23"/>
        <v>0</v>
      </c>
      <c r="AG216" s="50">
        <f t="shared" si="23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4">AF218</f>
        <v>0</v>
      </c>
      <c r="C218" s="46">
        <v>0.3</v>
      </c>
      <c r="D218" s="46">
        <f t="shared" ref="D218:P223" si="25">C218</f>
        <v>0.3</v>
      </c>
      <c r="E218" s="46">
        <f t="shared" si="25"/>
        <v>0.3</v>
      </c>
      <c r="F218" s="46">
        <f t="shared" si="25"/>
        <v>0.3</v>
      </c>
      <c r="G218" s="46">
        <f t="shared" si="25"/>
        <v>0.3</v>
      </c>
      <c r="H218" s="46">
        <f t="shared" si="25"/>
        <v>0.3</v>
      </c>
      <c r="I218" s="46">
        <f t="shared" si="25"/>
        <v>0.3</v>
      </c>
      <c r="J218" s="46">
        <f t="shared" si="25"/>
        <v>0.3</v>
      </c>
      <c r="K218" s="46">
        <f t="shared" si="25"/>
        <v>0.3</v>
      </c>
      <c r="L218" s="46">
        <f t="shared" si="25"/>
        <v>0.3</v>
      </c>
      <c r="M218" s="46">
        <f t="shared" si="25"/>
        <v>0.3</v>
      </c>
      <c r="N218" s="46">
        <f t="shared" si="25"/>
        <v>0.3</v>
      </c>
      <c r="O218" s="46">
        <f t="shared" si="25"/>
        <v>0.3</v>
      </c>
      <c r="P218" s="46">
        <f t="shared" si="25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4"/>
        <v>0</v>
      </c>
      <c r="C219" s="43">
        <v>0.4</v>
      </c>
      <c r="D219" s="43">
        <f t="shared" si="25"/>
        <v>0.4</v>
      </c>
      <c r="E219" s="43">
        <f t="shared" si="25"/>
        <v>0.4</v>
      </c>
      <c r="F219" s="43">
        <f t="shared" si="25"/>
        <v>0.4</v>
      </c>
      <c r="G219" s="43">
        <f t="shared" si="25"/>
        <v>0.4</v>
      </c>
      <c r="H219" s="43">
        <f t="shared" si="25"/>
        <v>0.4</v>
      </c>
      <c r="I219" s="43">
        <f t="shared" si="25"/>
        <v>0.4</v>
      </c>
      <c r="J219" s="43">
        <f t="shared" si="25"/>
        <v>0.4</v>
      </c>
      <c r="K219" s="43">
        <f t="shared" si="25"/>
        <v>0.4</v>
      </c>
      <c r="L219" s="43">
        <f t="shared" si="25"/>
        <v>0.4</v>
      </c>
      <c r="M219" s="43">
        <f t="shared" si="25"/>
        <v>0.4</v>
      </c>
      <c r="N219" s="43">
        <f t="shared" si="25"/>
        <v>0.4</v>
      </c>
      <c r="O219" s="43">
        <f t="shared" si="25"/>
        <v>0.4</v>
      </c>
      <c r="P219" s="43">
        <f t="shared" si="25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4"/>
        <v>0</v>
      </c>
      <c r="C220" s="43">
        <v>1.5</v>
      </c>
      <c r="D220" s="43">
        <f t="shared" si="25"/>
        <v>1.5</v>
      </c>
      <c r="E220" s="43">
        <f t="shared" si="25"/>
        <v>1.5</v>
      </c>
      <c r="F220" s="43">
        <f t="shared" si="25"/>
        <v>1.5</v>
      </c>
      <c r="G220" s="43">
        <f t="shared" si="25"/>
        <v>1.5</v>
      </c>
      <c r="H220" s="43">
        <f t="shared" si="25"/>
        <v>1.5</v>
      </c>
      <c r="I220" s="43">
        <f t="shared" si="25"/>
        <v>1.5</v>
      </c>
      <c r="J220" s="43">
        <f t="shared" si="25"/>
        <v>1.5</v>
      </c>
      <c r="K220" s="43">
        <f t="shared" si="25"/>
        <v>1.5</v>
      </c>
      <c r="L220" s="43">
        <f t="shared" si="25"/>
        <v>1.5</v>
      </c>
      <c r="M220" s="43">
        <f t="shared" si="25"/>
        <v>1.5</v>
      </c>
      <c r="N220" s="43">
        <f t="shared" si="25"/>
        <v>1.5</v>
      </c>
      <c r="O220" s="43">
        <f t="shared" si="25"/>
        <v>1.5</v>
      </c>
      <c r="P220" s="43">
        <f t="shared" si="25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4"/>
        <v>0</v>
      </c>
      <c r="C221" s="43">
        <v>0.3</v>
      </c>
      <c r="D221" s="43">
        <f t="shared" si="25"/>
        <v>0.3</v>
      </c>
      <c r="E221" s="43">
        <f t="shared" si="25"/>
        <v>0.3</v>
      </c>
      <c r="F221" s="43">
        <f t="shared" si="25"/>
        <v>0.3</v>
      </c>
      <c r="G221" s="43">
        <f t="shared" si="25"/>
        <v>0.3</v>
      </c>
      <c r="H221" s="43">
        <f t="shared" si="25"/>
        <v>0.3</v>
      </c>
      <c r="I221" s="43">
        <f t="shared" si="25"/>
        <v>0.3</v>
      </c>
      <c r="J221" s="43">
        <f t="shared" si="25"/>
        <v>0.3</v>
      </c>
      <c r="K221" s="43">
        <f t="shared" si="25"/>
        <v>0.3</v>
      </c>
      <c r="L221" s="43">
        <f t="shared" si="25"/>
        <v>0.3</v>
      </c>
      <c r="M221" s="43">
        <f t="shared" si="25"/>
        <v>0.3</v>
      </c>
      <c r="N221" s="43">
        <f t="shared" si="25"/>
        <v>0.3</v>
      </c>
      <c r="O221" s="43">
        <f t="shared" si="25"/>
        <v>0.3</v>
      </c>
      <c r="P221" s="43">
        <f t="shared" si="25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4"/>
        <v>0</v>
      </c>
      <c r="C222" s="43">
        <v>0.4</v>
      </c>
      <c r="D222" s="43">
        <f t="shared" si="25"/>
        <v>0.4</v>
      </c>
      <c r="E222" s="43">
        <f t="shared" si="25"/>
        <v>0.4</v>
      </c>
      <c r="F222" s="43">
        <f t="shared" si="25"/>
        <v>0.4</v>
      </c>
      <c r="G222" s="43">
        <f t="shared" si="25"/>
        <v>0.4</v>
      </c>
      <c r="H222" s="43">
        <f t="shared" si="25"/>
        <v>0.4</v>
      </c>
      <c r="I222" s="43">
        <f t="shared" si="25"/>
        <v>0.4</v>
      </c>
      <c r="J222" s="43">
        <f t="shared" si="25"/>
        <v>0.4</v>
      </c>
      <c r="K222" s="43">
        <f t="shared" si="25"/>
        <v>0.4</v>
      </c>
      <c r="L222" s="43">
        <f t="shared" si="25"/>
        <v>0.4</v>
      </c>
      <c r="M222" s="43">
        <f t="shared" si="25"/>
        <v>0.4</v>
      </c>
      <c r="N222" s="43">
        <f t="shared" si="25"/>
        <v>0.4</v>
      </c>
      <c r="O222" s="43">
        <f t="shared" si="25"/>
        <v>0.4</v>
      </c>
      <c r="P222" s="43">
        <f t="shared" si="25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4"/>
        <v>0</v>
      </c>
      <c r="C223" s="39">
        <v>0.64</v>
      </c>
      <c r="D223" s="39">
        <f t="shared" si="25"/>
        <v>0.64</v>
      </c>
      <c r="E223" s="39">
        <f t="shared" si="25"/>
        <v>0.64</v>
      </c>
      <c r="F223" s="39">
        <f t="shared" si="25"/>
        <v>0.64</v>
      </c>
      <c r="G223" s="39">
        <f t="shared" si="25"/>
        <v>0.64</v>
      </c>
      <c r="H223" s="39">
        <f t="shared" si="25"/>
        <v>0.64</v>
      </c>
      <c r="I223" s="39">
        <f t="shared" si="25"/>
        <v>0.64</v>
      </c>
      <c r="J223" s="39">
        <f t="shared" si="25"/>
        <v>0.64</v>
      </c>
      <c r="K223" s="39">
        <f t="shared" si="25"/>
        <v>0.64</v>
      </c>
      <c r="L223" s="39">
        <f t="shared" si="25"/>
        <v>0.64</v>
      </c>
      <c r="M223" s="39">
        <f t="shared" si="25"/>
        <v>0.64</v>
      </c>
      <c r="N223" s="39">
        <f t="shared" si="25"/>
        <v>0.64</v>
      </c>
      <c r="O223" s="39">
        <f t="shared" si="25"/>
        <v>0.64</v>
      </c>
      <c r="P223" s="39">
        <f t="shared" si="25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6">SUM(B218:B223)</f>
        <v>0</v>
      </c>
      <c r="C224" s="36">
        <f t="shared" si="26"/>
        <v>3.54</v>
      </c>
      <c r="D224" s="36">
        <f t="shared" si="26"/>
        <v>3.54</v>
      </c>
      <c r="E224" s="36">
        <f t="shared" si="26"/>
        <v>3.54</v>
      </c>
      <c r="F224" s="36">
        <f t="shared" si="26"/>
        <v>3.54</v>
      </c>
      <c r="G224" s="36">
        <f t="shared" si="26"/>
        <v>3.54</v>
      </c>
      <c r="H224" s="36">
        <f t="shared" si="26"/>
        <v>3.54</v>
      </c>
      <c r="I224" s="36">
        <f t="shared" si="26"/>
        <v>3.54</v>
      </c>
      <c r="J224" s="36">
        <f t="shared" si="26"/>
        <v>3.54</v>
      </c>
      <c r="K224" s="36">
        <f t="shared" si="26"/>
        <v>3.54</v>
      </c>
      <c r="L224" s="36">
        <f t="shared" si="26"/>
        <v>3.54</v>
      </c>
      <c r="M224" s="36">
        <f t="shared" si="26"/>
        <v>3.54</v>
      </c>
      <c r="N224" s="36">
        <f t="shared" si="26"/>
        <v>3.54</v>
      </c>
      <c r="O224" s="36">
        <f t="shared" si="26"/>
        <v>3.54</v>
      </c>
      <c r="P224" s="36">
        <f t="shared" si="26"/>
        <v>3.54</v>
      </c>
      <c r="Q224" s="36">
        <f t="shared" si="26"/>
        <v>0</v>
      </c>
      <c r="R224" s="36">
        <f t="shared" si="26"/>
        <v>0</v>
      </c>
      <c r="S224" s="36">
        <f t="shared" si="26"/>
        <v>0</v>
      </c>
      <c r="T224" s="36">
        <f t="shared" si="26"/>
        <v>0</v>
      </c>
      <c r="U224" s="36">
        <f t="shared" si="26"/>
        <v>0</v>
      </c>
      <c r="V224" s="36">
        <f t="shared" si="26"/>
        <v>0</v>
      </c>
      <c r="W224" s="36">
        <f t="shared" si="26"/>
        <v>0</v>
      </c>
      <c r="X224" s="36">
        <f t="shared" si="26"/>
        <v>0</v>
      </c>
      <c r="Y224" s="36">
        <f t="shared" si="26"/>
        <v>0</v>
      </c>
      <c r="Z224" s="36">
        <f t="shared" si="26"/>
        <v>0</v>
      </c>
      <c r="AA224" s="36">
        <f t="shared" si="26"/>
        <v>0</v>
      </c>
      <c r="AB224" s="36">
        <f t="shared" si="26"/>
        <v>0</v>
      </c>
      <c r="AC224" s="36">
        <f t="shared" si="26"/>
        <v>0</v>
      </c>
      <c r="AD224" s="36">
        <f t="shared" si="26"/>
        <v>0</v>
      </c>
      <c r="AE224" s="36">
        <f t="shared" si="26"/>
        <v>0</v>
      </c>
      <c r="AF224" s="36">
        <f t="shared" si="26"/>
        <v>0</v>
      </c>
      <c r="AG224" s="35">
        <f t="shared" si="26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1715.8400000000001</v>
      </c>
      <c r="C233" s="16">
        <f>INDEX(G9:N9,1,MATCH(MAX(G81:N81),G81:N81,0))</f>
        <v>0.33333333333333331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11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2079/06/11)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2079/06/11)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7">B81</f>
        <v>1751.3400000000001</v>
      </c>
      <c r="U238" s="9">
        <f t="shared" si="27"/>
        <v>1751.3400000000001</v>
      </c>
      <c r="V238" s="9">
        <f t="shared" si="27"/>
        <v>1006.9399999999999</v>
      </c>
      <c r="W238" s="9">
        <f t="shared" si="27"/>
        <v>1006.9399999999999</v>
      </c>
      <c r="X238" s="9">
        <f t="shared" si="27"/>
        <v>1586.1399999999999</v>
      </c>
      <c r="Y238" s="9">
        <f t="shared" si="27"/>
        <v>1600.1399999999999</v>
      </c>
      <c r="Z238" s="9">
        <f t="shared" si="27"/>
        <v>1612.1399999999999</v>
      </c>
      <c r="AA238" s="9">
        <f t="shared" si="27"/>
        <v>1624.74</v>
      </c>
      <c r="AB238" s="9">
        <f t="shared" si="27"/>
        <v>1639.74</v>
      </c>
      <c r="AC238" s="9">
        <f t="shared" si="27"/>
        <v>1690.74</v>
      </c>
      <c r="AD238" s="9">
        <f t="shared" si="27"/>
        <v>1704.74</v>
      </c>
      <c r="AE238" s="9">
        <f t="shared" si="27"/>
        <v>1715.8400000000001</v>
      </c>
      <c r="AF238" s="9">
        <f t="shared" si="27"/>
        <v>1695.5400000000002</v>
      </c>
      <c r="AG238" s="9">
        <f t="shared" si="27"/>
        <v>3.54</v>
      </c>
      <c r="AH238" s="9">
        <f t="shared" si="27"/>
        <v>1726.04</v>
      </c>
      <c r="AI238" s="9">
        <f t="shared" si="27"/>
        <v>1770.9399999999998</v>
      </c>
      <c r="AJ238" s="9">
        <f t="shared" si="27"/>
        <v>1770.74</v>
      </c>
      <c r="AK238" s="9">
        <f t="shared" si="27"/>
        <v>1783.44</v>
      </c>
      <c r="AL238" s="9">
        <f t="shared" si="27"/>
        <v>1812.34</v>
      </c>
      <c r="AM238" s="9">
        <f t="shared" si="27"/>
        <v>1859.94</v>
      </c>
      <c r="AN238" s="9">
        <f t="shared" si="27"/>
        <v>1826.84</v>
      </c>
      <c r="AO238" s="9">
        <f t="shared" si="27"/>
        <v>1835.8400000000001</v>
      </c>
      <c r="AP238" s="9">
        <f t="shared" si="27"/>
        <v>1887.6399999999999</v>
      </c>
      <c r="AQ238" s="9">
        <f t="shared" si="27"/>
        <v>1897.1399999999999</v>
      </c>
      <c r="AR238" s="9">
        <f t="shared" si="27"/>
        <v>1926.04</v>
      </c>
      <c r="AS238" s="9">
        <f t="shared" si="27"/>
        <v>1908.24</v>
      </c>
      <c r="AT238" s="9">
        <f t="shared" si="27"/>
        <v>1860.54</v>
      </c>
      <c r="AU238" s="9">
        <f t="shared" si="27"/>
        <v>1843.44</v>
      </c>
      <c r="AV238" s="9">
        <f t="shared" si="27"/>
        <v>1812.6399999999999</v>
      </c>
      <c r="AW238" s="9">
        <f t="shared" si="27"/>
        <v>1779.64</v>
      </c>
      <c r="AX238" s="9">
        <f t="shared" si="27"/>
        <v>1776.84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8">C223</f>
        <v>0.64</v>
      </c>
      <c r="C259" s="4">
        <f t="shared" si="28"/>
        <v>0.64</v>
      </c>
      <c r="D259" s="4">
        <f t="shared" si="28"/>
        <v>0.64</v>
      </c>
      <c r="E259" s="4">
        <f t="shared" si="28"/>
        <v>0.64</v>
      </c>
      <c r="F259" s="4">
        <f t="shared" si="28"/>
        <v>0.64</v>
      </c>
      <c r="G259" s="4">
        <f t="shared" si="28"/>
        <v>0.64</v>
      </c>
      <c r="H259" s="4">
        <f t="shared" si="28"/>
        <v>0.64</v>
      </c>
      <c r="I259" s="4">
        <f t="shared" si="28"/>
        <v>0.64</v>
      </c>
      <c r="J259" s="4">
        <f t="shared" si="28"/>
        <v>0.64</v>
      </c>
      <c r="K259" s="4">
        <f t="shared" si="28"/>
        <v>0.64</v>
      </c>
      <c r="L259" s="4">
        <f t="shared" si="28"/>
        <v>0.64</v>
      </c>
      <c r="M259" s="4">
        <f t="shared" si="28"/>
        <v>0.64</v>
      </c>
      <c r="N259" s="4">
        <f t="shared" si="28"/>
        <v>0.64</v>
      </c>
      <c r="O259" s="4">
        <f t="shared" si="28"/>
        <v>0.64</v>
      </c>
      <c r="P259" s="4">
        <f t="shared" si="28"/>
        <v>0</v>
      </c>
      <c r="Q259" s="4">
        <f t="shared" si="28"/>
        <v>0</v>
      </c>
      <c r="R259" s="4">
        <f t="shared" si="28"/>
        <v>0</v>
      </c>
      <c r="S259" s="4">
        <f t="shared" si="28"/>
        <v>0</v>
      </c>
      <c r="T259" s="4">
        <f t="shared" si="28"/>
        <v>0</v>
      </c>
      <c r="U259" s="4">
        <f t="shared" si="28"/>
        <v>0</v>
      </c>
      <c r="V259" s="4">
        <f t="shared" si="28"/>
        <v>0</v>
      </c>
      <c r="W259" s="4">
        <f t="shared" si="28"/>
        <v>0</v>
      </c>
      <c r="X259" s="4">
        <f t="shared" si="28"/>
        <v>0</v>
      </c>
      <c r="Y259" s="4">
        <f t="shared" si="28"/>
        <v>0</v>
      </c>
      <c r="Z259" s="4">
        <f t="shared" si="28"/>
        <v>0</v>
      </c>
      <c r="AA259" s="4">
        <f t="shared" si="28"/>
        <v>0</v>
      </c>
      <c r="AB259" s="4">
        <f t="shared" si="28"/>
        <v>0</v>
      </c>
      <c r="AC259" s="4">
        <f t="shared" si="28"/>
        <v>0</v>
      </c>
      <c r="AD259" s="4">
        <f t="shared" si="28"/>
        <v>0</v>
      </c>
      <c r="AE259" s="4">
        <f t="shared" si="28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29">IF(B227&lt;100,"",B227-520)</f>
        <v/>
      </c>
      <c r="C260" s="3" t="str">
        <f t="shared" si="29"/>
        <v/>
      </c>
      <c r="D260" s="3" t="str">
        <f t="shared" si="29"/>
        <v/>
      </c>
      <c r="E260" s="3" t="str">
        <f t="shared" si="29"/>
        <v/>
      </c>
      <c r="F260" s="3" t="str">
        <f t="shared" si="29"/>
        <v/>
      </c>
      <c r="G260" s="3" t="str">
        <f t="shared" si="29"/>
        <v/>
      </c>
      <c r="H260" s="3" t="str">
        <f t="shared" si="29"/>
        <v/>
      </c>
      <c r="I260" s="3" t="str">
        <f t="shared" si="29"/>
        <v/>
      </c>
      <c r="J260" s="3" t="str">
        <f t="shared" si="29"/>
        <v/>
      </c>
      <c r="K260" s="3" t="str">
        <f t="shared" si="29"/>
        <v/>
      </c>
      <c r="L260" s="3" t="str">
        <f t="shared" si="29"/>
        <v/>
      </c>
      <c r="M260" s="3" t="str">
        <f t="shared" si="29"/>
        <v/>
      </c>
      <c r="N260" s="3" t="str">
        <f t="shared" si="29"/>
        <v/>
      </c>
      <c r="O260" s="3" t="str">
        <f t="shared" si="29"/>
        <v/>
      </c>
      <c r="P260" s="3" t="str">
        <f t="shared" si="29"/>
        <v/>
      </c>
      <c r="Q260" s="3" t="str">
        <f t="shared" si="29"/>
        <v/>
      </c>
      <c r="R260" s="3" t="str">
        <f t="shared" si="29"/>
        <v/>
      </c>
      <c r="S260" s="3" t="str">
        <f t="shared" si="29"/>
        <v/>
      </c>
      <c r="T260" s="3" t="str">
        <f t="shared" si="29"/>
        <v/>
      </c>
      <c r="U260" s="3" t="str">
        <f t="shared" si="29"/>
        <v/>
      </c>
      <c r="V260" s="3" t="str">
        <f t="shared" si="29"/>
        <v/>
      </c>
      <c r="W260" s="3" t="str">
        <f t="shared" si="29"/>
        <v/>
      </c>
      <c r="X260" s="3" t="str">
        <f t="shared" si="29"/>
        <v/>
      </c>
      <c r="Y260" s="3" t="str">
        <f t="shared" si="29"/>
        <v/>
      </c>
      <c r="Z260" s="3" t="str">
        <f t="shared" si="29"/>
        <v/>
      </c>
      <c r="AA260" s="3" t="str">
        <f t="shared" si="29"/>
        <v/>
      </c>
      <c r="AB260" s="3" t="str">
        <f t="shared" si="29"/>
        <v/>
      </c>
      <c r="AC260" s="3" t="str">
        <f t="shared" si="29"/>
        <v/>
      </c>
      <c r="AD260" s="3" t="str">
        <f t="shared" si="29"/>
        <v/>
      </c>
      <c r="AE260" s="3" t="str">
        <f t="shared" si="29"/>
        <v/>
      </c>
      <c r="AF260" s="3" t="str">
        <f t="shared" si="29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30">IF(B228&lt;100,"",B228-620)</f>
        <v/>
      </c>
      <c r="C261" s="3" t="str">
        <f t="shared" si="30"/>
        <v/>
      </c>
      <c r="D261" s="3" t="str">
        <f t="shared" si="30"/>
        <v/>
      </c>
      <c r="E261" s="3" t="str">
        <f t="shared" si="30"/>
        <v/>
      </c>
      <c r="F261" s="3" t="str">
        <f t="shared" si="30"/>
        <v/>
      </c>
      <c r="G261" s="3" t="str">
        <f t="shared" si="30"/>
        <v/>
      </c>
      <c r="H261" s="3" t="str">
        <f t="shared" si="30"/>
        <v/>
      </c>
      <c r="I261" s="3" t="str">
        <f t="shared" si="30"/>
        <v/>
      </c>
      <c r="J261" s="3" t="str">
        <f t="shared" si="30"/>
        <v/>
      </c>
      <c r="K261" s="3" t="str">
        <f t="shared" si="30"/>
        <v/>
      </c>
      <c r="L261" s="3" t="str">
        <f t="shared" si="30"/>
        <v/>
      </c>
      <c r="M261" s="3" t="str">
        <f t="shared" si="30"/>
        <v/>
      </c>
      <c r="N261" s="3" t="str">
        <f t="shared" si="30"/>
        <v/>
      </c>
      <c r="O261" s="3" t="str">
        <f t="shared" si="30"/>
        <v/>
      </c>
      <c r="P261" s="3" t="str">
        <f t="shared" si="30"/>
        <v/>
      </c>
      <c r="Q261" s="3" t="str">
        <f t="shared" si="30"/>
        <v/>
      </c>
      <c r="R261" s="3" t="str">
        <f t="shared" si="30"/>
        <v/>
      </c>
      <c r="S261" s="3" t="str">
        <f t="shared" si="30"/>
        <v/>
      </c>
      <c r="T261" s="3" t="str">
        <f t="shared" si="30"/>
        <v/>
      </c>
      <c r="U261" s="3" t="str">
        <f t="shared" si="30"/>
        <v/>
      </c>
      <c r="V261" s="3" t="str">
        <f t="shared" si="30"/>
        <v/>
      </c>
      <c r="W261" s="3" t="str">
        <f t="shared" si="30"/>
        <v/>
      </c>
      <c r="X261" s="3" t="str">
        <f t="shared" si="30"/>
        <v/>
      </c>
      <c r="Y261" s="3" t="str">
        <f t="shared" si="30"/>
        <v/>
      </c>
      <c r="Z261" s="3" t="str">
        <f t="shared" si="30"/>
        <v/>
      </c>
      <c r="AA261" s="3" t="str">
        <f t="shared" si="30"/>
        <v/>
      </c>
      <c r="AB261" s="3" t="str">
        <f t="shared" si="30"/>
        <v/>
      </c>
      <c r="AC261" s="3" t="str">
        <f t="shared" si="30"/>
        <v/>
      </c>
      <c r="AD261" s="3" t="str">
        <f t="shared" si="30"/>
        <v/>
      </c>
      <c r="AE261" s="3" t="str">
        <f t="shared" si="30"/>
        <v/>
      </c>
      <c r="AF261" s="3" t="str">
        <f t="shared" si="30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1">IF(B229&lt;100,"",B229-330)</f>
        <v/>
      </c>
      <c r="C262" s="3" t="str">
        <f t="shared" si="31"/>
        <v/>
      </c>
      <c r="D262" s="3" t="str">
        <f t="shared" si="31"/>
        <v/>
      </c>
      <c r="E262" s="3" t="str">
        <f t="shared" si="31"/>
        <v/>
      </c>
      <c r="F262" s="3" t="str">
        <f t="shared" si="31"/>
        <v/>
      </c>
      <c r="G262" s="3" t="str">
        <f t="shared" si="31"/>
        <v/>
      </c>
      <c r="H262" s="3" t="str">
        <f t="shared" si="31"/>
        <v/>
      </c>
      <c r="I262" s="3" t="str">
        <f t="shared" si="31"/>
        <v/>
      </c>
      <c r="J262" s="3" t="str">
        <f t="shared" si="31"/>
        <v/>
      </c>
      <c r="K262" s="3" t="str">
        <f t="shared" si="31"/>
        <v/>
      </c>
      <c r="L262" s="3" t="str">
        <f t="shared" si="31"/>
        <v/>
      </c>
      <c r="M262" s="3" t="str">
        <f t="shared" si="31"/>
        <v/>
      </c>
      <c r="N262" s="3" t="str">
        <f t="shared" si="31"/>
        <v/>
      </c>
      <c r="O262" s="3" t="str">
        <f t="shared" si="31"/>
        <v/>
      </c>
      <c r="P262" s="3" t="str">
        <f t="shared" si="31"/>
        <v/>
      </c>
      <c r="Q262" s="3" t="str">
        <f t="shared" si="31"/>
        <v/>
      </c>
      <c r="R262" s="3" t="str">
        <f t="shared" si="31"/>
        <v/>
      </c>
      <c r="S262" s="3" t="str">
        <f t="shared" si="31"/>
        <v/>
      </c>
      <c r="T262" s="3" t="str">
        <f t="shared" si="31"/>
        <v/>
      </c>
      <c r="U262" s="3" t="str">
        <f t="shared" si="31"/>
        <v/>
      </c>
      <c r="V262" s="3" t="str">
        <f t="shared" si="31"/>
        <v/>
      </c>
      <c r="W262" s="3" t="str">
        <f t="shared" si="31"/>
        <v/>
      </c>
      <c r="X262" s="3" t="str">
        <f t="shared" si="31"/>
        <v/>
      </c>
      <c r="Y262" s="3" t="str">
        <f t="shared" si="31"/>
        <v/>
      </c>
      <c r="Z262" s="3" t="str">
        <f t="shared" si="31"/>
        <v/>
      </c>
      <c r="AA262" s="3" t="str">
        <f t="shared" si="31"/>
        <v/>
      </c>
      <c r="AB262" s="3" t="str">
        <f t="shared" si="31"/>
        <v/>
      </c>
      <c r="AC262" s="3" t="str">
        <f t="shared" si="31"/>
        <v/>
      </c>
      <c r="AD262" s="3" t="str">
        <f t="shared" si="31"/>
        <v/>
      </c>
      <c r="AE262" s="3" t="str">
        <f t="shared" si="31"/>
        <v/>
      </c>
      <c r="AF262" s="3" t="str">
        <f t="shared" si="31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2">IF(B230&lt;100,"",B230-1500)</f>
        <v/>
      </c>
      <c r="C263" s="3" t="str">
        <f t="shared" si="32"/>
        <v/>
      </c>
      <c r="D263" s="3" t="str">
        <f t="shared" si="32"/>
        <v/>
      </c>
      <c r="E263" s="3" t="str">
        <f t="shared" si="32"/>
        <v/>
      </c>
      <c r="F263" s="3" t="str">
        <f t="shared" si="32"/>
        <v/>
      </c>
      <c r="G263" s="3" t="str">
        <f t="shared" si="32"/>
        <v/>
      </c>
      <c r="H263" s="3" t="str">
        <f t="shared" si="32"/>
        <v/>
      </c>
      <c r="I263" s="3" t="str">
        <f t="shared" si="32"/>
        <v/>
      </c>
      <c r="J263" s="3" t="str">
        <f t="shared" si="32"/>
        <v/>
      </c>
      <c r="K263" s="3" t="str">
        <f t="shared" si="32"/>
        <v/>
      </c>
      <c r="L263" s="3" t="str">
        <f t="shared" si="32"/>
        <v/>
      </c>
      <c r="M263" s="3" t="str">
        <f t="shared" si="32"/>
        <v/>
      </c>
      <c r="N263" s="3" t="str">
        <f t="shared" si="32"/>
        <v/>
      </c>
      <c r="O263" s="3" t="str">
        <f t="shared" si="32"/>
        <v/>
      </c>
      <c r="P263" s="3" t="str">
        <f t="shared" si="32"/>
        <v/>
      </c>
      <c r="Q263" s="3" t="str">
        <f t="shared" si="32"/>
        <v/>
      </c>
      <c r="R263" s="3" t="str">
        <f t="shared" si="32"/>
        <v/>
      </c>
      <c r="S263" s="3" t="str">
        <f t="shared" si="32"/>
        <v/>
      </c>
      <c r="T263" s="3" t="str">
        <f t="shared" si="32"/>
        <v/>
      </c>
      <c r="U263" s="3" t="str">
        <f t="shared" si="32"/>
        <v/>
      </c>
      <c r="V263" s="3" t="str">
        <f t="shared" si="32"/>
        <v/>
      </c>
      <c r="W263" s="3" t="str">
        <f t="shared" si="32"/>
        <v/>
      </c>
      <c r="X263" s="3" t="str">
        <f t="shared" si="32"/>
        <v/>
      </c>
      <c r="Y263" s="3" t="str">
        <f t="shared" si="32"/>
        <v/>
      </c>
      <c r="Z263" s="3" t="str">
        <f t="shared" si="32"/>
        <v/>
      </c>
      <c r="AA263" s="3" t="str">
        <f t="shared" si="32"/>
        <v/>
      </c>
      <c r="AB263" s="3" t="str">
        <f t="shared" si="32"/>
        <v/>
      </c>
      <c r="AC263" s="3" t="str">
        <f t="shared" si="32"/>
        <v/>
      </c>
      <c r="AD263" s="3" t="str">
        <f t="shared" si="32"/>
        <v/>
      </c>
      <c r="AE263" s="3" t="str">
        <f t="shared" si="32"/>
        <v/>
      </c>
      <c r="AF263" s="3" t="str">
        <f t="shared" si="32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9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B16:AF16 B20:AF23 T11:AF11 C101:AF101 C103:AF108">
    <cfRule type="expression" dxfId="6812" priority="275">
      <formula>B$9&gt;=20/24</formula>
    </cfRule>
    <cfRule type="expression" dxfId="6811" priority="276">
      <formula>AND(B$9&gt;=14/24,B$9&lt;20/24)</formula>
    </cfRule>
    <cfRule type="expression" dxfId="6810" priority="277">
      <formula>AND(B$9&gt;=8/24,B$9&lt;14/24)</formula>
    </cfRule>
    <cfRule type="expression" dxfId="6809" priority="278">
      <formula>B$9&lt;8/24</formula>
    </cfRule>
  </conditionalFormatting>
  <conditionalFormatting sqref="AL4:AL6">
    <cfRule type="iconSet" priority="274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6808" priority="270">
      <formula>S$9&gt;=20/24</formula>
    </cfRule>
    <cfRule type="expression" dxfId="6807" priority="271">
      <formula>AND(S$9&gt;=14/24,S$9&lt;20/24)</formula>
    </cfRule>
    <cfRule type="expression" dxfId="6806" priority="272">
      <formula>AND(S$9&gt;=8/24,S$9&lt;14/24)</formula>
    </cfRule>
    <cfRule type="expression" dxfId="6805" priority="273">
      <formula>S$9&lt;8/24</formula>
    </cfRule>
  </conditionalFormatting>
  <conditionalFormatting sqref="AG57 S39:AF39 B12:Q16 B37:AF37 B18:AF18 B20:AF23 R11:AF16">
    <cfRule type="expression" dxfId="6804" priority="269">
      <formula>B11&gt;$AG11</formula>
    </cfRule>
  </conditionalFormatting>
  <conditionalFormatting sqref="A91:A101 A11:A14 A51:A78 A87:A89 A194:A224 A38:A49 A110:A181 A34:A35 A83:A85 A80:A81 A103:A105 A31:A32 A18:A29 A16">
    <cfRule type="expression" dxfId="6803" priority="268">
      <formula>$AH11=0</formula>
    </cfRule>
  </conditionalFormatting>
  <conditionalFormatting sqref="A106">
    <cfRule type="expression" dxfId="6802" priority="267">
      <formula>$AH106=0</formula>
    </cfRule>
  </conditionalFormatting>
  <conditionalFormatting sqref="AL35">
    <cfRule type="iconSet" priority="266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801" priority="265">
      <formula>$AH37=0</formula>
    </cfRule>
  </conditionalFormatting>
  <conditionalFormatting sqref="A90">
    <cfRule type="expression" dxfId="6800" priority="264">
      <formula>$AH90=0</formula>
    </cfRule>
  </conditionalFormatting>
  <conditionalFormatting sqref="A15">
    <cfRule type="expression" dxfId="6799" priority="263">
      <formula>$AH15=0</formula>
    </cfRule>
  </conditionalFormatting>
  <conditionalFormatting sqref="A188:A193">
    <cfRule type="expression" dxfId="6798" priority="262">
      <formula>$AH188=0</formula>
    </cfRule>
  </conditionalFormatting>
  <conditionalFormatting sqref="A182:A187">
    <cfRule type="expression" dxfId="6797" priority="261">
      <formula>$AH182=0</formula>
    </cfRule>
  </conditionalFormatting>
  <conditionalFormatting sqref="A50">
    <cfRule type="expression" dxfId="6796" priority="260">
      <formula>$AH50=0</formula>
    </cfRule>
  </conditionalFormatting>
  <conditionalFormatting sqref="A86">
    <cfRule type="expression" dxfId="6795" priority="259">
      <formula>$AH86=0</formula>
    </cfRule>
  </conditionalFormatting>
  <conditionalFormatting sqref="D91:AF91">
    <cfRule type="expression" dxfId="6794" priority="255">
      <formula>D$9&gt;=20/24</formula>
    </cfRule>
    <cfRule type="expression" dxfId="6793" priority="256">
      <formula>AND(D$9&gt;=14/24,D$9&lt;20/24)</formula>
    </cfRule>
    <cfRule type="expression" dxfId="6792" priority="257">
      <formula>AND(D$9&gt;=8/24,D$9&lt;14/24)</formula>
    </cfRule>
    <cfRule type="expression" dxfId="6791" priority="258">
      <formula>D$9&lt;8/24</formula>
    </cfRule>
  </conditionalFormatting>
  <conditionalFormatting sqref="AL36">
    <cfRule type="iconSet" priority="25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790" priority="281">
      <formula>C$9&gt;=20/24</formula>
    </cfRule>
    <cfRule type="expression" dxfId="6789" priority="282">
      <formula>AND(C$9&gt;=14/24,C$9&lt;20/24)</formula>
    </cfRule>
    <cfRule type="expression" dxfId="6788" priority="283">
      <formula>AND(C$9&gt;=8/24,C$9&lt;14/24)</formula>
    </cfRule>
    <cfRule type="expression" dxfId="6787" priority="284">
      <formula>C$9&lt;8/24</formula>
    </cfRule>
  </conditionalFormatting>
  <conditionalFormatting sqref="A225">
    <cfRule type="expression" dxfId="6786" priority="285">
      <formula>$AH225=0</formula>
    </cfRule>
  </conditionalFormatting>
  <conditionalFormatting sqref="AG237">
    <cfRule type="expression" dxfId="6785" priority="286">
      <formula>B$9&gt;=20/24</formula>
    </cfRule>
    <cfRule type="expression" dxfId="6784" priority="287">
      <formula>AND(B$9&gt;=14/24,B$9&lt;20/24)</formula>
    </cfRule>
    <cfRule type="expression" dxfId="6783" priority="288">
      <formula>AND(B$9&gt;=8/24,B$9&lt;14/24)</formula>
    </cfRule>
    <cfRule type="expression" dxfId="6782" priority="289">
      <formula>B$9&lt;8/24</formula>
    </cfRule>
  </conditionalFormatting>
  <conditionalFormatting sqref="S8">
    <cfRule type="expression" dxfId="6781" priority="250">
      <formula>U$9&gt;=20/24</formula>
    </cfRule>
    <cfRule type="expression" dxfId="6780" priority="251">
      <formula>AND(U$9&gt;=14/24,U$9&lt;20/24)</formula>
    </cfRule>
    <cfRule type="expression" dxfId="6779" priority="252">
      <formula>AND(U$9&gt;=8/24,U$9&lt;14/24)</formula>
    </cfRule>
    <cfRule type="expression" dxfId="6778" priority="253">
      <formula>U$9&lt;8/24</formula>
    </cfRule>
  </conditionalFormatting>
  <conditionalFormatting sqref="AB8">
    <cfRule type="expression" dxfId="6777" priority="246">
      <formula>AD$9&gt;=20/24</formula>
    </cfRule>
    <cfRule type="expression" dxfId="6776" priority="247">
      <formula>AND(AD$9&gt;=14/24,AD$9&lt;20/24)</formula>
    </cfRule>
    <cfRule type="expression" dxfId="6775" priority="248">
      <formula>AND(AD$9&gt;=8/24,AD$9&lt;14/24)</formula>
    </cfRule>
    <cfRule type="expression" dxfId="6774" priority="249">
      <formula>AD$9&lt;8/24</formula>
    </cfRule>
  </conditionalFormatting>
  <conditionalFormatting sqref="AH237:AX237">
    <cfRule type="expression" dxfId="6773" priority="290">
      <formula>AG$9&gt;=20/24</formula>
    </cfRule>
    <cfRule type="expression" dxfId="6772" priority="291">
      <formula>AND(AG$9&gt;=14/24,AG$9&lt;20/24)</formula>
    </cfRule>
    <cfRule type="expression" dxfId="6771" priority="292">
      <formula>AND(AG$9&gt;=8/24,AG$9&lt;14/24)</formula>
    </cfRule>
    <cfRule type="expression" dxfId="6770" priority="293">
      <formula>AG$9&lt;8/24</formula>
    </cfRule>
  </conditionalFormatting>
  <conditionalFormatting sqref="T237">
    <cfRule type="expression" dxfId="6769" priority="294">
      <formula>AX$9&gt;=20/24</formula>
    </cfRule>
    <cfRule type="expression" dxfId="6768" priority="295">
      <formula>AND(AX$9&gt;=14/24,AX$9&lt;20/24)</formula>
    </cfRule>
    <cfRule type="expression" dxfId="6767" priority="296">
      <formula>AND(AX$9&gt;=8/24,AX$9&lt;14/24)</formula>
    </cfRule>
    <cfRule type="expression" dxfId="6766" priority="297">
      <formula>AX$9&lt;8/24</formula>
    </cfRule>
  </conditionalFormatting>
  <conditionalFormatting sqref="A107:A108">
    <cfRule type="expression" dxfId="6765" priority="245">
      <formula>$AH107=0</formula>
    </cfRule>
  </conditionalFormatting>
  <conditionalFormatting sqref="E63:O63 R63:AF63 Y46:AF47">
    <cfRule type="expression" dxfId="6764" priority="241">
      <formula>E$9&gt;=20/24</formula>
    </cfRule>
    <cfRule type="expression" dxfId="6763" priority="242">
      <formula>AND(E$9&gt;=14/24,E$9&lt;20/24)</formula>
    </cfRule>
    <cfRule type="expression" dxfId="6762" priority="243">
      <formula>AND(E$9&gt;=8/24,E$9&lt;14/24)</formula>
    </cfRule>
    <cfRule type="expression" dxfId="6761" priority="244">
      <formula>E$9&lt;8/24</formula>
    </cfRule>
  </conditionalFormatting>
  <conditionalFormatting sqref="Y45:AF45">
    <cfRule type="expression" dxfId="6760" priority="237">
      <formula>Y$9&gt;=20/24</formula>
    </cfRule>
    <cfRule type="expression" dxfId="6759" priority="238">
      <formula>AND(Y$9&gt;=14/24,Y$9&lt;20/24)</formula>
    </cfRule>
    <cfRule type="expression" dxfId="6758" priority="239">
      <formula>AND(Y$9&gt;=8/24,Y$9&lt;14/24)</formula>
    </cfRule>
    <cfRule type="expression" dxfId="6757" priority="240">
      <formula>Y$9&lt;8/24</formula>
    </cfRule>
  </conditionalFormatting>
  <conditionalFormatting sqref="Y45:AF47">
    <cfRule type="expression" dxfId="6756" priority="236">
      <formula>Y45&gt;$AG45</formula>
    </cfRule>
  </conditionalFormatting>
  <conditionalFormatting sqref="C88:AF88 E64:K64 L64:O65 M39:R39 R11:X14 R65:X65 Y64:AF73 C75:AF78 T38:AF38 Y25:AF26 Y29:AF29 Y18:AF18 Y31:AF34 Y12:AF14 AB27:AF27 D92:AF98 S59:AF61">
    <cfRule type="expression" dxfId="6755" priority="232">
      <formula>C$9&gt;=20/24</formula>
    </cfRule>
    <cfRule type="expression" dxfId="6754" priority="233">
      <formula>AND(C$9&gt;=14/24,C$9&lt;20/24)</formula>
    </cfRule>
    <cfRule type="expression" dxfId="6753" priority="234">
      <formula>AND(C$9&gt;=8/24,C$9&lt;14/24)</formula>
    </cfRule>
    <cfRule type="expression" dxfId="6752" priority="235">
      <formula>C$9&lt;8/24</formula>
    </cfRule>
  </conditionalFormatting>
  <conditionalFormatting sqref="Y35:AF35">
    <cfRule type="expression" dxfId="6751" priority="228">
      <formula>Y$9&gt;=20/24</formula>
    </cfRule>
    <cfRule type="expression" dxfId="6750" priority="229">
      <formula>AND(Y$9&gt;=14/24,Y$9&lt;20/24)</formula>
    </cfRule>
    <cfRule type="expression" dxfId="6749" priority="230">
      <formula>AND(Y$9&gt;=8/24,Y$9&lt;14/24)</formula>
    </cfRule>
    <cfRule type="expression" dxfId="6748" priority="231">
      <formula>Y$9&lt;8/24</formula>
    </cfRule>
  </conditionalFormatting>
  <conditionalFormatting sqref="AF48:AF49 C57:AF57 M39:R39 R11:X11 T38:AF38 Y25:AF26 Y31:AF35 Y28:AF29 AB27:AF27 S59:AF61">
    <cfRule type="expression" dxfId="6747" priority="227">
      <formula>C11&gt;$AG11</formula>
    </cfRule>
  </conditionalFormatting>
  <conditionalFormatting sqref="Y37:AF37">
    <cfRule type="expression" dxfId="6746" priority="223">
      <formula>Y$9&gt;=20/24</formula>
    </cfRule>
    <cfRule type="expression" dxfId="6745" priority="224">
      <formula>AND(Y$9&gt;=14/24,Y$9&lt;20/24)</formula>
    </cfRule>
    <cfRule type="expression" dxfId="6744" priority="225">
      <formula>AND(Y$9&gt;=8/24,Y$9&lt;14/24)</formula>
    </cfRule>
    <cfRule type="expression" dxfId="6743" priority="226">
      <formula>Y$9&lt;8/24</formula>
    </cfRule>
  </conditionalFormatting>
  <conditionalFormatting sqref="R15:AF15">
    <cfRule type="expression" dxfId="6742" priority="219">
      <formula>R$9&gt;=20/24</formula>
    </cfRule>
    <cfRule type="expression" dxfId="6741" priority="220">
      <formula>AND(R$9&gt;=14/24,R$9&lt;20/24)</formula>
    </cfRule>
    <cfRule type="expression" dxfId="6740" priority="221">
      <formula>AND(R$9&gt;=8/24,R$9&lt;14/24)</formula>
    </cfRule>
    <cfRule type="expression" dxfId="6739" priority="222">
      <formula>R$9&lt;8/24</formula>
    </cfRule>
  </conditionalFormatting>
  <conditionalFormatting sqref="Y36:AF36">
    <cfRule type="expression" dxfId="6738" priority="215">
      <formula>Y$9&gt;=20/24</formula>
    </cfRule>
    <cfRule type="expression" dxfId="6737" priority="216">
      <formula>AND(Y$9&gt;=14/24,Y$9&lt;20/24)</formula>
    </cfRule>
    <cfRule type="expression" dxfId="6736" priority="217">
      <formula>AND(Y$9&gt;=8/24,Y$9&lt;14/24)</formula>
    </cfRule>
    <cfRule type="expression" dxfId="6735" priority="218">
      <formula>Y$9&lt;8/24</formula>
    </cfRule>
  </conditionalFormatting>
  <conditionalFormatting sqref="Y36:AF36">
    <cfRule type="expression" dxfId="6734" priority="214">
      <formula>Y36&gt;$AG36</formula>
    </cfRule>
  </conditionalFormatting>
  <conditionalFormatting sqref="AF50:AF56 Y48:AE49 AB56:AE56">
    <cfRule type="expression" dxfId="6733" priority="210">
      <formula>Y$9&gt;=20/24</formula>
    </cfRule>
    <cfRule type="expression" dxfId="6732" priority="211">
      <formula>AND(Y$9&gt;=14/24,Y$9&lt;20/24)</formula>
    </cfRule>
    <cfRule type="expression" dxfId="6731" priority="212">
      <formula>AND(Y$9&gt;=8/24,Y$9&lt;14/24)</formula>
    </cfRule>
    <cfRule type="expression" dxfId="6730" priority="213">
      <formula>Y$9&lt;8/24</formula>
    </cfRule>
  </conditionalFormatting>
  <conditionalFormatting sqref="AF50:AF56 Y48:AE49 AB56:AE56">
    <cfRule type="expression" dxfId="6729" priority="209">
      <formula>Y48&gt;$AG48</formula>
    </cfRule>
  </conditionalFormatting>
  <conditionalFormatting sqref="O45:O49 R45:X49 Y50:AE51">
    <cfRule type="expression" dxfId="6728" priority="205">
      <formula>O$9&gt;=20/24</formula>
    </cfRule>
    <cfRule type="expression" dxfId="6727" priority="206">
      <formula>AND(O$9&gt;=14/24,O$9&lt;20/24)</formula>
    </cfRule>
    <cfRule type="expression" dxfId="6726" priority="207">
      <formula>AND(O$9&gt;=8/24,O$9&lt;14/24)</formula>
    </cfRule>
    <cfRule type="expression" dxfId="6725" priority="208">
      <formula>O$9&lt;8/24</formula>
    </cfRule>
  </conditionalFormatting>
  <conditionalFormatting sqref="O45:O49 R45:X49 Y50:AE51">
    <cfRule type="expression" dxfId="6724" priority="204">
      <formula>O45&gt;$AG45</formula>
    </cfRule>
  </conditionalFormatting>
  <conditionalFormatting sqref="Y28:AF28">
    <cfRule type="expression" dxfId="6723" priority="200">
      <formula>Y$9&gt;=20/24</formula>
    </cfRule>
    <cfRule type="expression" dxfId="6722" priority="201">
      <formula>AND(Y$9&gt;=14/24,Y$9&lt;20/24)</formula>
    </cfRule>
    <cfRule type="expression" dxfId="6721" priority="202">
      <formula>AND(Y$9&gt;=8/24,Y$9&lt;14/24)</formula>
    </cfRule>
    <cfRule type="expression" dxfId="6720" priority="203">
      <formula>Y$9&lt;8/24</formula>
    </cfRule>
  </conditionalFormatting>
  <conditionalFormatting sqref="Y19:AF19 Y24:AF24">
    <cfRule type="expression" dxfId="6719" priority="196">
      <formula>Y$9&gt;=20/24</formula>
    </cfRule>
    <cfRule type="expression" dxfId="6718" priority="197">
      <formula>AND(Y$9&gt;=14/24,Y$9&lt;20/24)</formula>
    </cfRule>
    <cfRule type="expression" dxfId="6717" priority="198">
      <formula>AND(Y$9&gt;=8/24,Y$9&lt;14/24)</formula>
    </cfRule>
    <cfRule type="expression" dxfId="6716" priority="199">
      <formula>Y$9&lt;8/24</formula>
    </cfRule>
  </conditionalFormatting>
  <conditionalFormatting sqref="Y19:AF19 Y24:AF24">
    <cfRule type="expression" dxfId="6715" priority="195">
      <formula>Y19&gt;$AG19</formula>
    </cfRule>
  </conditionalFormatting>
  <conditionalFormatting sqref="B101 B80:AF80 B89:AF89 B103:B108 B11:Q11">
    <cfRule type="expression" dxfId="6714" priority="177">
      <formula>B$9&gt;=20/24</formula>
    </cfRule>
    <cfRule type="expression" dxfId="6713" priority="178">
      <formula>AND(B$9&gt;=14/24,B$9&lt;20/24)</formula>
    </cfRule>
    <cfRule type="expression" dxfId="6712" priority="179">
      <formula>AND(B$9&gt;=8/24,B$9&lt;14/24)</formula>
    </cfRule>
    <cfRule type="expression" dxfId="6711" priority="180">
      <formula>B$9&lt;8/24</formula>
    </cfRule>
  </conditionalFormatting>
  <conditionalFormatting sqref="B39:L39">
    <cfRule type="expression" dxfId="6710" priority="173">
      <formula>B$9&gt;=20/24</formula>
    </cfRule>
    <cfRule type="expression" dxfId="6709" priority="174">
      <formula>AND(B$9&gt;=14/24,B$9&lt;20/24)</formula>
    </cfRule>
    <cfRule type="expression" dxfId="6708" priority="175">
      <formula>AND(B$9&gt;=8/24,B$9&lt;14/24)</formula>
    </cfRule>
    <cfRule type="expression" dxfId="6707" priority="176">
      <formula>B$9&lt;8/24</formula>
    </cfRule>
  </conditionalFormatting>
  <conditionalFormatting sqref="B39:L39 B11:Q11">
    <cfRule type="expression" dxfId="6706" priority="172">
      <formula>B11&gt;$AG11</formula>
    </cfRule>
  </conditionalFormatting>
  <conditionalFormatting sqref="B91:C91">
    <cfRule type="expression" dxfId="6705" priority="168">
      <formula>B$9&gt;=20/24</formula>
    </cfRule>
    <cfRule type="expression" dxfId="6704" priority="169">
      <formula>AND(B$9&gt;=14/24,B$9&lt;20/24)</formula>
    </cfRule>
    <cfRule type="expression" dxfId="6703" priority="170">
      <formula>AND(B$9&gt;=8/24,B$9&lt;14/24)</formula>
    </cfRule>
    <cfRule type="expression" dxfId="6702" priority="171">
      <formula>B$9&lt;8/24</formula>
    </cfRule>
  </conditionalFormatting>
  <conditionalFormatting sqref="B63:D63 B46:N47 B38:S38">
    <cfRule type="expression" dxfId="6701" priority="164">
      <formula>B$9&gt;=20/24</formula>
    </cfRule>
    <cfRule type="expression" dxfId="6700" priority="165">
      <formula>AND(B$9&gt;=14/24,B$9&lt;20/24)</formula>
    </cfRule>
    <cfRule type="expression" dxfId="6699" priority="166">
      <formula>AND(B$9&gt;=8/24,B$9&lt;14/24)</formula>
    </cfRule>
    <cfRule type="expression" dxfId="6698" priority="167">
      <formula>B$9&lt;8/24</formula>
    </cfRule>
  </conditionalFormatting>
  <conditionalFormatting sqref="B45:N45">
    <cfRule type="expression" dxfId="6697" priority="160">
      <formula>B$9&gt;=20/24</formula>
    </cfRule>
    <cfRule type="expression" dxfId="6696" priority="161">
      <formula>AND(B$9&gt;=14/24,B$9&lt;20/24)</formula>
    </cfRule>
    <cfRule type="expression" dxfId="6695" priority="162">
      <formula>AND(B$9&gt;=8/24,B$9&lt;14/24)</formula>
    </cfRule>
    <cfRule type="expression" dxfId="6694" priority="163">
      <formula>B$9&lt;8/24</formula>
    </cfRule>
  </conditionalFormatting>
  <conditionalFormatting sqref="B45:N47 B38:S38">
    <cfRule type="expression" dxfId="6693" priority="159">
      <formula>B38&gt;$AG38</formula>
    </cfRule>
  </conditionalFormatting>
  <conditionalFormatting sqref="B59:B62 B75:B79 B81:AF81 B88 C62:AG62 C79:AG79 B90:AF90 B64:D64 B92:C98 B65:K73 L66:O73 B12:Q14 C59:R61 B18:X18 B29:X29 B31:X34 B25:X26 B27:AA27">
    <cfRule type="expression" dxfId="6692" priority="155">
      <formula>B$9&gt;=20/24</formula>
    </cfRule>
    <cfRule type="expression" dxfId="6691" priority="156">
      <formula>AND(B$9&gt;=14/24,B$9&lt;20/24)</formula>
    </cfRule>
    <cfRule type="expression" dxfId="6690" priority="157">
      <formula>AND(B$9&gt;=8/24,B$9&lt;14/24)</formula>
    </cfRule>
    <cfRule type="expression" dxfId="6689" priority="158">
      <formula>B$9&lt;8/24</formula>
    </cfRule>
  </conditionalFormatting>
  <conditionalFormatting sqref="B35:X35">
    <cfRule type="expression" dxfId="6688" priority="151">
      <formula>B$9&gt;=20/24</formula>
    </cfRule>
    <cfRule type="expression" dxfId="6687" priority="152">
      <formula>AND(B$9&gt;=14/24,B$9&lt;20/24)</formula>
    </cfRule>
    <cfRule type="expression" dxfId="6686" priority="153">
      <formula>AND(B$9&gt;=8/24,B$9&lt;14/24)</formula>
    </cfRule>
    <cfRule type="expression" dxfId="6685" priority="154">
      <formula>B$9&lt;8/24</formula>
    </cfRule>
  </conditionalFormatting>
  <conditionalFormatting sqref="B57:B62 B40:AG40 C58:AG58 C62:AG62 B48:N49 C59:R61 B31:X35 B25:X26 B28:X29 B27:AA27">
    <cfRule type="expression" dxfId="6684" priority="150">
      <formula>B25&gt;$AG25</formula>
    </cfRule>
  </conditionalFormatting>
  <conditionalFormatting sqref="B37:X37">
    <cfRule type="expression" dxfId="6683" priority="146">
      <formula>B$9&gt;=20/24</formula>
    </cfRule>
    <cfRule type="expression" dxfId="6682" priority="147">
      <formula>AND(B$9&gt;=14/24,B$9&lt;20/24)</formula>
    </cfRule>
    <cfRule type="expression" dxfId="6681" priority="148">
      <formula>AND(B$9&gt;=8/24,B$9&lt;14/24)</formula>
    </cfRule>
    <cfRule type="expression" dxfId="6680" priority="149">
      <formula>B$9&lt;8/24</formula>
    </cfRule>
  </conditionalFormatting>
  <conditionalFormatting sqref="B15:Q15">
    <cfRule type="expression" dxfId="6679" priority="142">
      <formula>B$9&gt;=20/24</formula>
    </cfRule>
    <cfRule type="expression" dxfId="6678" priority="143">
      <formula>AND(B$9&gt;=14/24,B$9&lt;20/24)</formula>
    </cfRule>
    <cfRule type="expression" dxfId="6677" priority="144">
      <formula>AND(B$9&gt;=8/24,B$9&lt;14/24)</formula>
    </cfRule>
    <cfRule type="expression" dxfId="6676" priority="145">
      <formula>B$9&lt;8/24</formula>
    </cfRule>
  </conditionalFormatting>
  <conditionalFormatting sqref="B36:X36">
    <cfRule type="expression" dxfId="6675" priority="138">
      <formula>B$9&gt;=20/24</formula>
    </cfRule>
    <cfRule type="expression" dxfId="6674" priority="139">
      <formula>AND(B$9&gt;=14/24,B$9&lt;20/24)</formula>
    </cfRule>
    <cfRule type="expression" dxfId="6673" priority="140">
      <formula>AND(B$9&gt;=8/24,B$9&lt;14/24)</formula>
    </cfRule>
    <cfRule type="expression" dxfId="6672" priority="141">
      <formula>B$9&lt;8/24</formula>
    </cfRule>
  </conditionalFormatting>
  <conditionalFormatting sqref="B36:X36">
    <cfRule type="expression" dxfId="6671" priority="137">
      <formula>B36&gt;$AG36</formula>
    </cfRule>
  </conditionalFormatting>
  <conditionalFormatting sqref="B50:O56">
    <cfRule type="expression" dxfId="6670" priority="133">
      <formula>B$9&gt;=20/24</formula>
    </cfRule>
    <cfRule type="expression" dxfId="6669" priority="134">
      <formula>AND(B$9&gt;=14/24,B$9&lt;20/24)</formula>
    </cfRule>
    <cfRule type="expression" dxfId="6668" priority="135">
      <formula>AND(B$9&gt;=8/24,B$9&lt;14/24)</formula>
    </cfRule>
    <cfRule type="expression" dxfId="6667" priority="136">
      <formula>B$9&lt;8/24</formula>
    </cfRule>
  </conditionalFormatting>
  <conditionalFormatting sqref="B50:O56">
    <cfRule type="expression" dxfId="6666" priority="132">
      <formula>B50&gt;$AG50</formula>
    </cfRule>
  </conditionalFormatting>
  <conditionalFormatting sqref="B28:X28">
    <cfRule type="expression" dxfId="6665" priority="128">
      <formula>B$9&gt;=20/24</formula>
    </cfRule>
    <cfRule type="expression" dxfId="6664" priority="129">
      <formula>AND(B$9&gt;=14/24,B$9&lt;20/24)</formula>
    </cfRule>
    <cfRule type="expression" dxfId="6663" priority="130">
      <formula>AND(B$9&gt;=8/24,B$9&lt;14/24)</formula>
    </cfRule>
    <cfRule type="expression" dxfId="6662" priority="131">
      <formula>B$9&lt;8/24</formula>
    </cfRule>
  </conditionalFormatting>
  <conditionalFormatting sqref="B19:X19 B24:X24">
    <cfRule type="expression" dxfId="6661" priority="124">
      <formula>B$9&gt;=20/24</formula>
    </cfRule>
    <cfRule type="expression" dxfId="6660" priority="125">
      <formula>AND(B$9&gt;=14/24,B$9&lt;20/24)</formula>
    </cfRule>
    <cfRule type="expression" dxfId="6659" priority="126">
      <formula>AND(B$9&gt;=8/24,B$9&lt;14/24)</formula>
    </cfRule>
    <cfRule type="expression" dxfId="6658" priority="127">
      <formula>B$9&lt;8/24</formula>
    </cfRule>
  </conditionalFormatting>
  <conditionalFormatting sqref="B19:X19 B24:X24">
    <cfRule type="expression" dxfId="6657" priority="123">
      <formula>B19&gt;$AG19</formula>
    </cfRule>
  </conditionalFormatting>
  <conditionalFormatting sqref="A36">
    <cfRule type="expression" dxfId="6656" priority="122">
      <formula>$AH36=0</formula>
    </cfRule>
  </conditionalFormatting>
  <conditionalFormatting sqref="B74:AF74">
    <cfRule type="expression" dxfId="6655" priority="118">
      <formula>B$9&gt;=20/24</formula>
    </cfRule>
    <cfRule type="expression" dxfId="6654" priority="119">
      <formula>AND(B$9&gt;=14/24,B$9&lt;20/24)</formula>
    </cfRule>
    <cfRule type="expression" dxfId="6653" priority="120">
      <formula>AND(B$9&gt;=8/24,B$9&lt;14/24)</formula>
    </cfRule>
    <cfRule type="expression" dxfId="6652" priority="121">
      <formula>B$9&lt;8/24</formula>
    </cfRule>
  </conditionalFormatting>
  <conditionalFormatting sqref="B83:AF87">
    <cfRule type="expression" dxfId="6651" priority="114">
      <formula>B$9&gt;=20/24</formula>
    </cfRule>
    <cfRule type="expression" dxfId="6650" priority="115">
      <formula>AND(B$9&gt;=14/24,B$9&lt;20/24)</formula>
    </cfRule>
    <cfRule type="expression" dxfId="6649" priority="116">
      <formula>AND(B$9&gt;=8/24,B$9&lt;14/24)</formula>
    </cfRule>
    <cfRule type="expression" dxfId="6648" priority="117">
      <formula>B$9&lt;8/24</formula>
    </cfRule>
  </conditionalFormatting>
  <conditionalFormatting sqref="AL37 AL34 AL18:AL29 AL7:AL16 AL31:AL32">
    <cfRule type="iconSet" priority="298">
      <iconSet iconSet="3TrafficLights2" reverse="1">
        <cfvo type="percent" val="0"/>
        <cfvo type="num" val="1"/>
        <cfvo type="num" val="1"/>
      </iconSet>
    </cfRule>
  </conditionalFormatting>
  <conditionalFormatting sqref="O41:O43 Y41:AF43">
    <cfRule type="expression" dxfId="6647" priority="110">
      <formula>O$9&gt;=20/24</formula>
    </cfRule>
    <cfRule type="expression" dxfId="6646" priority="111">
      <formula>AND(O$9&gt;=14/24,O$9&lt;20/24)</formula>
    </cfRule>
    <cfRule type="expression" dxfId="6645" priority="112">
      <formula>AND(O$9&gt;=8/24,O$9&lt;14/24)</formula>
    </cfRule>
    <cfRule type="expression" dxfId="6644" priority="113">
      <formula>O$9&lt;8/24</formula>
    </cfRule>
  </conditionalFormatting>
  <conditionalFormatting sqref="O41:O43 Y41:AF43">
    <cfRule type="expression" dxfId="6643" priority="109">
      <formula>O41&gt;$AG41</formula>
    </cfRule>
  </conditionalFormatting>
  <conditionalFormatting sqref="B41:B44 C44:AG44 C41:N43">
    <cfRule type="expression" dxfId="6642" priority="105">
      <formula>B$9&gt;=20/24</formula>
    </cfRule>
    <cfRule type="expression" dxfId="6641" priority="106">
      <formula>AND(B$9&gt;=14/24,B$9&lt;20/24)</formula>
    </cfRule>
    <cfRule type="expression" dxfId="6640" priority="107">
      <formula>AND(B$9&gt;=8/24,B$9&lt;14/24)</formula>
    </cfRule>
    <cfRule type="expression" dxfId="6639" priority="108">
      <formula>B$9&lt;8/24</formula>
    </cfRule>
  </conditionalFormatting>
  <conditionalFormatting sqref="B41:B44 C44:AG44 C41:N43">
    <cfRule type="expression" dxfId="6638" priority="104">
      <formula>B41&gt;$AG41</formula>
    </cfRule>
  </conditionalFormatting>
  <conditionalFormatting sqref="C99:AF99">
    <cfRule type="expression" dxfId="6637" priority="100">
      <formula>C$9&gt;=20/24</formula>
    </cfRule>
    <cfRule type="expression" dxfId="6636" priority="101">
      <formula>AND(C$9&gt;=14/24,C$9&lt;20/24)</formula>
    </cfRule>
    <cfRule type="expression" dxfId="6635" priority="102">
      <formula>AND(C$9&gt;=8/24,C$9&lt;14/24)</formula>
    </cfRule>
    <cfRule type="expression" dxfId="6634" priority="103">
      <formula>C$9&lt;8/24</formula>
    </cfRule>
  </conditionalFormatting>
  <conditionalFormatting sqref="B99">
    <cfRule type="expression" dxfId="6633" priority="96">
      <formula>B$9&gt;=20/24</formula>
    </cfRule>
    <cfRule type="expression" dxfId="6632" priority="97">
      <formula>AND(B$9&gt;=14/24,B$9&lt;20/24)</formula>
    </cfRule>
    <cfRule type="expression" dxfId="6631" priority="98">
      <formula>AND(B$9&gt;=8/24,B$9&lt;14/24)</formula>
    </cfRule>
    <cfRule type="expression" dxfId="6630" priority="99">
      <formula>B$9&lt;8/24</formula>
    </cfRule>
  </conditionalFormatting>
  <conditionalFormatting sqref="AL33">
    <cfRule type="iconSet" priority="95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6629" priority="90">
      <formula>$AH33=0</formula>
    </cfRule>
  </conditionalFormatting>
  <conditionalFormatting sqref="A82">
    <cfRule type="expression" dxfId="6628" priority="88">
      <formula>$AH82=0</formula>
    </cfRule>
  </conditionalFormatting>
  <conditionalFormatting sqref="A79">
    <cfRule type="expression" dxfId="6627" priority="89">
      <formula>$AH79=0</formula>
    </cfRule>
  </conditionalFormatting>
  <conditionalFormatting sqref="A109">
    <cfRule type="expression" dxfId="6626" priority="79">
      <formula>$AH109=0</formula>
    </cfRule>
  </conditionalFormatting>
  <conditionalFormatting sqref="C102:AF102">
    <cfRule type="expression" dxfId="6625" priority="75">
      <formula>C$9&gt;=20/24</formula>
    </cfRule>
    <cfRule type="expression" dxfId="6624" priority="76">
      <formula>AND(C$9&gt;=14/24,C$9&lt;20/24)</formula>
    </cfRule>
    <cfRule type="expression" dxfId="6623" priority="77">
      <formula>AND(C$9&gt;=8/24,C$9&lt;14/24)</formula>
    </cfRule>
    <cfRule type="expression" dxfId="6622" priority="78">
      <formula>C$9&lt;8/24</formula>
    </cfRule>
  </conditionalFormatting>
  <conditionalFormatting sqref="A102">
    <cfRule type="expression" dxfId="6621" priority="74">
      <formula>$AH102=0</formula>
    </cfRule>
  </conditionalFormatting>
  <conditionalFormatting sqref="B102">
    <cfRule type="expression" dxfId="6620" priority="70">
      <formula>B$9&gt;=20/24</formula>
    </cfRule>
    <cfRule type="expression" dxfId="6619" priority="71">
      <formula>AND(B$9&gt;=14/24,B$9&lt;20/24)</formula>
    </cfRule>
    <cfRule type="expression" dxfId="6618" priority="72">
      <formula>AND(B$9&gt;=8/24,B$9&lt;14/24)</formula>
    </cfRule>
    <cfRule type="expression" dxfId="6617" priority="73">
      <formula>B$9&lt;8/24</formula>
    </cfRule>
  </conditionalFormatting>
  <conditionalFormatting sqref="Y52:AE55 Y56:AA56">
    <cfRule type="expression" dxfId="6616" priority="66">
      <formula>Y$9&gt;=20/24</formula>
    </cfRule>
    <cfRule type="expression" dxfId="6615" priority="67">
      <formula>AND(Y$9&gt;=14/24,Y$9&lt;20/24)</formula>
    </cfRule>
    <cfRule type="expression" dxfId="6614" priority="68">
      <formula>AND(Y$9&gt;=8/24,Y$9&lt;14/24)</formula>
    </cfRule>
    <cfRule type="expression" dxfId="6613" priority="69">
      <formula>Y$9&lt;8/24</formula>
    </cfRule>
  </conditionalFormatting>
  <conditionalFormatting sqref="Y52:AE55 Y56:AA56">
    <cfRule type="expression" dxfId="6612" priority="65">
      <formula>Y52&gt;$AG52</formula>
    </cfRule>
  </conditionalFormatting>
  <conditionalFormatting sqref="B17:AF17">
    <cfRule type="expression" dxfId="6611" priority="63">
      <formula>B17&gt;$AG17</formula>
    </cfRule>
  </conditionalFormatting>
  <conditionalFormatting sqref="A17">
    <cfRule type="expression" dxfId="6610" priority="62">
      <formula>$AH17=0</formula>
    </cfRule>
  </conditionalFormatting>
  <conditionalFormatting sqref="R17:AF17">
    <cfRule type="expression" dxfId="6609" priority="58">
      <formula>R$9&gt;=20/24</formula>
    </cfRule>
    <cfRule type="expression" dxfId="6608" priority="59">
      <formula>AND(R$9&gt;=14/24,R$9&lt;20/24)</formula>
    </cfRule>
    <cfRule type="expression" dxfId="6607" priority="60">
      <formula>AND(R$9&gt;=8/24,R$9&lt;14/24)</formula>
    </cfRule>
    <cfRule type="expression" dxfId="6606" priority="61">
      <formula>R$9&lt;8/24</formula>
    </cfRule>
  </conditionalFormatting>
  <conditionalFormatting sqref="B17:Q17">
    <cfRule type="expression" dxfId="6605" priority="54">
      <formula>B$9&gt;=20/24</formula>
    </cfRule>
    <cfRule type="expression" dxfId="6604" priority="55">
      <formula>AND(B$9&gt;=14/24,B$9&lt;20/24)</formula>
    </cfRule>
    <cfRule type="expression" dxfId="6603" priority="56">
      <formula>AND(B$9&gt;=8/24,B$9&lt;14/24)</formula>
    </cfRule>
    <cfRule type="expression" dxfId="6602" priority="57">
      <formula>B$9&lt;8/24</formula>
    </cfRule>
  </conditionalFormatting>
  <conditionalFormatting sqref="AL17">
    <cfRule type="iconSet" priority="64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6601" priority="52">
      <formula>$AH30=0</formula>
    </cfRule>
  </conditionalFormatting>
  <conditionalFormatting sqref="Y30:AF30">
    <cfRule type="expression" dxfId="6600" priority="48">
      <formula>Y$9&gt;=20/24</formula>
    </cfRule>
    <cfRule type="expression" dxfId="6599" priority="49">
      <formula>AND(Y$9&gt;=14/24,Y$9&lt;20/24)</formula>
    </cfRule>
    <cfRule type="expression" dxfId="6598" priority="50">
      <formula>AND(Y$9&gt;=8/24,Y$9&lt;14/24)</formula>
    </cfRule>
    <cfRule type="expression" dxfId="6597" priority="51">
      <formula>Y$9&lt;8/24</formula>
    </cfRule>
  </conditionalFormatting>
  <conditionalFormatting sqref="Y30:AF30">
    <cfRule type="expression" dxfId="6596" priority="47">
      <formula>Y30&gt;$AG30</formula>
    </cfRule>
  </conditionalFormatting>
  <conditionalFormatting sqref="B30:X30">
    <cfRule type="expression" dxfId="6595" priority="38">
      <formula>B$9&gt;=20/24</formula>
    </cfRule>
    <cfRule type="expression" dxfId="6594" priority="39">
      <formula>AND(B$9&gt;=14/24,B$9&lt;20/24)</formula>
    </cfRule>
    <cfRule type="expression" dxfId="6593" priority="40">
      <formula>AND(B$9&gt;=8/24,B$9&lt;14/24)</formula>
    </cfRule>
    <cfRule type="expression" dxfId="6592" priority="41">
      <formula>B$9&lt;8/24</formula>
    </cfRule>
  </conditionalFormatting>
  <conditionalFormatting sqref="B30:X30">
    <cfRule type="expression" dxfId="6591" priority="37">
      <formula>B30&gt;$AG30</formula>
    </cfRule>
  </conditionalFormatting>
  <conditionalFormatting sqref="AL30">
    <cfRule type="iconSet" priority="53">
      <iconSet iconSet="3TrafficLights2" reverse="1">
        <cfvo type="percent" val="0"/>
        <cfvo type="num" val="1"/>
        <cfvo type="num" val="1"/>
      </iconSet>
    </cfRule>
  </conditionalFormatting>
  <conditionalFormatting sqref="P41:X43">
    <cfRule type="expression" dxfId="6590" priority="33">
      <formula>P$9&gt;=20/24</formula>
    </cfRule>
    <cfRule type="expression" dxfId="6589" priority="34">
      <formula>AND(P$9&gt;=14/24,P$9&lt;20/24)</formula>
    </cfRule>
    <cfRule type="expression" dxfId="6588" priority="35">
      <formula>AND(P$9&gt;=8/24,P$9&lt;14/24)</formula>
    </cfRule>
    <cfRule type="expression" dxfId="6587" priority="36">
      <formula>P$9&lt;8/24</formula>
    </cfRule>
  </conditionalFormatting>
  <conditionalFormatting sqref="P41:X43">
    <cfRule type="expression" dxfId="6586" priority="32">
      <formula>P41&gt;$AG41</formula>
    </cfRule>
  </conditionalFormatting>
  <conditionalFormatting sqref="P46:Q47">
    <cfRule type="expression" dxfId="6585" priority="28">
      <formula>P$9&gt;=20/24</formula>
    </cfRule>
    <cfRule type="expression" dxfId="6584" priority="29">
      <formula>AND(P$9&gt;=14/24,P$9&lt;20/24)</formula>
    </cfRule>
    <cfRule type="expression" dxfId="6583" priority="30">
      <formula>AND(P$9&gt;=8/24,P$9&lt;14/24)</formula>
    </cfRule>
    <cfRule type="expression" dxfId="6582" priority="31">
      <formula>P$9&lt;8/24</formula>
    </cfRule>
  </conditionalFormatting>
  <conditionalFormatting sqref="P45:Q45">
    <cfRule type="expression" dxfId="6581" priority="24">
      <formula>P$9&gt;=20/24</formula>
    </cfRule>
    <cfRule type="expression" dxfId="6580" priority="25">
      <formula>AND(P$9&gt;=14/24,P$9&lt;20/24)</formula>
    </cfRule>
    <cfRule type="expression" dxfId="6579" priority="26">
      <formula>AND(P$9&gt;=8/24,P$9&lt;14/24)</formula>
    </cfRule>
    <cfRule type="expression" dxfId="6578" priority="27">
      <formula>P$9&lt;8/24</formula>
    </cfRule>
  </conditionalFormatting>
  <conditionalFormatting sqref="P45:Q47">
    <cfRule type="expression" dxfId="6577" priority="23">
      <formula>P45&gt;$AG45</formula>
    </cfRule>
  </conditionalFormatting>
  <conditionalFormatting sqref="P48:Q49">
    <cfRule type="expression" dxfId="6576" priority="22">
      <formula>P48&gt;$AG48</formula>
    </cfRule>
  </conditionalFormatting>
  <conditionalFormatting sqref="P50:X56">
    <cfRule type="expression" dxfId="6575" priority="18">
      <formula>P$9&gt;=20/24</formula>
    </cfRule>
    <cfRule type="expression" dxfId="6574" priority="19">
      <formula>AND(P$9&gt;=14/24,P$9&lt;20/24)</formula>
    </cfRule>
    <cfRule type="expression" dxfId="6573" priority="20">
      <formula>AND(P$9&gt;=8/24,P$9&lt;14/24)</formula>
    </cfRule>
    <cfRule type="expression" dxfId="6572" priority="21">
      <formula>P$9&lt;8/24</formula>
    </cfRule>
  </conditionalFormatting>
  <conditionalFormatting sqref="P50:X56">
    <cfRule type="expression" dxfId="6571" priority="17">
      <formula>P50&gt;$AG50</formula>
    </cfRule>
  </conditionalFormatting>
  <conditionalFormatting sqref="P63:Q63">
    <cfRule type="expression" dxfId="6570" priority="13">
      <formula>P$9&gt;=20/24</formula>
    </cfRule>
    <cfRule type="expression" dxfId="6569" priority="14">
      <formula>AND(P$9&gt;=14/24,P$9&lt;20/24)</formula>
    </cfRule>
    <cfRule type="expression" dxfId="6568" priority="15">
      <formula>AND(P$9&gt;=8/24,P$9&lt;14/24)</formula>
    </cfRule>
    <cfRule type="expression" dxfId="6567" priority="16">
      <formula>P$9&lt;8/24</formula>
    </cfRule>
  </conditionalFormatting>
  <conditionalFormatting sqref="P64:Q65 R64:X64">
    <cfRule type="expression" dxfId="6566" priority="9">
      <formula>P$9&gt;=20/24</formula>
    </cfRule>
    <cfRule type="expression" dxfId="6565" priority="10">
      <formula>AND(P$9&gt;=14/24,P$9&lt;20/24)</formula>
    </cfRule>
    <cfRule type="expression" dxfId="6564" priority="11">
      <formula>AND(P$9&gt;=8/24,P$9&lt;14/24)</formula>
    </cfRule>
    <cfRule type="expression" dxfId="6563" priority="12">
      <formula>P$9&lt;8/24</formula>
    </cfRule>
  </conditionalFormatting>
  <conditionalFormatting sqref="P66:X73">
    <cfRule type="expression" dxfId="6562" priority="5">
      <formula>P$9&gt;=20/24</formula>
    </cfRule>
    <cfRule type="expression" dxfId="6561" priority="6">
      <formula>AND(P$9&gt;=14/24,P$9&lt;20/24)</formula>
    </cfRule>
    <cfRule type="expression" dxfId="6560" priority="7">
      <formula>AND(P$9&gt;=8/24,P$9&lt;14/24)</formula>
    </cfRule>
    <cfRule type="expression" dxfId="6559" priority="8">
      <formula>P$9&lt;8/24</formula>
    </cfRule>
  </conditionalFormatting>
  <conditionalFormatting sqref="Y103">
    <cfRule type="expression" dxfId="6558" priority="1">
      <formula>Y$9&gt;=20/24</formula>
    </cfRule>
    <cfRule type="expression" dxfId="6557" priority="2">
      <formula>AND(Y$9&gt;=14/24,Y$9&lt;20/24)</formula>
    </cfRule>
    <cfRule type="expression" dxfId="6556" priority="3">
      <formula>AND(Y$9&gt;=8/24,Y$9&lt;14/24)</formula>
    </cfRule>
    <cfRule type="expression" dxfId="6555" priority="4">
      <formula>Y$9&lt;8/24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1" id="{807DCD3D-C69E-47FF-973A-9664470D7C6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92" id="{E54189C0-7ACD-41A9-9F75-5BF769CC9A8C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3" id="{5C8E5F3F-9DCD-45F5-9255-1A0A2D74EFC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4" id="{712F5B18-6B48-4682-9046-65FFA22DF30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84" id="{F6CA789B-7322-45D3-832E-9AAE6DDDDC1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85" id="{C23F530E-991F-4166-A0B7-704CDDBE58B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6" id="{49EB6298-7899-42CC-ADCD-B4A7AAAEBFDE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7" id="{BC0E061C-0604-4049-BA05-83DAD3F3D8E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80" id="{41588EDD-4FEE-4A3B-9182-9A87F646A12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81" id="{727814AE-2357-4377-ABEB-F9E51C36893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2" id="{2CCC695D-5AB0-492D-8F87-C21839BE8AD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3" id="{97DD555C-55D0-43F2-888A-1DA9A14A5767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J270"/>
  <sheetViews>
    <sheetView zoomScale="90" zoomScaleNormal="90" workbookViewId="0">
      <pane xSplit="1" ySplit="10" topLeftCell="C35" activePane="bottomRight" state="frozen"/>
      <selection activeCell="AF88" sqref="AF88"/>
      <selection pane="topRight" activeCell="AF88" sqref="AF88"/>
      <selection pane="bottomLeft" activeCell="AF88" sqref="AF88"/>
      <selection pane="bottomRight" activeCell="O50" sqref="O5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27.5703125" style="1" bestFit="1" customWidth="1"/>
    <col min="37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2079/06/12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7.9</v>
      </c>
      <c r="C5" s="148">
        <f t="shared" si="0"/>
        <v>5.8</v>
      </c>
      <c r="D5" s="148">
        <f t="shared" si="0"/>
        <v>5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14.1</v>
      </c>
      <c r="P5" s="148">
        <f t="shared" si="0"/>
        <v>16.399999999999999</v>
      </c>
      <c r="Q5" s="148">
        <f t="shared" si="0"/>
        <v>18</v>
      </c>
      <c r="R5" s="148">
        <f t="shared" si="0"/>
        <v>18.2</v>
      </c>
      <c r="S5" s="148">
        <f t="shared" si="0"/>
        <v>36.200000000000003</v>
      </c>
      <c r="T5" s="148">
        <f t="shared" si="0"/>
        <v>14</v>
      </c>
      <c r="U5" s="148">
        <f t="shared" si="0"/>
        <v>14.9</v>
      </c>
      <c r="V5" s="148">
        <f t="shared" si="0"/>
        <v>14</v>
      </c>
      <c r="W5" s="148">
        <f t="shared" si="0"/>
        <v>14</v>
      </c>
      <c r="X5" s="148">
        <f t="shared" si="0"/>
        <v>31.2</v>
      </c>
      <c r="Y5" s="148">
        <f t="shared" si="0"/>
        <v>52.6</v>
      </c>
      <c r="Z5" s="148">
        <f t="shared" si="0"/>
        <v>65.099999999999994</v>
      </c>
      <c r="AA5" s="148">
        <f t="shared" si="0"/>
        <v>38.200000000000003</v>
      </c>
      <c r="AB5" s="148">
        <f t="shared" si="0"/>
        <v>44.2</v>
      </c>
      <c r="AC5" s="148">
        <f t="shared" si="0"/>
        <v>32.5</v>
      </c>
      <c r="AD5" s="148">
        <f t="shared" si="0"/>
        <v>17</v>
      </c>
      <c r="AE5" s="148">
        <f t="shared" si="0"/>
        <v>19.3</v>
      </c>
      <c r="AF5" s="148">
        <f>B74</f>
        <v>9.1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1819MW at 9:00hr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Load=1695</v>
      </c>
      <c r="B7" s="137">
        <f t="shared" ref="B7:AF7" si="1">B81</f>
        <v>1771.1399999999999</v>
      </c>
      <c r="C7" s="137">
        <f t="shared" si="1"/>
        <v>1769.94</v>
      </c>
      <c r="D7" s="137">
        <f t="shared" si="1"/>
        <v>1741.54</v>
      </c>
      <c r="E7" s="137">
        <f t="shared" si="1"/>
        <v>1744.3400000000001</v>
      </c>
      <c r="F7" s="137">
        <f t="shared" si="1"/>
        <v>1718.74</v>
      </c>
      <c r="G7" s="137">
        <f t="shared" si="1"/>
        <v>1715.74</v>
      </c>
      <c r="H7" s="137">
        <f t="shared" si="1"/>
        <v>1723.74</v>
      </c>
      <c r="I7" s="137">
        <f t="shared" si="1"/>
        <v>1694.6399999999999</v>
      </c>
      <c r="J7" s="137">
        <f t="shared" si="1"/>
        <v>1724.6399999999999</v>
      </c>
      <c r="K7" s="137">
        <f t="shared" si="1"/>
        <v>1782.84</v>
      </c>
      <c r="L7" s="137">
        <f t="shared" si="1"/>
        <v>1800.84</v>
      </c>
      <c r="M7" s="137">
        <f t="shared" si="1"/>
        <v>1814.04</v>
      </c>
      <c r="N7" s="137">
        <f t="shared" si="1"/>
        <v>1818.74</v>
      </c>
      <c r="O7" s="137">
        <f t="shared" si="1"/>
        <v>1826.74</v>
      </c>
      <c r="P7" s="137">
        <f t="shared" si="1"/>
        <v>1833.54</v>
      </c>
      <c r="Q7" s="137">
        <f t="shared" si="1"/>
        <v>1829.3400000000001</v>
      </c>
      <c r="R7" s="137">
        <f t="shared" si="1"/>
        <v>1830.94</v>
      </c>
      <c r="S7" s="137">
        <f t="shared" si="1"/>
        <v>1842.34</v>
      </c>
      <c r="T7" s="137">
        <f t="shared" si="1"/>
        <v>1860.44</v>
      </c>
      <c r="U7" s="137">
        <f t="shared" si="1"/>
        <v>1837.34</v>
      </c>
      <c r="V7" s="137">
        <f t="shared" si="1"/>
        <v>1838.24</v>
      </c>
      <c r="W7" s="137">
        <f t="shared" si="1"/>
        <v>1838.54</v>
      </c>
      <c r="X7" s="137">
        <f t="shared" si="1"/>
        <v>1838.54</v>
      </c>
      <c r="Y7" s="137">
        <f t="shared" si="1"/>
        <v>1879.94</v>
      </c>
      <c r="Z7" s="137">
        <f t="shared" si="1"/>
        <v>1929.6399999999999</v>
      </c>
      <c r="AA7" s="137">
        <f t="shared" si="1"/>
        <v>1890.4399999999998</v>
      </c>
      <c r="AB7" s="137">
        <f t="shared" si="1"/>
        <v>1850.44</v>
      </c>
      <c r="AC7" s="137">
        <f t="shared" si="1"/>
        <v>1851.44</v>
      </c>
      <c r="AD7" s="137">
        <f t="shared" si="1"/>
        <v>1836.74</v>
      </c>
      <c r="AE7" s="137">
        <f t="shared" si="1"/>
        <v>1816.24</v>
      </c>
      <c r="AF7" s="137">
        <f t="shared" si="1"/>
        <v>1793.7399999999998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54</v>
      </c>
      <c r="C11" s="105">
        <v>54</v>
      </c>
      <c r="D11" s="105">
        <v>54</v>
      </c>
      <c r="E11" s="105">
        <v>54</v>
      </c>
      <c r="F11" s="105">
        <v>54</v>
      </c>
      <c r="G11" s="105">
        <v>54</v>
      </c>
      <c r="H11" s="105">
        <v>54</v>
      </c>
      <c r="I11" s="105">
        <v>54</v>
      </c>
      <c r="J11" s="105">
        <v>54</v>
      </c>
      <c r="K11" s="105">
        <v>54</v>
      </c>
      <c r="L11" s="105">
        <v>54</v>
      </c>
      <c r="M11" s="105">
        <v>54</v>
      </c>
      <c r="N11" s="105">
        <v>54</v>
      </c>
      <c r="O11" s="105">
        <v>54</v>
      </c>
      <c r="P11" s="105">
        <v>54</v>
      </c>
      <c r="Q11" s="105">
        <v>54</v>
      </c>
      <c r="R11" s="105">
        <v>54</v>
      </c>
      <c r="S11" s="105">
        <v>54</v>
      </c>
      <c r="T11" s="105">
        <v>54</v>
      </c>
      <c r="U11" s="105">
        <v>54</v>
      </c>
      <c r="V11" s="105">
        <v>54</v>
      </c>
      <c r="W11" s="105">
        <v>54</v>
      </c>
      <c r="X11" s="105">
        <v>54</v>
      </c>
      <c r="Y11" s="105">
        <v>54</v>
      </c>
      <c r="Z11" s="105">
        <v>54</v>
      </c>
      <c r="AA11" s="105">
        <v>54</v>
      </c>
      <c r="AB11" s="105">
        <v>54</v>
      </c>
      <c r="AC11" s="105">
        <v>54</v>
      </c>
      <c r="AD11" s="105">
        <v>54</v>
      </c>
      <c r="AE11" s="105">
        <v>54</v>
      </c>
      <c r="AF11" s="105">
        <v>54</v>
      </c>
      <c r="AG11" s="127">
        <v>52.4</v>
      </c>
      <c r="AH11" s="20">
        <f t="shared" ref="AH11:AH74" si="2">MAX(B11:AF11)</f>
        <v>54</v>
      </c>
      <c r="AI11" s="19">
        <f t="shared" ref="AI11:AI74" si="3">MIN(B11:AF11)</f>
        <v>54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50.2</v>
      </c>
      <c r="C12" s="105">
        <v>50.2</v>
      </c>
      <c r="D12" s="105">
        <v>50.2</v>
      </c>
      <c r="E12" s="105">
        <v>50.2</v>
      </c>
      <c r="F12" s="105">
        <v>50.2</v>
      </c>
      <c r="G12" s="105">
        <v>50.2</v>
      </c>
      <c r="H12" s="105">
        <v>50.2</v>
      </c>
      <c r="I12" s="105">
        <v>50.2</v>
      </c>
      <c r="J12" s="105">
        <v>50.2</v>
      </c>
      <c r="K12" s="105">
        <v>50.2</v>
      </c>
      <c r="L12" s="105">
        <v>50.2</v>
      </c>
      <c r="M12" s="105">
        <v>50.2</v>
      </c>
      <c r="N12" s="105">
        <v>50.2</v>
      </c>
      <c r="O12" s="105">
        <v>50.2</v>
      </c>
      <c r="P12" s="105">
        <v>50.2</v>
      </c>
      <c r="Q12" s="105">
        <v>50.2</v>
      </c>
      <c r="R12" s="105">
        <v>50.2</v>
      </c>
      <c r="S12" s="105">
        <v>50.2</v>
      </c>
      <c r="T12" s="105">
        <v>50.2</v>
      </c>
      <c r="U12" s="105">
        <v>50.2</v>
      </c>
      <c r="V12" s="105">
        <v>50.2</v>
      </c>
      <c r="W12" s="105">
        <v>50.2</v>
      </c>
      <c r="X12" s="105">
        <v>50.2</v>
      </c>
      <c r="Y12" s="105">
        <v>50.2</v>
      </c>
      <c r="Z12" s="105">
        <v>50.2</v>
      </c>
      <c r="AA12" s="105">
        <v>50.2</v>
      </c>
      <c r="AB12" s="105">
        <v>50.2</v>
      </c>
      <c r="AC12" s="105">
        <v>50.2</v>
      </c>
      <c r="AD12" s="105">
        <v>50.2</v>
      </c>
      <c r="AE12" s="105">
        <v>50.2</v>
      </c>
      <c r="AF12" s="105">
        <v>50.2</v>
      </c>
      <c r="AG12" s="126">
        <v>50</v>
      </c>
      <c r="AH12" s="20">
        <f t="shared" si="2"/>
        <v>50.2</v>
      </c>
      <c r="AI12" s="19">
        <f t="shared" si="3"/>
        <v>50.2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46.1</v>
      </c>
      <c r="C13" s="105">
        <v>46.1</v>
      </c>
      <c r="D13" s="105">
        <v>46.2</v>
      </c>
      <c r="E13" s="105">
        <v>46.2</v>
      </c>
      <c r="F13" s="105">
        <v>46.2</v>
      </c>
      <c r="G13" s="105">
        <v>46.2</v>
      </c>
      <c r="H13" s="105">
        <v>46.2</v>
      </c>
      <c r="I13" s="105">
        <v>46.2</v>
      </c>
      <c r="J13" s="105">
        <v>46.2</v>
      </c>
      <c r="K13" s="105">
        <v>46.2</v>
      </c>
      <c r="L13" s="105">
        <v>46.2</v>
      </c>
      <c r="M13" s="105">
        <v>46.2</v>
      </c>
      <c r="N13" s="105">
        <v>46.2</v>
      </c>
      <c r="O13" s="105">
        <v>46.2</v>
      </c>
      <c r="P13" s="105">
        <v>46.2</v>
      </c>
      <c r="Q13" s="105">
        <v>46.2</v>
      </c>
      <c r="R13" s="105">
        <v>46.2</v>
      </c>
      <c r="S13" s="105">
        <v>46.2</v>
      </c>
      <c r="T13" s="105">
        <v>46.2</v>
      </c>
      <c r="U13" s="105">
        <v>46.2</v>
      </c>
      <c r="V13" s="105">
        <v>46.2</v>
      </c>
      <c r="W13" s="105">
        <v>46.2</v>
      </c>
      <c r="X13" s="105">
        <v>46.2</v>
      </c>
      <c r="Y13" s="105">
        <v>46.2</v>
      </c>
      <c r="Z13" s="105">
        <v>46.2</v>
      </c>
      <c r="AA13" s="105">
        <v>46.2</v>
      </c>
      <c r="AB13" s="105">
        <v>46.2</v>
      </c>
      <c r="AC13" s="105">
        <v>46.2</v>
      </c>
      <c r="AD13" s="105">
        <v>46.2</v>
      </c>
      <c r="AE13" s="105">
        <v>46.2</v>
      </c>
      <c r="AF13" s="105">
        <v>46.2</v>
      </c>
      <c r="AG13" s="126">
        <v>45</v>
      </c>
      <c r="AH13" s="20">
        <f t="shared" si="2"/>
        <v>46.2</v>
      </c>
      <c r="AI13" s="19">
        <f t="shared" si="3"/>
        <v>46.1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28</v>
      </c>
      <c r="C14" s="105">
        <v>28</v>
      </c>
      <c r="D14" s="105">
        <v>28</v>
      </c>
      <c r="E14" s="105">
        <v>27</v>
      </c>
      <c r="F14" s="105">
        <v>27</v>
      </c>
      <c r="G14" s="105">
        <v>27</v>
      </c>
      <c r="H14" s="105">
        <v>27</v>
      </c>
      <c r="I14" s="105">
        <v>27</v>
      </c>
      <c r="J14" s="105">
        <v>27</v>
      </c>
      <c r="K14" s="105">
        <v>32</v>
      </c>
      <c r="L14" s="105">
        <v>35</v>
      </c>
      <c r="M14" s="105">
        <v>35</v>
      </c>
      <c r="N14" s="105">
        <v>35</v>
      </c>
      <c r="O14" s="105">
        <v>35</v>
      </c>
      <c r="P14" s="105">
        <v>38</v>
      </c>
      <c r="Q14" s="105">
        <v>38</v>
      </c>
      <c r="R14" s="105">
        <v>38</v>
      </c>
      <c r="S14" s="105">
        <v>38</v>
      </c>
      <c r="T14" s="105">
        <v>38</v>
      </c>
      <c r="U14" s="105">
        <v>38</v>
      </c>
      <c r="V14" s="105">
        <v>38</v>
      </c>
      <c r="W14" s="105">
        <v>38</v>
      </c>
      <c r="X14" s="105">
        <v>38</v>
      </c>
      <c r="Y14" s="105">
        <v>38</v>
      </c>
      <c r="Z14" s="105">
        <v>38</v>
      </c>
      <c r="AA14" s="105">
        <v>38</v>
      </c>
      <c r="AB14" s="105">
        <v>38</v>
      </c>
      <c r="AC14" s="105">
        <v>38</v>
      </c>
      <c r="AD14" s="105">
        <v>35</v>
      </c>
      <c r="AE14" s="105">
        <v>32</v>
      </c>
      <c r="AF14" s="105">
        <v>28</v>
      </c>
      <c r="AG14" s="126">
        <v>42</v>
      </c>
      <c r="AH14" s="20">
        <f t="shared" si="2"/>
        <v>38</v>
      </c>
      <c r="AI14" s="19">
        <f t="shared" si="3"/>
        <v>27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10</v>
      </c>
      <c r="L15" s="105">
        <v>20</v>
      </c>
      <c r="M15" s="105">
        <v>20</v>
      </c>
      <c r="N15" s="105">
        <v>20</v>
      </c>
      <c r="O15" s="105">
        <v>15</v>
      </c>
      <c r="P15" s="105">
        <v>15</v>
      </c>
      <c r="Q15" s="105">
        <v>10</v>
      </c>
      <c r="R15" s="105">
        <v>10</v>
      </c>
      <c r="S15" s="105">
        <v>10</v>
      </c>
      <c r="T15" s="105">
        <v>10</v>
      </c>
      <c r="U15" s="105">
        <v>10</v>
      </c>
      <c r="V15" s="105">
        <v>10</v>
      </c>
      <c r="W15" s="105">
        <v>10</v>
      </c>
      <c r="X15" s="105">
        <v>10</v>
      </c>
      <c r="Y15" s="105">
        <v>10</v>
      </c>
      <c r="Z15" s="105">
        <v>10</v>
      </c>
      <c r="AA15" s="105">
        <v>10</v>
      </c>
      <c r="AB15" s="105">
        <v>5</v>
      </c>
      <c r="AC15" s="105">
        <v>0</v>
      </c>
      <c r="AD15" s="105">
        <v>0</v>
      </c>
      <c r="AE15" s="105">
        <v>0</v>
      </c>
      <c r="AF15" s="105">
        <v>0</v>
      </c>
      <c r="AG15" s="96">
        <v>30</v>
      </c>
      <c r="AH15" s="20">
        <f t="shared" si="2"/>
        <v>20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26</v>
      </c>
      <c r="C16" s="105">
        <v>26</v>
      </c>
      <c r="D16" s="105">
        <v>26</v>
      </c>
      <c r="E16" s="105">
        <v>26</v>
      </c>
      <c r="F16" s="105">
        <v>24.8</v>
      </c>
      <c r="G16" s="105">
        <v>24.8</v>
      </c>
      <c r="H16" s="105">
        <v>24.8</v>
      </c>
      <c r="I16" s="105">
        <v>24.8</v>
      </c>
      <c r="J16" s="105">
        <v>24.8</v>
      </c>
      <c r="K16" s="105">
        <v>24.8</v>
      </c>
      <c r="L16" s="105">
        <v>24.8</v>
      </c>
      <c r="M16" s="105">
        <v>24.8</v>
      </c>
      <c r="N16" s="105">
        <v>24.8</v>
      </c>
      <c r="O16" s="105">
        <v>33</v>
      </c>
      <c r="P16" s="105">
        <v>33</v>
      </c>
      <c r="Q16" s="105">
        <v>33</v>
      </c>
      <c r="R16" s="105">
        <v>33</v>
      </c>
      <c r="S16" s="105">
        <v>33</v>
      </c>
      <c r="T16" s="105">
        <v>33</v>
      </c>
      <c r="U16" s="105">
        <v>33</v>
      </c>
      <c r="V16" s="105">
        <v>33</v>
      </c>
      <c r="W16" s="105">
        <v>33</v>
      </c>
      <c r="X16" s="105">
        <v>33</v>
      </c>
      <c r="Y16" s="105">
        <v>33</v>
      </c>
      <c r="Z16" s="105">
        <v>33</v>
      </c>
      <c r="AA16" s="105">
        <v>33</v>
      </c>
      <c r="AB16" s="105">
        <v>33</v>
      </c>
      <c r="AC16" s="105">
        <v>33</v>
      </c>
      <c r="AD16" s="105">
        <v>33</v>
      </c>
      <c r="AE16" s="105">
        <v>33</v>
      </c>
      <c r="AF16" s="105">
        <v>25.2</v>
      </c>
      <c r="AG16" s="126">
        <v>24.2</v>
      </c>
      <c r="AH16" s="20">
        <f t="shared" si="2"/>
        <v>33</v>
      </c>
      <c r="AI16" s="19">
        <f t="shared" si="3"/>
        <v>24.8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9</v>
      </c>
      <c r="C17" s="105">
        <v>9</v>
      </c>
      <c r="D17" s="105">
        <v>9</v>
      </c>
      <c r="E17" s="105">
        <v>0</v>
      </c>
      <c r="F17" s="105">
        <v>0</v>
      </c>
      <c r="G17" s="105">
        <v>0</v>
      </c>
      <c r="H17" s="105">
        <v>5</v>
      </c>
      <c r="I17" s="105">
        <v>5</v>
      </c>
      <c r="J17" s="105">
        <v>5</v>
      </c>
      <c r="K17" s="105">
        <v>27</v>
      </c>
      <c r="L17" s="105">
        <v>27</v>
      </c>
      <c r="M17" s="105">
        <v>27</v>
      </c>
      <c r="N17" s="105">
        <v>27</v>
      </c>
      <c r="O17" s="105">
        <v>27</v>
      </c>
      <c r="P17" s="105">
        <v>27</v>
      </c>
      <c r="Q17" s="105">
        <v>27</v>
      </c>
      <c r="R17" s="105">
        <v>27</v>
      </c>
      <c r="S17" s="105">
        <v>27</v>
      </c>
      <c r="T17" s="105">
        <v>27</v>
      </c>
      <c r="U17" s="105">
        <v>27</v>
      </c>
      <c r="V17" s="105">
        <v>27</v>
      </c>
      <c r="W17" s="105">
        <v>27</v>
      </c>
      <c r="X17" s="105">
        <v>27</v>
      </c>
      <c r="Y17" s="105">
        <v>27</v>
      </c>
      <c r="Z17" s="105">
        <v>27</v>
      </c>
      <c r="AA17" s="105">
        <v>27</v>
      </c>
      <c r="AB17" s="105">
        <v>27</v>
      </c>
      <c r="AC17" s="105">
        <v>27</v>
      </c>
      <c r="AD17" s="105">
        <v>27</v>
      </c>
      <c r="AE17" s="105">
        <v>27</v>
      </c>
      <c r="AF17" s="105">
        <v>15</v>
      </c>
      <c r="AG17" s="96">
        <v>30</v>
      </c>
      <c r="AH17" s="20">
        <f t="shared" si="2"/>
        <v>27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25.1</v>
      </c>
      <c r="C18" s="105">
        <v>25.1</v>
      </c>
      <c r="D18" s="105">
        <v>25.2</v>
      </c>
      <c r="E18" s="105">
        <v>25.2</v>
      </c>
      <c r="F18" s="105">
        <v>25.2</v>
      </c>
      <c r="G18" s="105">
        <v>25.2</v>
      </c>
      <c r="H18" s="105">
        <v>25.2</v>
      </c>
      <c r="I18" s="105">
        <v>25.2</v>
      </c>
      <c r="J18" s="105">
        <v>25.2</v>
      </c>
      <c r="K18" s="105">
        <v>25.2</v>
      </c>
      <c r="L18" s="105">
        <v>25.2</v>
      </c>
      <c r="M18" s="105">
        <v>25.2</v>
      </c>
      <c r="N18" s="105">
        <v>25.2</v>
      </c>
      <c r="O18" s="105">
        <v>25.2</v>
      </c>
      <c r="P18" s="105">
        <v>25.2</v>
      </c>
      <c r="Q18" s="105">
        <v>25.2</v>
      </c>
      <c r="R18" s="105">
        <v>25.2</v>
      </c>
      <c r="S18" s="105">
        <v>25.2</v>
      </c>
      <c r="T18" s="105">
        <v>25.2</v>
      </c>
      <c r="U18" s="105">
        <v>25.2</v>
      </c>
      <c r="V18" s="105">
        <v>25.2</v>
      </c>
      <c r="W18" s="105">
        <v>25.2</v>
      </c>
      <c r="X18" s="105">
        <v>25.2</v>
      </c>
      <c r="Y18" s="105">
        <v>25.2</v>
      </c>
      <c r="Z18" s="105">
        <v>25.2</v>
      </c>
      <c r="AA18" s="105">
        <v>25.2</v>
      </c>
      <c r="AB18" s="105">
        <v>26.1</v>
      </c>
      <c r="AC18" s="105">
        <v>26.1</v>
      </c>
      <c r="AD18" s="105">
        <v>26.1</v>
      </c>
      <c r="AE18" s="105">
        <v>26.1</v>
      </c>
      <c r="AF18" s="105">
        <v>25.1</v>
      </c>
      <c r="AG18" s="126">
        <v>25</v>
      </c>
      <c r="AH18" s="20">
        <f t="shared" si="2"/>
        <v>26.1</v>
      </c>
      <c r="AI18" s="19">
        <f t="shared" si="3"/>
        <v>25.1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25</v>
      </c>
      <c r="C19" s="105">
        <v>25</v>
      </c>
      <c r="D19" s="105">
        <v>25</v>
      </c>
      <c r="E19" s="105">
        <v>25</v>
      </c>
      <c r="F19" s="105">
        <v>25</v>
      </c>
      <c r="G19" s="105">
        <v>25</v>
      </c>
      <c r="H19" s="105">
        <v>25</v>
      </c>
      <c r="I19" s="105">
        <v>25</v>
      </c>
      <c r="J19" s="105">
        <v>25</v>
      </c>
      <c r="K19" s="105">
        <v>25</v>
      </c>
      <c r="L19" s="105">
        <v>25</v>
      </c>
      <c r="M19" s="105">
        <v>25</v>
      </c>
      <c r="N19" s="105">
        <v>25</v>
      </c>
      <c r="O19" s="105">
        <v>25</v>
      </c>
      <c r="P19" s="105">
        <v>25</v>
      </c>
      <c r="Q19" s="105">
        <v>25</v>
      </c>
      <c r="R19" s="105">
        <v>25</v>
      </c>
      <c r="S19" s="105">
        <v>25</v>
      </c>
      <c r="T19" s="105">
        <v>25</v>
      </c>
      <c r="U19" s="105">
        <v>25</v>
      </c>
      <c r="V19" s="105">
        <v>25</v>
      </c>
      <c r="W19" s="105">
        <v>25</v>
      </c>
      <c r="X19" s="105">
        <v>25</v>
      </c>
      <c r="Y19" s="105">
        <v>25</v>
      </c>
      <c r="Z19" s="105">
        <v>25</v>
      </c>
      <c r="AA19" s="105">
        <v>25</v>
      </c>
      <c r="AB19" s="105">
        <v>25</v>
      </c>
      <c r="AC19" s="105">
        <v>25</v>
      </c>
      <c r="AD19" s="105">
        <v>25</v>
      </c>
      <c r="AE19" s="105">
        <v>25</v>
      </c>
      <c r="AF19" s="105">
        <v>25</v>
      </c>
      <c r="AG19" s="126">
        <v>25</v>
      </c>
      <c r="AH19" s="20">
        <f t="shared" si="2"/>
        <v>25</v>
      </c>
      <c r="AI19" s="19">
        <f t="shared" si="3"/>
        <v>25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25</v>
      </c>
      <c r="C20" s="105">
        <v>25</v>
      </c>
      <c r="D20" s="105">
        <v>25</v>
      </c>
      <c r="E20" s="105">
        <v>23</v>
      </c>
      <c r="F20" s="105">
        <v>23</v>
      </c>
      <c r="G20" s="105">
        <v>23</v>
      </c>
      <c r="H20" s="105">
        <v>23</v>
      </c>
      <c r="I20" s="105">
        <v>23</v>
      </c>
      <c r="J20" s="105">
        <v>23</v>
      </c>
      <c r="K20" s="105">
        <v>25</v>
      </c>
      <c r="L20" s="105">
        <v>25</v>
      </c>
      <c r="M20" s="105">
        <v>25</v>
      </c>
      <c r="N20" s="105">
        <v>25</v>
      </c>
      <c r="O20" s="105">
        <v>25</v>
      </c>
      <c r="P20" s="105">
        <v>25</v>
      </c>
      <c r="Q20" s="105">
        <v>25</v>
      </c>
      <c r="R20" s="105">
        <v>25</v>
      </c>
      <c r="S20" s="105">
        <v>25</v>
      </c>
      <c r="T20" s="105">
        <v>25</v>
      </c>
      <c r="U20" s="105">
        <v>25</v>
      </c>
      <c r="V20" s="105">
        <v>25</v>
      </c>
      <c r="W20" s="105">
        <v>25</v>
      </c>
      <c r="X20" s="105">
        <v>25</v>
      </c>
      <c r="Y20" s="105">
        <v>25</v>
      </c>
      <c r="Z20" s="105">
        <v>25</v>
      </c>
      <c r="AA20" s="105">
        <v>25</v>
      </c>
      <c r="AB20" s="105">
        <v>25</v>
      </c>
      <c r="AC20" s="105">
        <v>25</v>
      </c>
      <c r="AD20" s="105">
        <v>25</v>
      </c>
      <c r="AE20" s="105">
        <v>25</v>
      </c>
      <c r="AF20" s="105">
        <v>25</v>
      </c>
      <c r="AG20" s="126">
        <v>25</v>
      </c>
      <c r="AH20" s="20">
        <f t="shared" si="2"/>
        <v>25</v>
      </c>
      <c r="AI20" s="19">
        <f t="shared" si="3"/>
        <v>23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23.2</v>
      </c>
      <c r="C21" s="105">
        <v>23.2</v>
      </c>
      <c r="D21" s="105">
        <v>23.2</v>
      </c>
      <c r="E21" s="105">
        <v>23.2</v>
      </c>
      <c r="F21" s="105">
        <v>23.2</v>
      </c>
      <c r="G21" s="105">
        <v>23.2</v>
      </c>
      <c r="H21" s="105">
        <v>23.2</v>
      </c>
      <c r="I21" s="105">
        <v>23.2</v>
      </c>
      <c r="J21" s="105">
        <v>23.2</v>
      </c>
      <c r="K21" s="105">
        <v>23.2</v>
      </c>
      <c r="L21" s="105">
        <v>23.2</v>
      </c>
      <c r="M21" s="105">
        <v>23.2</v>
      </c>
      <c r="N21" s="105">
        <v>23.2</v>
      </c>
      <c r="O21" s="105">
        <v>23.2</v>
      </c>
      <c r="P21" s="105">
        <v>23.2</v>
      </c>
      <c r="Q21" s="105">
        <v>23.2</v>
      </c>
      <c r="R21" s="105">
        <v>23.2</v>
      </c>
      <c r="S21" s="105">
        <v>23.2</v>
      </c>
      <c r="T21" s="105">
        <v>23.2</v>
      </c>
      <c r="U21" s="105">
        <v>23.2</v>
      </c>
      <c r="V21" s="105">
        <v>23.2</v>
      </c>
      <c r="W21" s="105">
        <v>23.2</v>
      </c>
      <c r="X21" s="105">
        <v>23.2</v>
      </c>
      <c r="Y21" s="105">
        <v>23.2</v>
      </c>
      <c r="Z21" s="105">
        <v>23.2</v>
      </c>
      <c r="AA21" s="105">
        <v>23.2</v>
      </c>
      <c r="AB21" s="105">
        <v>23.2</v>
      </c>
      <c r="AC21" s="105">
        <v>23.2</v>
      </c>
      <c r="AD21" s="105">
        <v>23.2</v>
      </c>
      <c r="AE21" s="105">
        <v>23.2</v>
      </c>
      <c r="AF21" s="105">
        <v>23.2</v>
      </c>
      <c r="AG21" s="126">
        <v>23.5</v>
      </c>
      <c r="AH21" s="20">
        <f t="shared" si="2"/>
        <v>23.2</v>
      </c>
      <c r="AI21" s="19">
        <f t="shared" si="3"/>
        <v>23.2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20</v>
      </c>
      <c r="C22" s="105">
        <v>20</v>
      </c>
      <c r="D22" s="105">
        <v>20</v>
      </c>
      <c r="E22" s="105">
        <v>20</v>
      </c>
      <c r="F22" s="105">
        <v>20</v>
      </c>
      <c r="G22" s="105">
        <v>20</v>
      </c>
      <c r="H22" s="105">
        <v>20</v>
      </c>
      <c r="I22" s="105">
        <v>20</v>
      </c>
      <c r="J22" s="105">
        <v>20</v>
      </c>
      <c r="K22" s="105">
        <v>20</v>
      </c>
      <c r="L22" s="105">
        <v>20</v>
      </c>
      <c r="M22" s="105">
        <v>20</v>
      </c>
      <c r="N22" s="105">
        <v>20</v>
      </c>
      <c r="O22" s="105">
        <v>20</v>
      </c>
      <c r="P22" s="105">
        <v>20</v>
      </c>
      <c r="Q22" s="105">
        <v>20</v>
      </c>
      <c r="R22" s="105">
        <v>20</v>
      </c>
      <c r="S22" s="105">
        <v>20</v>
      </c>
      <c r="T22" s="105">
        <v>20</v>
      </c>
      <c r="U22" s="105">
        <v>20</v>
      </c>
      <c r="V22" s="105">
        <v>20</v>
      </c>
      <c r="W22" s="105">
        <v>20</v>
      </c>
      <c r="X22" s="105">
        <v>20</v>
      </c>
      <c r="Y22" s="105">
        <v>20</v>
      </c>
      <c r="Z22" s="105">
        <v>20</v>
      </c>
      <c r="AA22" s="105">
        <v>20</v>
      </c>
      <c r="AB22" s="105">
        <v>20</v>
      </c>
      <c r="AC22" s="105">
        <v>20</v>
      </c>
      <c r="AD22" s="105">
        <v>20</v>
      </c>
      <c r="AE22" s="105">
        <v>20</v>
      </c>
      <c r="AF22" s="105">
        <v>20</v>
      </c>
      <c r="AG22" s="126">
        <v>22.2</v>
      </c>
      <c r="AH22" s="20">
        <f t="shared" si="2"/>
        <v>20</v>
      </c>
      <c r="AI22" s="19">
        <f t="shared" si="3"/>
        <v>20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21</v>
      </c>
      <c r="C23" s="105">
        <v>21</v>
      </c>
      <c r="D23" s="105">
        <v>21</v>
      </c>
      <c r="E23" s="105">
        <v>21</v>
      </c>
      <c r="F23" s="105">
        <v>21</v>
      </c>
      <c r="G23" s="105">
        <v>18</v>
      </c>
      <c r="H23" s="105">
        <v>18</v>
      </c>
      <c r="I23" s="105">
        <v>18</v>
      </c>
      <c r="J23" s="105">
        <v>18</v>
      </c>
      <c r="K23" s="105">
        <v>22</v>
      </c>
      <c r="L23" s="105">
        <v>22</v>
      </c>
      <c r="M23" s="105">
        <v>22</v>
      </c>
      <c r="N23" s="105">
        <v>22</v>
      </c>
      <c r="O23" s="105">
        <v>22</v>
      </c>
      <c r="P23" s="105">
        <v>22</v>
      </c>
      <c r="Q23" s="105">
        <v>22</v>
      </c>
      <c r="R23" s="105">
        <v>22</v>
      </c>
      <c r="S23" s="105">
        <v>22</v>
      </c>
      <c r="T23" s="105">
        <v>22</v>
      </c>
      <c r="U23" s="105">
        <v>22</v>
      </c>
      <c r="V23" s="105">
        <v>22</v>
      </c>
      <c r="W23" s="105">
        <v>22</v>
      </c>
      <c r="X23" s="105">
        <v>22</v>
      </c>
      <c r="Y23" s="105">
        <v>22</v>
      </c>
      <c r="Z23" s="105">
        <v>22</v>
      </c>
      <c r="AA23" s="105">
        <v>22</v>
      </c>
      <c r="AB23" s="105">
        <v>22</v>
      </c>
      <c r="AC23" s="105">
        <v>22</v>
      </c>
      <c r="AD23" s="105">
        <v>22</v>
      </c>
      <c r="AE23" s="105">
        <v>22</v>
      </c>
      <c r="AF23" s="105">
        <v>22</v>
      </c>
      <c r="AG23" s="126">
        <v>22.1</v>
      </c>
      <c r="AH23" s="20">
        <f t="shared" si="2"/>
        <v>22</v>
      </c>
      <c r="AI23" s="19">
        <f t="shared" si="3"/>
        <v>18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21</v>
      </c>
      <c r="C24" s="105">
        <v>21</v>
      </c>
      <c r="D24" s="105">
        <v>21</v>
      </c>
      <c r="E24" s="105">
        <v>21</v>
      </c>
      <c r="F24" s="105">
        <v>21</v>
      </c>
      <c r="G24" s="105">
        <v>21</v>
      </c>
      <c r="H24" s="105">
        <v>21</v>
      </c>
      <c r="I24" s="105">
        <v>21</v>
      </c>
      <c r="J24" s="105">
        <v>21</v>
      </c>
      <c r="K24" s="105">
        <v>21</v>
      </c>
      <c r="L24" s="105">
        <v>21</v>
      </c>
      <c r="M24" s="105">
        <v>21</v>
      </c>
      <c r="N24" s="105">
        <v>21</v>
      </c>
      <c r="O24" s="105">
        <v>21</v>
      </c>
      <c r="P24" s="105">
        <v>21</v>
      </c>
      <c r="Q24" s="105">
        <v>21</v>
      </c>
      <c r="R24" s="105">
        <v>21</v>
      </c>
      <c r="S24" s="105">
        <v>21</v>
      </c>
      <c r="T24" s="105">
        <v>21</v>
      </c>
      <c r="U24" s="105">
        <v>21</v>
      </c>
      <c r="V24" s="105">
        <v>21</v>
      </c>
      <c r="W24" s="105">
        <v>21</v>
      </c>
      <c r="X24" s="105">
        <v>21</v>
      </c>
      <c r="Y24" s="105">
        <v>21</v>
      </c>
      <c r="Z24" s="105">
        <v>21</v>
      </c>
      <c r="AA24" s="105">
        <v>21</v>
      </c>
      <c r="AB24" s="105">
        <v>21</v>
      </c>
      <c r="AC24" s="105">
        <v>21</v>
      </c>
      <c r="AD24" s="105">
        <v>21</v>
      </c>
      <c r="AE24" s="105">
        <v>21</v>
      </c>
      <c r="AF24" s="105">
        <v>21</v>
      </c>
      <c r="AG24" s="126">
        <v>22</v>
      </c>
      <c r="AH24" s="20">
        <f t="shared" si="2"/>
        <v>21</v>
      </c>
      <c r="AI24" s="19">
        <f t="shared" si="3"/>
        <v>21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22</v>
      </c>
      <c r="C25" s="105">
        <v>22</v>
      </c>
      <c r="D25" s="105">
        <v>22</v>
      </c>
      <c r="E25" s="105">
        <v>22</v>
      </c>
      <c r="F25" s="105">
        <v>22</v>
      </c>
      <c r="G25" s="105">
        <v>22</v>
      </c>
      <c r="H25" s="105">
        <v>22</v>
      </c>
      <c r="I25" s="105">
        <v>22</v>
      </c>
      <c r="J25" s="105">
        <v>22</v>
      </c>
      <c r="K25" s="105">
        <v>22</v>
      </c>
      <c r="L25" s="105">
        <v>22</v>
      </c>
      <c r="M25" s="105">
        <v>22</v>
      </c>
      <c r="N25" s="105">
        <v>22</v>
      </c>
      <c r="O25" s="105">
        <v>22</v>
      </c>
      <c r="P25" s="105">
        <v>11</v>
      </c>
      <c r="Q25" s="105">
        <v>11</v>
      </c>
      <c r="R25" s="105">
        <v>11</v>
      </c>
      <c r="S25" s="105">
        <v>22</v>
      </c>
      <c r="T25" s="105">
        <v>22</v>
      </c>
      <c r="U25" s="105">
        <v>22</v>
      </c>
      <c r="V25" s="105">
        <v>22</v>
      </c>
      <c r="W25" s="105">
        <v>22</v>
      </c>
      <c r="X25" s="105">
        <v>22</v>
      </c>
      <c r="Y25" s="105">
        <v>22</v>
      </c>
      <c r="Z25" s="105">
        <v>22</v>
      </c>
      <c r="AA25" s="105">
        <v>22</v>
      </c>
      <c r="AB25" s="105">
        <v>22</v>
      </c>
      <c r="AC25" s="105">
        <v>22</v>
      </c>
      <c r="AD25" s="105">
        <v>22</v>
      </c>
      <c r="AE25" s="105">
        <v>22</v>
      </c>
      <c r="AF25" s="105">
        <v>22</v>
      </c>
      <c r="AG25" s="126">
        <v>22</v>
      </c>
      <c r="AH25" s="20">
        <f t="shared" si="2"/>
        <v>22</v>
      </c>
      <c r="AI25" s="19">
        <f t="shared" si="3"/>
        <v>11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5</v>
      </c>
      <c r="L26" s="105">
        <v>10</v>
      </c>
      <c r="M26" s="105">
        <v>10</v>
      </c>
      <c r="N26" s="105">
        <v>10</v>
      </c>
      <c r="O26" s="105">
        <v>10</v>
      </c>
      <c r="P26" s="105">
        <v>10</v>
      </c>
      <c r="Q26" s="105">
        <v>10</v>
      </c>
      <c r="R26" s="105">
        <v>10</v>
      </c>
      <c r="S26" s="105">
        <v>10</v>
      </c>
      <c r="T26" s="105">
        <v>10</v>
      </c>
      <c r="U26" s="105">
        <v>10</v>
      </c>
      <c r="V26" s="105">
        <v>10</v>
      </c>
      <c r="W26" s="105">
        <v>10</v>
      </c>
      <c r="X26" s="105">
        <v>10</v>
      </c>
      <c r="Y26" s="105">
        <v>10</v>
      </c>
      <c r="Z26" s="105">
        <v>10</v>
      </c>
      <c r="AA26" s="105">
        <v>10</v>
      </c>
      <c r="AB26" s="105">
        <v>10</v>
      </c>
      <c r="AC26" s="105">
        <v>10</v>
      </c>
      <c r="AD26" s="105">
        <v>10</v>
      </c>
      <c r="AE26" s="105">
        <v>8</v>
      </c>
      <c r="AF26" s="105">
        <v>8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14.9</v>
      </c>
      <c r="C27" s="105">
        <v>14.9</v>
      </c>
      <c r="D27" s="105">
        <v>14.9</v>
      </c>
      <c r="E27" s="105">
        <v>14.9</v>
      </c>
      <c r="F27" s="105">
        <v>14.9</v>
      </c>
      <c r="G27" s="105">
        <v>14.9</v>
      </c>
      <c r="H27" s="105">
        <v>14.9</v>
      </c>
      <c r="I27" s="105">
        <v>14.9</v>
      </c>
      <c r="J27" s="105">
        <v>14.9</v>
      </c>
      <c r="K27" s="105">
        <v>14.9</v>
      </c>
      <c r="L27" s="105">
        <v>14.9</v>
      </c>
      <c r="M27" s="105">
        <v>14.9</v>
      </c>
      <c r="N27" s="105">
        <v>14.9</v>
      </c>
      <c r="O27" s="105">
        <v>14.9</v>
      </c>
      <c r="P27" s="105">
        <v>14.9</v>
      </c>
      <c r="Q27" s="105">
        <v>14.9</v>
      </c>
      <c r="R27" s="105">
        <v>14.9</v>
      </c>
      <c r="S27" s="105">
        <v>14.9</v>
      </c>
      <c r="T27" s="105">
        <v>14.9</v>
      </c>
      <c r="U27" s="105">
        <v>14.9</v>
      </c>
      <c r="V27" s="105">
        <v>14.9</v>
      </c>
      <c r="W27" s="105">
        <v>14.9</v>
      </c>
      <c r="X27" s="105">
        <v>14.9</v>
      </c>
      <c r="Y27" s="105">
        <v>14.9</v>
      </c>
      <c r="Z27" s="105">
        <v>14.9</v>
      </c>
      <c r="AA27" s="105">
        <v>14.9</v>
      </c>
      <c r="AB27" s="105">
        <v>14.9</v>
      </c>
      <c r="AC27" s="105">
        <v>14.9</v>
      </c>
      <c r="AD27" s="105">
        <v>14.9</v>
      </c>
      <c r="AE27" s="105">
        <v>14.9</v>
      </c>
      <c r="AF27" s="105">
        <v>14.9</v>
      </c>
      <c r="AG27" s="126">
        <v>14.9</v>
      </c>
      <c r="AH27" s="20">
        <f t="shared" si="2"/>
        <v>14.9</v>
      </c>
      <c r="AI27" s="19">
        <f t="shared" si="3"/>
        <v>14.9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>
        <v>6.8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>
        <v>6.8</v>
      </c>
      <c r="AE28" s="105">
        <v>6.8</v>
      </c>
      <c r="AF28" s="105">
        <v>6.8</v>
      </c>
      <c r="AG28" s="126">
        <v>13.6</v>
      </c>
      <c r="AH28" s="20">
        <f t="shared" si="2"/>
        <v>6.8</v>
      </c>
      <c r="AI28" s="19">
        <f t="shared" si="3"/>
        <v>6.8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13</v>
      </c>
      <c r="C29" s="105">
        <v>13</v>
      </c>
      <c r="D29" s="105">
        <v>13</v>
      </c>
      <c r="E29" s="105">
        <v>13</v>
      </c>
      <c r="F29" s="105">
        <v>13</v>
      </c>
      <c r="G29" s="105">
        <v>13</v>
      </c>
      <c r="H29" s="105">
        <v>13</v>
      </c>
      <c r="I29" s="105">
        <v>13</v>
      </c>
      <c r="J29" s="105">
        <v>13</v>
      </c>
      <c r="K29" s="105">
        <v>13</v>
      </c>
      <c r="L29" s="105">
        <v>13</v>
      </c>
      <c r="M29" s="105">
        <v>13</v>
      </c>
      <c r="N29" s="105">
        <v>13</v>
      </c>
      <c r="O29" s="105">
        <v>13</v>
      </c>
      <c r="P29" s="105">
        <v>13</v>
      </c>
      <c r="Q29" s="105">
        <v>13</v>
      </c>
      <c r="R29" s="105">
        <v>13</v>
      </c>
      <c r="S29" s="105">
        <v>13</v>
      </c>
      <c r="T29" s="105">
        <v>13</v>
      </c>
      <c r="U29" s="105">
        <v>13</v>
      </c>
      <c r="V29" s="105">
        <v>13</v>
      </c>
      <c r="W29" s="105">
        <v>13</v>
      </c>
      <c r="X29" s="105">
        <v>13</v>
      </c>
      <c r="Y29" s="105">
        <v>13</v>
      </c>
      <c r="Z29" s="105">
        <v>13</v>
      </c>
      <c r="AA29" s="105">
        <v>13</v>
      </c>
      <c r="AB29" s="105">
        <v>13</v>
      </c>
      <c r="AC29" s="105">
        <v>13</v>
      </c>
      <c r="AD29" s="105">
        <v>13</v>
      </c>
      <c r="AE29" s="105">
        <v>13</v>
      </c>
      <c r="AF29" s="105">
        <v>13</v>
      </c>
      <c r="AG29" s="126">
        <v>13</v>
      </c>
      <c r="AH29" s="20">
        <f t="shared" si="2"/>
        <v>13</v>
      </c>
      <c r="AI29" s="19">
        <f t="shared" si="3"/>
        <v>13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6</v>
      </c>
      <c r="C30" s="105">
        <v>6</v>
      </c>
      <c r="D30" s="105">
        <v>6</v>
      </c>
      <c r="E30" s="105">
        <v>0</v>
      </c>
      <c r="F30" s="105">
        <v>0</v>
      </c>
      <c r="G30" s="105">
        <v>0</v>
      </c>
      <c r="H30" s="105">
        <v>3</v>
      </c>
      <c r="I30" s="105">
        <v>3</v>
      </c>
      <c r="J30" s="105">
        <v>3</v>
      </c>
      <c r="K30" s="105">
        <v>12</v>
      </c>
      <c r="L30" s="105">
        <v>12</v>
      </c>
      <c r="M30" s="105">
        <v>10</v>
      </c>
      <c r="N30" s="105">
        <v>10</v>
      </c>
      <c r="O30" s="105">
        <v>10</v>
      </c>
      <c r="P30" s="105">
        <v>10</v>
      </c>
      <c r="Q30" s="105">
        <v>10</v>
      </c>
      <c r="R30" s="105">
        <v>10</v>
      </c>
      <c r="S30" s="105">
        <v>10</v>
      </c>
      <c r="T30" s="105">
        <v>10</v>
      </c>
      <c r="U30" s="105">
        <v>10</v>
      </c>
      <c r="V30" s="105">
        <v>10</v>
      </c>
      <c r="W30" s="105">
        <v>10</v>
      </c>
      <c r="X30" s="105">
        <v>10</v>
      </c>
      <c r="Y30" s="105">
        <v>10</v>
      </c>
      <c r="Z30" s="105">
        <v>10</v>
      </c>
      <c r="AA30" s="105">
        <v>10</v>
      </c>
      <c r="AB30" s="105">
        <v>10</v>
      </c>
      <c r="AC30" s="105">
        <v>10</v>
      </c>
      <c r="AD30" s="105">
        <v>10</v>
      </c>
      <c r="AE30" s="105">
        <v>10</v>
      </c>
      <c r="AF30" s="105">
        <v>10</v>
      </c>
      <c r="AG30" s="126">
        <v>12</v>
      </c>
      <c r="AH30" s="20">
        <f t="shared" si="2"/>
        <v>12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12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>
        <v>12</v>
      </c>
      <c r="AE31" s="105">
        <v>12</v>
      </c>
      <c r="AF31" s="105">
        <v>12</v>
      </c>
      <c r="AG31" s="126">
        <v>12</v>
      </c>
      <c r="AH31" s="20">
        <f t="shared" si="2"/>
        <v>12</v>
      </c>
      <c r="AI31" s="19">
        <f t="shared" si="3"/>
        <v>12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2</v>
      </c>
      <c r="C32" s="105">
        <v>2</v>
      </c>
      <c r="D32" s="105">
        <v>2</v>
      </c>
      <c r="E32" s="105">
        <v>2</v>
      </c>
      <c r="F32" s="105">
        <v>2</v>
      </c>
      <c r="G32" s="105">
        <v>2</v>
      </c>
      <c r="H32" s="105">
        <v>2</v>
      </c>
      <c r="I32" s="105">
        <v>2</v>
      </c>
      <c r="J32" s="105">
        <v>2</v>
      </c>
      <c r="K32" s="105">
        <v>2</v>
      </c>
      <c r="L32" s="105">
        <v>2</v>
      </c>
      <c r="M32" s="105">
        <v>0</v>
      </c>
      <c r="N32" s="105">
        <v>0</v>
      </c>
      <c r="O32" s="105">
        <v>2</v>
      </c>
      <c r="P32" s="105">
        <v>2</v>
      </c>
      <c r="Q32" s="105">
        <v>2</v>
      </c>
      <c r="R32" s="105">
        <v>2</v>
      </c>
      <c r="S32" s="105">
        <v>2</v>
      </c>
      <c r="T32" s="105">
        <v>2</v>
      </c>
      <c r="U32" s="105">
        <v>2</v>
      </c>
      <c r="V32" s="105">
        <v>2</v>
      </c>
      <c r="W32" s="105">
        <v>2</v>
      </c>
      <c r="X32" s="105">
        <v>2</v>
      </c>
      <c r="Y32" s="105">
        <v>2</v>
      </c>
      <c r="Z32" s="105">
        <v>2</v>
      </c>
      <c r="AA32" s="105">
        <v>2</v>
      </c>
      <c r="AB32" s="105">
        <v>2</v>
      </c>
      <c r="AC32" s="105">
        <v>2</v>
      </c>
      <c r="AD32" s="105">
        <v>2</v>
      </c>
      <c r="AE32" s="105">
        <v>2</v>
      </c>
      <c r="AF32" s="105">
        <v>2</v>
      </c>
      <c r="AG32" s="126">
        <v>12</v>
      </c>
      <c r="AH32" s="20">
        <f t="shared" si="2"/>
        <v>2</v>
      </c>
      <c r="AI32" s="19">
        <f t="shared" si="3"/>
        <v>0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10</v>
      </c>
      <c r="C33" s="105">
        <v>10</v>
      </c>
      <c r="D33" s="105">
        <v>10</v>
      </c>
      <c r="E33" s="105">
        <v>10</v>
      </c>
      <c r="F33" s="105">
        <v>10</v>
      </c>
      <c r="G33" s="105">
        <v>10</v>
      </c>
      <c r="H33" s="105">
        <v>10</v>
      </c>
      <c r="I33" s="105">
        <v>10</v>
      </c>
      <c r="J33" s="105">
        <v>10</v>
      </c>
      <c r="K33" s="105">
        <v>10</v>
      </c>
      <c r="L33" s="105">
        <v>10</v>
      </c>
      <c r="M33" s="105">
        <v>10</v>
      </c>
      <c r="N33" s="105">
        <v>10</v>
      </c>
      <c r="O33" s="105">
        <v>10</v>
      </c>
      <c r="P33" s="105">
        <v>10</v>
      </c>
      <c r="Q33" s="105">
        <v>10</v>
      </c>
      <c r="R33" s="105">
        <v>10</v>
      </c>
      <c r="S33" s="105">
        <v>10</v>
      </c>
      <c r="T33" s="105">
        <v>10</v>
      </c>
      <c r="U33" s="105">
        <v>10</v>
      </c>
      <c r="V33" s="105">
        <v>10</v>
      </c>
      <c r="W33" s="105">
        <v>10</v>
      </c>
      <c r="X33" s="105">
        <v>10</v>
      </c>
      <c r="Y33" s="105">
        <v>10</v>
      </c>
      <c r="Z33" s="105">
        <v>10</v>
      </c>
      <c r="AA33" s="105">
        <v>10</v>
      </c>
      <c r="AB33" s="105">
        <v>10</v>
      </c>
      <c r="AC33" s="105">
        <v>10</v>
      </c>
      <c r="AD33" s="105">
        <v>10</v>
      </c>
      <c r="AE33" s="105">
        <v>10</v>
      </c>
      <c r="AF33" s="105">
        <v>10</v>
      </c>
      <c r="AG33" s="125">
        <v>22</v>
      </c>
      <c r="AH33" s="20">
        <f t="shared" si="2"/>
        <v>10</v>
      </c>
      <c r="AI33" s="19">
        <f t="shared" si="3"/>
        <v>10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12</v>
      </c>
      <c r="C34" s="105">
        <v>12</v>
      </c>
      <c r="D34" s="105">
        <v>12</v>
      </c>
      <c r="E34" s="105">
        <v>12</v>
      </c>
      <c r="F34" s="105">
        <v>12</v>
      </c>
      <c r="G34" s="105">
        <v>12</v>
      </c>
      <c r="H34" s="105">
        <v>12</v>
      </c>
      <c r="I34" s="105">
        <v>12</v>
      </c>
      <c r="J34" s="105">
        <v>12</v>
      </c>
      <c r="K34" s="105">
        <v>12</v>
      </c>
      <c r="L34" s="105">
        <v>12</v>
      </c>
      <c r="M34" s="105">
        <v>12</v>
      </c>
      <c r="N34" s="105">
        <v>12</v>
      </c>
      <c r="O34" s="105">
        <v>12</v>
      </c>
      <c r="P34" s="105">
        <v>12</v>
      </c>
      <c r="Q34" s="105">
        <v>12</v>
      </c>
      <c r="R34" s="105">
        <v>12</v>
      </c>
      <c r="S34" s="105">
        <v>12</v>
      </c>
      <c r="T34" s="105">
        <v>12</v>
      </c>
      <c r="U34" s="105">
        <v>12</v>
      </c>
      <c r="V34" s="105">
        <v>12</v>
      </c>
      <c r="W34" s="105">
        <v>12</v>
      </c>
      <c r="X34" s="105">
        <v>12</v>
      </c>
      <c r="Y34" s="105">
        <v>12</v>
      </c>
      <c r="Z34" s="105">
        <v>12</v>
      </c>
      <c r="AA34" s="105">
        <v>12</v>
      </c>
      <c r="AB34" s="105">
        <v>12</v>
      </c>
      <c r="AC34" s="105">
        <v>12</v>
      </c>
      <c r="AD34" s="105">
        <v>12</v>
      </c>
      <c r="AE34" s="105">
        <v>12</v>
      </c>
      <c r="AF34" s="105">
        <v>12</v>
      </c>
      <c r="AG34" s="96">
        <v>11.88</v>
      </c>
      <c r="AH34" s="20">
        <f t="shared" si="2"/>
        <v>12</v>
      </c>
      <c r="AI34" s="19">
        <f t="shared" si="3"/>
        <v>12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9</v>
      </c>
      <c r="G35" s="105">
        <v>9</v>
      </c>
      <c r="H35" s="105">
        <v>9</v>
      </c>
      <c r="I35" s="105">
        <v>9</v>
      </c>
      <c r="J35" s="105">
        <v>9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>
        <v>11</v>
      </c>
      <c r="AG35" s="94">
        <v>11</v>
      </c>
      <c r="AH35" s="20">
        <f t="shared" si="2"/>
        <v>11</v>
      </c>
      <c r="AI35" s="19">
        <f t="shared" si="3"/>
        <v>9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>
        <v>9</v>
      </c>
      <c r="E36" s="105">
        <v>9</v>
      </c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>
        <v>9</v>
      </c>
      <c r="N36" s="105">
        <v>9</v>
      </c>
      <c r="O36" s="105">
        <v>9</v>
      </c>
      <c r="P36" s="105">
        <v>9</v>
      </c>
      <c r="Q36" s="105">
        <v>9</v>
      </c>
      <c r="R36" s="105">
        <v>9</v>
      </c>
      <c r="S36" s="105">
        <v>9</v>
      </c>
      <c r="T36" s="105">
        <v>9</v>
      </c>
      <c r="U36" s="105">
        <v>9</v>
      </c>
      <c r="V36" s="105">
        <v>9</v>
      </c>
      <c r="W36" s="105">
        <v>9</v>
      </c>
      <c r="X36" s="105">
        <v>9</v>
      </c>
      <c r="Y36" s="105">
        <v>9</v>
      </c>
      <c r="Z36" s="105">
        <v>9</v>
      </c>
      <c r="AA36" s="105">
        <v>9</v>
      </c>
      <c r="AB36" s="105">
        <v>9</v>
      </c>
      <c r="AC36" s="105">
        <v>9</v>
      </c>
      <c r="AD36" s="105">
        <v>9</v>
      </c>
      <c r="AE36" s="105">
        <v>9</v>
      </c>
      <c r="AF36" s="105">
        <v>9</v>
      </c>
      <c r="AG36" s="94">
        <v>10</v>
      </c>
      <c r="AH36" s="20">
        <f t="shared" si="2"/>
        <v>9</v>
      </c>
      <c r="AI36" s="19">
        <f t="shared" si="3"/>
        <v>9</v>
      </c>
      <c r="AJ36" s="19"/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2</v>
      </c>
      <c r="N37" s="105">
        <v>2</v>
      </c>
      <c r="O37" s="105">
        <v>2</v>
      </c>
      <c r="P37" s="105">
        <v>2</v>
      </c>
      <c r="Q37" s="105">
        <v>2</v>
      </c>
      <c r="R37" s="105">
        <v>2</v>
      </c>
      <c r="S37" s="105">
        <v>2</v>
      </c>
      <c r="T37" s="105">
        <v>2</v>
      </c>
      <c r="U37" s="105">
        <v>2</v>
      </c>
      <c r="V37" s="105">
        <v>2</v>
      </c>
      <c r="W37" s="105">
        <v>2</v>
      </c>
      <c r="X37" s="105">
        <v>2</v>
      </c>
      <c r="Y37" s="105">
        <v>2</v>
      </c>
      <c r="Z37" s="105">
        <v>2</v>
      </c>
      <c r="AA37" s="105">
        <v>2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2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f>84.8+99.8</f>
        <v>184.6</v>
      </c>
      <c r="C39" s="119">
        <f>85.1+100</f>
        <v>185.1</v>
      </c>
      <c r="D39" s="119">
        <f>85.1+100.5</f>
        <v>185.6</v>
      </c>
      <c r="E39" s="119">
        <f>84.5+99.3</f>
        <v>183.8</v>
      </c>
      <c r="F39" s="119">
        <f>80.7+99.2</f>
        <v>179.9</v>
      </c>
      <c r="G39" s="119">
        <f>79+98.8</f>
        <v>177.8</v>
      </c>
      <c r="H39" s="119">
        <f>79+98.4</f>
        <v>177.4</v>
      </c>
      <c r="I39" s="119">
        <f>78.8+98.5</f>
        <v>177.3</v>
      </c>
      <c r="J39" s="119">
        <f>66.7+97.6</f>
        <v>164.3</v>
      </c>
      <c r="K39" s="119">
        <f>83.5+97.5</f>
        <v>181</v>
      </c>
      <c r="L39" s="113">
        <f>84+97.5</f>
        <v>181.5</v>
      </c>
      <c r="M39" s="113">
        <f>97.1+83.6</f>
        <v>180.7</v>
      </c>
      <c r="N39" s="113">
        <f>91.7+83</f>
        <v>174.7</v>
      </c>
      <c r="O39" s="113">
        <f>97.3+83.4</f>
        <v>180.7</v>
      </c>
      <c r="P39" s="113">
        <f>98+82</f>
        <v>180</v>
      </c>
      <c r="Q39" s="113">
        <f>98.6+83.3</f>
        <v>181.89999999999998</v>
      </c>
      <c r="R39" s="113">
        <f>82+98</f>
        <v>180</v>
      </c>
      <c r="S39" s="113">
        <f>84+98.3</f>
        <v>182.3</v>
      </c>
      <c r="T39" s="113">
        <f>82.1+98.2</f>
        <v>180.3</v>
      </c>
      <c r="U39" s="113">
        <f>83.9+98.3</f>
        <v>182.2</v>
      </c>
      <c r="V39" s="113">
        <f>84.2+97.5</f>
        <v>181.7</v>
      </c>
      <c r="W39" s="119">
        <v>181</v>
      </c>
      <c r="X39" s="119">
        <f>83.1+95.2</f>
        <v>178.3</v>
      </c>
      <c r="Y39" s="119">
        <f>185</f>
        <v>185</v>
      </c>
      <c r="Z39" s="119">
        <f>83.3+95.6</f>
        <v>178.89999999999998</v>
      </c>
      <c r="AA39" s="119">
        <f>83.3+95.6</f>
        <v>178.89999999999998</v>
      </c>
      <c r="AB39" s="119">
        <f>83.7+96.7</f>
        <v>180.4</v>
      </c>
      <c r="AC39" s="119">
        <f>83.7+96.7</f>
        <v>180.4</v>
      </c>
      <c r="AD39" s="119">
        <f>83.7+96.7</f>
        <v>180.4</v>
      </c>
      <c r="AE39" s="119">
        <f>83.7+96.7</f>
        <v>180.4</v>
      </c>
      <c r="AF39" s="119">
        <f>97.4</f>
        <v>97.4</v>
      </c>
      <c r="AG39" s="94">
        <v>240</v>
      </c>
      <c r="AH39" s="20">
        <f t="shared" si="2"/>
        <v>185.6</v>
      </c>
      <c r="AI39" s="19">
        <f t="shared" si="3"/>
        <v>97.4</v>
      </c>
      <c r="AK39" s="41"/>
    </row>
    <row r="40" spans="1:88" ht="15.75" thickBot="1" x14ac:dyDescent="0.3">
      <c r="A40" s="118" t="s">
        <v>195</v>
      </c>
      <c r="B40" s="86">
        <f t="shared" ref="B40:AG40" si="4">SUM(B11:B38)</f>
        <v>792.3</v>
      </c>
      <c r="C40" s="86">
        <f t="shared" si="4"/>
        <v>792.3</v>
      </c>
      <c r="D40" s="86">
        <f t="shared" si="4"/>
        <v>792.5</v>
      </c>
      <c r="E40" s="86">
        <f t="shared" si="4"/>
        <v>774.5</v>
      </c>
      <c r="F40" s="86">
        <f t="shared" si="4"/>
        <v>771.3</v>
      </c>
      <c r="G40" s="86">
        <f t="shared" si="4"/>
        <v>768.3</v>
      </c>
      <c r="H40" s="86">
        <f t="shared" si="4"/>
        <v>776.3</v>
      </c>
      <c r="I40" s="86">
        <f t="shared" si="4"/>
        <v>776.3</v>
      </c>
      <c r="J40" s="86">
        <f t="shared" si="4"/>
        <v>776.3</v>
      </c>
      <c r="K40" s="86">
        <f t="shared" si="4"/>
        <v>835.3</v>
      </c>
      <c r="L40" s="86">
        <f t="shared" si="4"/>
        <v>853.3</v>
      </c>
      <c r="M40" s="86">
        <f t="shared" si="4"/>
        <v>851.3</v>
      </c>
      <c r="N40" s="86">
        <f t="shared" si="4"/>
        <v>851.3</v>
      </c>
      <c r="O40" s="86">
        <f t="shared" si="4"/>
        <v>856.5</v>
      </c>
      <c r="P40" s="86">
        <f t="shared" si="4"/>
        <v>848.5</v>
      </c>
      <c r="Q40" s="86">
        <f t="shared" si="4"/>
        <v>843.5</v>
      </c>
      <c r="R40" s="86">
        <f t="shared" si="4"/>
        <v>843.5</v>
      </c>
      <c r="S40" s="86">
        <f t="shared" si="4"/>
        <v>854.5</v>
      </c>
      <c r="T40" s="86">
        <f t="shared" si="4"/>
        <v>854.5</v>
      </c>
      <c r="U40" s="86">
        <f t="shared" si="4"/>
        <v>854.5</v>
      </c>
      <c r="V40" s="86">
        <f t="shared" si="4"/>
        <v>854.5</v>
      </c>
      <c r="W40" s="86">
        <f t="shared" si="4"/>
        <v>854.5</v>
      </c>
      <c r="X40" s="86">
        <f t="shared" si="4"/>
        <v>854.5</v>
      </c>
      <c r="Y40" s="86">
        <f t="shared" si="4"/>
        <v>854.5</v>
      </c>
      <c r="Z40" s="86">
        <f t="shared" si="4"/>
        <v>854.5</v>
      </c>
      <c r="AA40" s="86">
        <f t="shared" si="4"/>
        <v>854.5</v>
      </c>
      <c r="AB40" s="86">
        <f t="shared" si="4"/>
        <v>848.4</v>
      </c>
      <c r="AC40" s="86">
        <f t="shared" si="4"/>
        <v>843.4</v>
      </c>
      <c r="AD40" s="86">
        <f t="shared" si="4"/>
        <v>840.4</v>
      </c>
      <c r="AE40" s="86">
        <f t="shared" si="4"/>
        <v>835.4</v>
      </c>
      <c r="AF40" s="86">
        <f t="shared" si="4"/>
        <v>810.59999999999991</v>
      </c>
      <c r="AG40" s="101">
        <f t="shared" si="4"/>
        <v>707.78000000000009</v>
      </c>
      <c r="AH40" s="20">
        <f t="shared" si="2"/>
        <v>856.5</v>
      </c>
      <c r="AI40" s="19">
        <f t="shared" si="3"/>
        <v>768.3</v>
      </c>
      <c r="AK40" s="41"/>
    </row>
    <row r="41" spans="1:88" x14ac:dyDescent="0.25">
      <c r="A41" s="117" t="s">
        <v>194</v>
      </c>
      <c r="B41" s="105">
        <v>456</v>
      </c>
      <c r="C41" s="105">
        <v>456</v>
      </c>
      <c r="D41" s="105">
        <v>456</v>
      </c>
      <c r="E41" s="105">
        <v>456</v>
      </c>
      <c r="F41" s="105">
        <v>456</v>
      </c>
      <c r="G41" s="105">
        <v>456</v>
      </c>
      <c r="H41" s="105">
        <v>456</v>
      </c>
      <c r="I41" s="105">
        <v>456</v>
      </c>
      <c r="J41" s="105">
        <v>456</v>
      </c>
      <c r="K41" s="105">
        <v>456</v>
      </c>
      <c r="L41" s="105">
        <v>456</v>
      </c>
      <c r="M41" s="105">
        <v>456</v>
      </c>
      <c r="N41" s="105">
        <v>456</v>
      </c>
      <c r="O41" s="105">
        <v>456</v>
      </c>
      <c r="P41" s="105">
        <v>456</v>
      </c>
      <c r="Q41" s="105">
        <v>456</v>
      </c>
      <c r="R41" s="105">
        <v>456</v>
      </c>
      <c r="S41" s="105">
        <v>456</v>
      </c>
      <c r="T41" s="105">
        <v>456</v>
      </c>
      <c r="U41" s="105">
        <v>456</v>
      </c>
      <c r="V41" s="105">
        <v>456</v>
      </c>
      <c r="W41" s="105">
        <v>456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456</v>
      </c>
      <c r="AD41" s="105">
        <v>456</v>
      </c>
      <c r="AE41" s="105">
        <v>456</v>
      </c>
      <c r="AF41" s="105">
        <v>456</v>
      </c>
      <c r="AG41" s="96">
        <v>456</v>
      </c>
      <c r="AH41" s="20">
        <f t="shared" si="2"/>
        <v>456</v>
      </c>
      <c r="AI41" s="19">
        <f t="shared" si="3"/>
        <v>456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>
        <v>60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>
        <v>22</v>
      </c>
      <c r="S43" s="107">
        <v>22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>
        <v>22</v>
      </c>
      <c r="AG43" s="106">
        <v>22.1</v>
      </c>
      <c r="AH43" s="20">
        <f t="shared" si="2"/>
        <v>22</v>
      </c>
      <c r="AI43" s="19">
        <f t="shared" si="3"/>
        <v>22</v>
      </c>
      <c r="AK43" s="41"/>
    </row>
    <row r="44" spans="1:88" ht="15.75" thickBot="1" x14ac:dyDescent="0.3">
      <c r="A44" s="114" t="s">
        <v>191</v>
      </c>
      <c r="B44" s="86">
        <f t="shared" ref="B44:AG44" si="5">SUM(B41:B43)</f>
        <v>538</v>
      </c>
      <c r="C44" s="86">
        <f t="shared" si="5"/>
        <v>538</v>
      </c>
      <c r="D44" s="86">
        <f t="shared" si="5"/>
        <v>538</v>
      </c>
      <c r="E44" s="86">
        <f t="shared" si="5"/>
        <v>538</v>
      </c>
      <c r="F44" s="86">
        <f t="shared" si="5"/>
        <v>538</v>
      </c>
      <c r="G44" s="86">
        <f t="shared" si="5"/>
        <v>538</v>
      </c>
      <c r="H44" s="86">
        <f t="shared" si="5"/>
        <v>538</v>
      </c>
      <c r="I44" s="86">
        <f t="shared" si="5"/>
        <v>538</v>
      </c>
      <c r="J44" s="86">
        <f t="shared" si="5"/>
        <v>538</v>
      </c>
      <c r="K44" s="86">
        <f t="shared" si="5"/>
        <v>538</v>
      </c>
      <c r="L44" s="86">
        <f t="shared" si="5"/>
        <v>538</v>
      </c>
      <c r="M44" s="86">
        <f t="shared" si="5"/>
        <v>538</v>
      </c>
      <c r="N44" s="86">
        <f t="shared" si="5"/>
        <v>538</v>
      </c>
      <c r="O44" s="86">
        <f t="shared" si="5"/>
        <v>538</v>
      </c>
      <c r="P44" s="86">
        <f t="shared" si="5"/>
        <v>538</v>
      </c>
      <c r="Q44" s="86">
        <f t="shared" si="5"/>
        <v>538</v>
      </c>
      <c r="R44" s="86">
        <f t="shared" si="5"/>
        <v>538</v>
      </c>
      <c r="S44" s="86">
        <f t="shared" si="5"/>
        <v>538</v>
      </c>
      <c r="T44" s="86">
        <f t="shared" si="5"/>
        <v>538</v>
      </c>
      <c r="U44" s="86">
        <f t="shared" si="5"/>
        <v>538</v>
      </c>
      <c r="V44" s="86">
        <f t="shared" si="5"/>
        <v>538</v>
      </c>
      <c r="W44" s="86">
        <f t="shared" si="5"/>
        <v>538</v>
      </c>
      <c r="X44" s="86">
        <f t="shared" si="5"/>
        <v>538</v>
      </c>
      <c r="Y44" s="86">
        <f t="shared" si="5"/>
        <v>538</v>
      </c>
      <c r="Z44" s="86">
        <f t="shared" si="5"/>
        <v>538</v>
      </c>
      <c r="AA44" s="86">
        <f t="shared" si="5"/>
        <v>538</v>
      </c>
      <c r="AB44" s="86">
        <f t="shared" si="5"/>
        <v>538</v>
      </c>
      <c r="AC44" s="86">
        <f t="shared" si="5"/>
        <v>538</v>
      </c>
      <c r="AD44" s="86">
        <f t="shared" si="5"/>
        <v>538</v>
      </c>
      <c r="AE44" s="86">
        <f t="shared" si="5"/>
        <v>538</v>
      </c>
      <c r="AF44" s="86">
        <f t="shared" si="5"/>
        <v>538</v>
      </c>
      <c r="AG44" s="101">
        <f t="shared" si="5"/>
        <v>538.1</v>
      </c>
      <c r="AH44" s="20">
        <f t="shared" si="2"/>
        <v>538</v>
      </c>
      <c r="AI44" s="19">
        <f t="shared" si="3"/>
        <v>538</v>
      </c>
      <c r="AK44" s="41"/>
    </row>
    <row r="45" spans="1:88" x14ac:dyDescent="0.25">
      <c r="A45" s="97" t="s">
        <v>190</v>
      </c>
      <c r="B45" s="105">
        <v>144.19999999999999</v>
      </c>
      <c r="C45" s="105">
        <v>144.19999999999999</v>
      </c>
      <c r="D45" s="105">
        <v>122.1</v>
      </c>
      <c r="E45" s="105">
        <v>144</v>
      </c>
      <c r="F45" s="105">
        <v>144</v>
      </c>
      <c r="G45" s="105">
        <v>144</v>
      </c>
      <c r="H45" s="105">
        <v>144</v>
      </c>
      <c r="I45" s="105">
        <v>144</v>
      </c>
      <c r="J45" s="105">
        <v>144</v>
      </c>
      <c r="K45" s="105">
        <v>144</v>
      </c>
      <c r="L45" s="105">
        <v>144</v>
      </c>
      <c r="M45" s="105">
        <v>144</v>
      </c>
      <c r="N45" s="105">
        <v>143.5</v>
      </c>
      <c r="O45" s="105">
        <v>143.9</v>
      </c>
      <c r="P45" s="105">
        <v>144.30000000000001</v>
      </c>
      <c r="Q45" s="105">
        <v>144.1</v>
      </c>
      <c r="R45" s="105">
        <v>144.1</v>
      </c>
      <c r="S45" s="105">
        <v>144.1</v>
      </c>
      <c r="T45" s="105">
        <v>143.69999999999999</v>
      </c>
      <c r="U45" s="105">
        <v>143.5</v>
      </c>
      <c r="V45" s="105">
        <v>143.5</v>
      </c>
      <c r="W45" s="105">
        <v>143.5</v>
      </c>
      <c r="X45" s="105">
        <v>143.5</v>
      </c>
      <c r="Y45" s="105">
        <v>143.5</v>
      </c>
      <c r="Z45" s="105">
        <v>143.80000000000001</v>
      </c>
      <c r="AA45" s="105">
        <v>143.80000000000001</v>
      </c>
      <c r="AB45" s="105">
        <v>143.80000000000001</v>
      </c>
      <c r="AC45" s="105">
        <v>143.80000000000001</v>
      </c>
      <c r="AD45" s="105">
        <v>143.80000000000001</v>
      </c>
      <c r="AE45" s="105">
        <v>143.80000000000001</v>
      </c>
      <c r="AF45" s="105">
        <v>143.80000000000001</v>
      </c>
      <c r="AG45" s="96">
        <v>144</v>
      </c>
      <c r="AH45" s="20">
        <f t="shared" si="2"/>
        <v>144.30000000000001</v>
      </c>
      <c r="AI45" s="19">
        <f t="shared" si="3"/>
        <v>122.1</v>
      </c>
      <c r="AK45" s="41"/>
    </row>
    <row r="46" spans="1:88" x14ac:dyDescent="0.25">
      <c r="A46" s="95" t="s">
        <v>189</v>
      </c>
      <c r="B46" s="80">
        <v>73.400000000000006</v>
      </c>
      <c r="C46" s="80">
        <v>73.400000000000006</v>
      </c>
      <c r="D46" s="80">
        <v>73.400000000000006</v>
      </c>
      <c r="E46" s="80">
        <v>72.7</v>
      </c>
      <c r="F46" s="80">
        <v>72.7</v>
      </c>
      <c r="G46" s="80">
        <v>72.7</v>
      </c>
      <c r="H46" s="80">
        <v>72.7</v>
      </c>
      <c r="I46" s="80">
        <v>72.7</v>
      </c>
      <c r="J46" s="80">
        <v>72.7</v>
      </c>
      <c r="K46" s="80">
        <v>72.7</v>
      </c>
      <c r="L46" s="80">
        <v>72.7</v>
      </c>
      <c r="M46" s="80">
        <v>72.7</v>
      </c>
      <c r="N46" s="105">
        <v>71.8</v>
      </c>
      <c r="O46" s="105">
        <v>71.099999999999994</v>
      </c>
      <c r="P46" s="105">
        <v>71.400000000000006</v>
      </c>
      <c r="Q46" s="105">
        <v>70.099999999999994</v>
      </c>
      <c r="R46" s="105">
        <v>70.099999999999994</v>
      </c>
      <c r="S46" s="105">
        <v>70.099999999999994</v>
      </c>
      <c r="T46" s="105">
        <v>70.7</v>
      </c>
      <c r="U46" s="105">
        <v>70.5</v>
      </c>
      <c r="V46" s="105">
        <v>70.5</v>
      </c>
      <c r="W46" s="105">
        <v>71.7</v>
      </c>
      <c r="X46" s="105">
        <v>71.7</v>
      </c>
      <c r="Y46" s="105">
        <v>71.7</v>
      </c>
      <c r="Z46" s="105">
        <v>72.2</v>
      </c>
      <c r="AA46" s="105">
        <v>72.2</v>
      </c>
      <c r="AB46" s="105">
        <v>72.2</v>
      </c>
      <c r="AC46" s="105">
        <v>72.2</v>
      </c>
      <c r="AD46" s="105">
        <v>72.2</v>
      </c>
      <c r="AE46" s="105">
        <v>72.2</v>
      </c>
      <c r="AF46" s="105">
        <v>72.2</v>
      </c>
      <c r="AG46" s="94">
        <v>70</v>
      </c>
      <c r="AH46" s="20">
        <f t="shared" si="2"/>
        <v>73.400000000000006</v>
      </c>
      <c r="AI46" s="19">
        <f t="shared" si="3"/>
        <v>70.099999999999994</v>
      </c>
      <c r="AK46" s="41"/>
    </row>
    <row r="47" spans="1:88" x14ac:dyDescent="0.25">
      <c r="A47" s="95" t="s">
        <v>188</v>
      </c>
      <c r="B47" s="80">
        <v>63.5</v>
      </c>
      <c r="C47" s="80">
        <v>63.5</v>
      </c>
      <c r="D47" s="80">
        <v>63.5</v>
      </c>
      <c r="E47" s="80">
        <v>64.099999999999994</v>
      </c>
      <c r="F47" s="80">
        <v>46.7</v>
      </c>
      <c r="G47" s="80">
        <v>46.7</v>
      </c>
      <c r="H47" s="80">
        <v>46.7</v>
      </c>
      <c r="I47" s="80">
        <v>46.7</v>
      </c>
      <c r="J47" s="80">
        <v>46.7</v>
      </c>
      <c r="K47" s="80">
        <v>46.7</v>
      </c>
      <c r="L47" s="80">
        <v>46.7</v>
      </c>
      <c r="M47" s="80">
        <v>61.9</v>
      </c>
      <c r="N47" s="105">
        <v>61.9</v>
      </c>
      <c r="O47" s="105">
        <v>61.9</v>
      </c>
      <c r="P47" s="105">
        <v>61.9</v>
      </c>
      <c r="Q47" s="105">
        <v>61.9</v>
      </c>
      <c r="R47" s="105">
        <v>61.9</v>
      </c>
      <c r="S47" s="105">
        <v>62.1</v>
      </c>
      <c r="T47" s="105">
        <v>62</v>
      </c>
      <c r="U47" s="105">
        <v>61.5</v>
      </c>
      <c r="V47" s="105">
        <v>61.5</v>
      </c>
      <c r="W47" s="105">
        <v>61.5</v>
      </c>
      <c r="X47" s="105">
        <v>61.5</v>
      </c>
      <c r="Y47" s="105">
        <v>61.5</v>
      </c>
      <c r="Z47" s="105">
        <v>61.5</v>
      </c>
      <c r="AA47" s="105">
        <v>61.5</v>
      </c>
      <c r="AB47" s="105">
        <v>61.5</v>
      </c>
      <c r="AC47" s="105">
        <v>61.5</v>
      </c>
      <c r="AD47" s="105">
        <v>61.5</v>
      </c>
      <c r="AE47" s="105">
        <v>61.5</v>
      </c>
      <c r="AF47" s="105">
        <v>61.5</v>
      </c>
      <c r="AG47" s="94">
        <v>69</v>
      </c>
      <c r="AH47" s="20">
        <f t="shared" si="2"/>
        <v>64.099999999999994</v>
      </c>
      <c r="AI47" s="19">
        <f t="shared" si="3"/>
        <v>46.7</v>
      </c>
      <c r="AK47" s="41"/>
    </row>
    <row r="48" spans="1:88" x14ac:dyDescent="0.25">
      <c r="A48" s="95" t="s">
        <v>187</v>
      </c>
      <c r="B48" s="113">
        <v>60</v>
      </c>
      <c r="C48" s="113">
        <v>60</v>
      </c>
      <c r="D48" s="113">
        <v>60</v>
      </c>
      <c r="E48" s="113">
        <v>60</v>
      </c>
      <c r="F48" s="113">
        <v>60</v>
      </c>
      <c r="G48" s="113">
        <v>60</v>
      </c>
      <c r="H48" s="113">
        <v>60</v>
      </c>
      <c r="I48" s="113">
        <v>60</v>
      </c>
      <c r="J48" s="113">
        <v>60</v>
      </c>
      <c r="K48" s="113">
        <v>60</v>
      </c>
      <c r="L48" s="113">
        <v>60</v>
      </c>
      <c r="M48" s="113">
        <v>60</v>
      </c>
      <c r="N48" s="105">
        <v>60.2</v>
      </c>
      <c r="O48" s="105">
        <v>60.2</v>
      </c>
      <c r="P48" s="105">
        <v>60.2</v>
      </c>
      <c r="Q48" s="105">
        <v>60.2</v>
      </c>
      <c r="R48" s="105">
        <v>60.2</v>
      </c>
      <c r="S48" s="105">
        <v>60.2</v>
      </c>
      <c r="T48" s="105">
        <v>60.2</v>
      </c>
      <c r="U48" s="105">
        <v>60.2</v>
      </c>
      <c r="V48" s="105">
        <v>60.2</v>
      </c>
      <c r="W48" s="105">
        <v>60.2</v>
      </c>
      <c r="X48" s="105">
        <v>60.2</v>
      </c>
      <c r="Y48" s="105">
        <v>60.2</v>
      </c>
      <c r="Z48" s="105">
        <v>60.2</v>
      </c>
      <c r="AA48" s="105">
        <v>60.2</v>
      </c>
      <c r="AB48" s="105">
        <v>60.2</v>
      </c>
      <c r="AC48" s="105">
        <v>60.2</v>
      </c>
      <c r="AD48" s="105">
        <v>60.2</v>
      </c>
      <c r="AE48" s="105">
        <v>60.2</v>
      </c>
      <c r="AF48" s="105">
        <v>60.2</v>
      </c>
      <c r="AG48" s="94">
        <v>60</v>
      </c>
      <c r="AH48" s="20">
        <f t="shared" si="2"/>
        <v>60.2</v>
      </c>
      <c r="AI48" s="19">
        <f t="shared" si="3"/>
        <v>60</v>
      </c>
      <c r="AK48" s="41"/>
    </row>
    <row r="49" spans="1:41" x14ac:dyDescent="0.25">
      <c r="A49" s="95" t="s">
        <v>186</v>
      </c>
      <c r="B49" s="113">
        <v>29.3</v>
      </c>
      <c r="C49" s="113">
        <v>29.3</v>
      </c>
      <c r="D49" s="113">
        <v>29.3</v>
      </c>
      <c r="E49" s="113">
        <v>29.1</v>
      </c>
      <c r="F49" s="113">
        <v>29.1</v>
      </c>
      <c r="G49" s="113">
        <v>29.1</v>
      </c>
      <c r="H49" s="113">
        <v>29.1</v>
      </c>
      <c r="I49" s="113">
        <v>0</v>
      </c>
      <c r="J49" s="113">
        <v>30</v>
      </c>
      <c r="K49" s="113">
        <v>29.2</v>
      </c>
      <c r="L49" s="113">
        <v>29.2</v>
      </c>
      <c r="M49" s="113">
        <v>29.2</v>
      </c>
      <c r="N49" s="105">
        <v>29.1</v>
      </c>
      <c r="O49" s="105">
        <v>29.2</v>
      </c>
      <c r="P49" s="105">
        <v>29.2</v>
      </c>
      <c r="Q49" s="105">
        <v>29.2</v>
      </c>
      <c r="R49" s="105">
        <v>29.2</v>
      </c>
      <c r="S49" s="105">
        <v>29.2</v>
      </c>
      <c r="T49" s="105">
        <v>29.2</v>
      </c>
      <c r="U49" s="105">
        <v>29.2</v>
      </c>
      <c r="V49" s="105">
        <v>29.2</v>
      </c>
      <c r="W49" s="105">
        <v>29.2</v>
      </c>
      <c r="X49" s="105">
        <v>29.2</v>
      </c>
      <c r="Y49" s="105">
        <v>29.2</v>
      </c>
      <c r="Z49" s="105">
        <v>29.2</v>
      </c>
      <c r="AA49" s="105">
        <v>29.2</v>
      </c>
      <c r="AB49" s="105">
        <v>29.2</v>
      </c>
      <c r="AC49" s="105">
        <v>29.2</v>
      </c>
      <c r="AD49" s="105">
        <v>29.2</v>
      </c>
      <c r="AE49" s="105">
        <v>29.2</v>
      </c>
      <c r="AF49" s="105">
        <v>29.2</v>
      </c>
      <c r="AG49" s="94">
        <v>30</v>
      </c>
      <c r="AH49" s="20">
        <f t="shared" si="2"/>
        <v>30</v>
      </c>
      <c r="AI49" s="19">
        <f t="shared" si="3"/>
        <v>0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0</v>
      </c>
      <c r="N50" s="80">
        <v>5</v>
      </c>
      <c r="O50" s="80">
        <v>7</v>
      </c>
      <c r="P50" s="80">
        <v>7</v>
      </c>
      <c r="Q50" s="80">
        <v>7</v>
      </c>
      <c r="R50" s="80">
        <v>7</v>
      </c>
      <c r="S50" s="80">
        <v>7</v>
      </c>
      <c r="T50" s="80">
        <v>7</v>
      </c>
      <c r="U50" s="80">
        <v>7</v>
      </c>
      <c r="V50" s="80">
        <v>7</v>
      </c>
      <c r="W50" s="80">
        <v>7</v>
      </c>
      <c r="X50" s="80">
        <v>7</v>
      </c>
      <c r="Y50" s="80">
        <v>7</v>
      </c>
      <c r="Z50" s="80">
        <v>7</v>
      </c>
      <c r="AA50" s="80">
        <v>7</v>
      </c>
      <c r="AB50" s="80">
        <v>0</v>
      </c>
      <c r="AC50" s="80">
        <v>0</v>
      </c>
      <c r="AD50" s="80">
        <v>0</v>
      </c>
      <c r="AE50" s="80">
        <v>0</v>
      </c>
      <c r="AF50" s="80">
        <v>0</v>
      </c>
      <c r="AG50" s="94">
        <v>25</v>
      </c>
      <c r="AH50" s="20">
        <f t="shared" si="2"/>
        <v>7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17.100000000000001</v>
      </c>
      <c r="C51" s="80">
        <v>17.100000000000001</v>
      </c>
      <c r="D51" s="80">
        <v>17.100000000000001</v>
      </c>
      <c r="E51" s="80">
        <v>17.100000000000001</v>
      </c>
      <c r="F51" s="80">
        <v>17.100000000000001</v>
      </c>
      <c r="G51" s="80">
        <v>17.100000000000001</v>
      </c>
      <c r="H51" s="80">
        <v>17.100000000000001</v>
      </c>
      <c r="I51" s="80">
        <v>17.100000000000001</v>
      </c>
      <c r="J51" s="80">
        <v>17.100000000000001</v>
      </c>
      <c r="K51" s="80">
        <v>17.100000000000001</v>
      </c>
      <c r="L51" s="80">
        <v>17.100000000000001</v>
      </c>
      <c r="M51" s="80">
        <v>17.100000000000001</v>
      </c>
      <c r="N51" s="80">
        <v>17.100000000000001</v>
      </c>
      <c r="O51" s="80">
        <v>17</v>
      </c>
      <c r="P51" s="80">
        <v>17</v>
      </c>
      <c r="Q51" s="80">
        <v>17</v>
      </c>
      <c r="R51" s="80">
        <v>17</v>
      </c>
      <c r="S51" s="80">
        <v>17</v>
      </c>
      <c r="T51" s="80">
        <v>17</v>
      </c>
      <c r="U51" s="80">
        <v>17</v>
      </c>
      <c r="V51" s="80">
        <v>17</v>
      </c>
      <c r="W51" s="80">
        <v>17</v>
      </c>
      <c r="X51" s="80">
        <v>17</v>
      </c>
      <c r="Y51" s="80">
        <v>17</v>
      </c>
      <c r="Z51" s="80">
        <v>17</v>
      </c>
      <c r="AA51" s="80">
        <v>17</v>
      </c>
      <c r="AB51" s="80">
        <v>17</v>
      </c>
      <c r="AC51" s="80">
        <v>17</v>
      </c>
      <c r="AD51" s="80">
        <v>17</v>
      </c>
      <c r="AE51" s="80">
        <v>17</v>
      </c>
      <c r="AF51" s="80">
        <v>17</v>
      </c>
      <c r="AG51" s="94">
        <v>24</v>
      </c>
      <c r="AH51" s="20">
        <f t="shared" si="2"/>
        <v>17.100000000000001</v>
      </c>
      <c r="AI51" s="19">
        <f t="shared" si="3"/>
        <v>17</v>
      </c>
      <c r="AK51" s="41"/>
    </row>
    <row r="52" spans="1:41" x14ac:dyDescent="0.25">
      <c r="A52" s="95" t="s">
        <v>183</v>
      </c>
      <c r="B52" s="80">
        <v>3.5</v>
      </c>
      <c r="C52" s="80">
        <v>3.5</v>
      </c>
      <c r="D52" s="80">
        <v>3.5</v>
      </c>
      <c r="E52" s="80">
        <v>3.5</v>
      </c>
      <c r="F52" s="80">
        <v>3.5</v>
      </c>
      <c r="G52" s="80">
        <v>3.5</v>
      </c>
      <c r="H52" s="80">
        <v>3.5</v>
      </c>
      <c r="I52" s="80">
        <v>3.5</v>
      </c>
      <c r="J52" s="80">
        <v>3.5</v>
      </c>
      <c r="K52" s="80">
        <v>3.5</v>
      </c>
      <c r="L52" s="80">
        <v>3.5</v>
      </c>
      <c r="M52" s="80">
        <v>3.5</v>
      </c>
      <c r="N52" s="80">
        <v>3.5</v>
      </c>
      <c r="O52" s="80">
        <v>3.5</v>
      </c>
      <c r="P52" s="80">
        <v>3.5</v>
      </c>
      <c r="Q52" s="80">
        <v>3.5</v>
      </c>
      <c r="R52" s="80">
        <v>3.5</v>
      </c>
      <c r="S52" s="80">
        <v>3.5</v>
      </c>
      <c r="T52" s="80">
        <v>3.5</v>
      </c>
      <c r="U52" s="80">
        <v>3.5</v>
      </c>
      <c r="V52" s="80">
        <v>3.5</v>
      </c>
      <c r="W52" s="80">
        <v>3.5</v>
      </c>
      <c r="X52" s="80">
        <v>3.5</v>
      </c>
      <c r="Y52" s="80">
        <v>3.5</v>
      </c>
      <c r="Z52" s="80">
        <v>3.5</v>
      </c>
      <c r="AA52" s="80">
        <v>3.5</v>
      </c>
      <c r="AB52" s="80">
        <v>3.5</v>
      </c>
      <c r="AC52" s="80">
        <v>3.5</v>
      </c>
      <c r="AD52" s="80">
        <v>3.5</v>
      </c>
      <c r="AE52" s="80">
        <v>3.5</v>
      </c>
      <c r="AF52" s="80">
        <v>3.5</v>
      </c>
      <c r="AG52" s="94">
        <v>15</v>
      </c>
      <c r="AH52" s="20">
        <f t="shared" si="2"/>
        <v>3.5</v>
      </c>
      <c r="AI52" s="19">
        <f t="shared" si="3"/>
        <v>3.5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7.6</v>
      </c>
      <c r="C53" s="80">
        <v>7.6</v>
      </c>
      <c r="D53" s="80">
        <v>7.6</v>
      </c>
      <c r="E53" s="80">
        <v>7.6</v>
      </c>
      <c r="F53" s="80">
        <v>7.6</v>
      </c>
      <c r="G53" s="80">
        <v>7.6</v>
      </c>
      <c r="H53" s="80">
        <v>7.6</v>
      </c>
      <c r="I53" s="80">
        <v>7.6</v>
      </c>
      <c r="J53" s="80">
        <v>7.6</v>
      </c>
      <c r="K53" s="80">
        <v>7.6</v>
      </c>
      <c r="L53" s="80">
        <v>7.6</v>
      </c>
      <c r="M53" s="80">
        <v>7.6</v>
      </c>
      <c r="N53" s="80">
        <v>7.6</v>
      </c>
      <c r="O53" s="80">
        <v>9.6999999999999993</v>
      </c>
      <c r="P53" s="80">
        <v>9.6999999999999993</v>
      </c>
      <c r="Q53" s="80">
        <v>9.6999999999999993</v>
      </c>
      <c r="R53" s="80">
        <v>9.6999999999999993</v>
      </c>
      <c r="S53" s="80">
        <v>9.6999999999999993</v>
      </c>
      <c r="T53" s="80">
        <v>9.6999999999999993</v>
      </c>
      <c r="U53" s="80">
        <v>9.6999999999999993</v>
      </c>
      <c r="V53" s="80">
        <v>9.6999999999999993</v>
      </c>
      <c r="W53" s="80">
        <v>9.6999999999999993</v>
      </c>
      <c r="X53" s="80">
        <v>9.6999999999999993</v>
      </c>
      <c r="Y53" s="80">
        <v>9.6999999999999993</v>
      </c>
      <c r="Z53" s="80">
        <v>9.6999999999999993</v>
      </c>
      <c r="AA53" s="80">
        <v>9.6999999999999993</v>
      </c>
      <c r="AB53" s="80">
        <v>9.6999999999999993</v>
      </c>
      <c r="AC53" s="80">
        <v>9.6999999999999993</v>
      </c>
      <c r="AD53" s="80">
        <v>9.6999999999999993</v>
      </c>
      <c r="AE53" s="80">
        <v>9.6999999999999993</v>
      </c>
      <c r="AF53" s="80">
        <v>9.6999999999999993</v>
      </c>
      <c r="AG53" s="94">
        <v>14.1</v>
      </c>
      <c r="AH53" s="20">
        <f t="shared" si="2"/>
        <v>9.6999999999999993</v>
      </c>
      <c r="AI53" s="19">
        <f t="shared" si="3"/>
        <v>7.6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14.4</v>
      </c>
      <c r="C54" s="80">
        <v>14.4</v>
      </c>
      <c r="D54" s="80">
        <v>10</v>
      </c>
      <c r="E54" s="80">
        <v>10</v>
      </c>
      <c r="F54" s="80">
        <v>10</v>
      </c>
      <c r="G54" s="80">
        <v>10</v>
      </c>
      <c r="H54" s="80">
        <v>10</v>
      </c>
      <c r="I54" s="80">
        <v>10</v>
      </c>
      <c r="J54" s="80">
        <v>10</v>
      </c>
      <c r="K54" s="80">
        <v>10</v>
      </c>
      <c r="L54" s="80">
        <v>10</v>
      </c>
      <c r="M54" s="80">
        <v>10</v>
      </c>
      <c r="N54" s="80">
        <v>10</v>
      </c>
      <c r="O54" s="80">
        <v>10</v>
      </c>
      <c r="P54" s="80">
        <v>10</v>
      </c>
      <c r="Q54" s="80">
        <v>10</v>
      </c>
      <c r="R54" s="80">
        <v>10</v>
      </c>
      <c r="S54" s="80">
        <v>10</v>
      </c>
      <c r="T54" s="80">
        <v>10</v>
      </c>
      <c r="U54" s="80">
        <v>10</v>
      </c>
      <c r="V54" s="80">
        <v>10</v>
      </c>
      <c r="W54" s="80">
        <v>10</v>
      </c>
      <c r="X54" s="80">
        <v>10</v>
      </c>
      <c r="Y54" s="80">
        <v>10</v>
      </c>
      <c r="Z54" s="80">
        <v>10</v>
      </c>
      <c r="AA54" s="80">
        <v>10</v>
      </c>
      <c r="AB54" s="80">
        <v>10</v>
      </c>
      <c r="AC54" s="80">
        <v>10</v>
      </c>
      <c r="AD54" s="80">
        <v>10</v>
      </c>
      <c r="AE54" s="80">
        <v>10</v>
      </c>
      <c r="AF54" s="80">
        <v>10</v>
      </c>
      <c r="AG54" s="94">
        <v>14</v>
      </c>
      <c r="AH54" s="20">
        <f t="shared" si="2"/>
        <v>14.4</v>
      </c>
      <c r="AI54" s="19">
        <f t="shared" si="3"/>
        <v>10</v>
      </c>
      <c r="AK54" s="41"/>
    </row>
    <row r="55" spans="1:41" x14ac:dyDescent="0.25">
      <c r="A55" s="95" t="s">
        <v>180</v>
      </c>
      <c r="B55" s="80">
        <v>9</v>
      </c>
      <c r="C55" s="80">
        <v>9</v>
      </c>
      <c r="D55" s="80">
        <v>9</v>
      </c>
      <c r="E55" s="80">
        <v>9</v>
      </c>
      <c r="F55" s="80">
        <v>9</v>
      </c>
      <c r="G55" s="80">
        <v>9</v>
      </c>
      <c r="H55" s="80">
        <v>9</v>
      </c>
      <c r="I55" s="80">
        <v>9</v>
      </c>
      <c r="J55" s="80">
        <v>9</v>
      </c>
      <c r="K55" s="80">
        <v>9</v>
      </c>
      <c r="L55" s="80">
        <v>9</v>
      </c>
      <c r="M55" s="80">
        <v>9</v>
      </c>
      <c r="N55" s="80">
        <v>9</v>
      </c>
      <c r="O55" s="80">
        <v>9</v>
      </c>
      <c r="P55" s="80">
        <v>9</v>
      </c>
      <c r="Q55" s="80">
        <v>9</v>
      </c>
      <c r="R55" s="80">
        <v>9</v>
      </c>
      <c r="S55" s="80">
        <v>9</v>
      </c>
      <c r="T55" s="80">
        <v>9</v>
      </c>
      <c r="U55" s="80">
        <v>9</v>
      </c>
      <c r="V55" s="80">
        <v>9</v>
      </c>
      <c r="W55" s="80">
        <v>9</v>
      </c>
      <c r="X55" s="80">
        <v>9</v>
      </c>
      <c r="Y55" s="80">
        <v>9</v>
      </c>
      <c r="Z55" s="80">
        <v>9</v>
      </c>
      <c r="AA55" s="80">
        <v>9</v>
      </c>
      <c r="AB55" s="80">
        <v>9</v>
      </c>
      <c r="AC55" s="80">
        <v>9</v>
      </c>
      <c r="AD55" s="80">
        <v>9</v>
      </c>
      <c r="AE55" s="80">
        <v>9</v>
      </c>
      <c r="AF55" s="80">
        <v>9</v>
      </c>
      <c r="AG55" s="94">
        <v>10.050000000000001</v>
      </c>
      <c r="AH55" s="20">
        <f t="shared" si="2"/>
        <v>9</v>
      </c>
      <c r="AI55" s="19">
        <f t="shared" si="3"/>
        <v>9</v>
      </c>
      <c r="AK55" s="41"/>
    </row>
    <row r="56" spans="1:41" x14ac:dyDescent="0.25">
      <c r="A56" s="95" t="s">
        <v>179</v>
      </c>
      <c r="B56" s="80">
        <v>6.2</v>
      </c>
      <c r="C56" s="80">
        <v>6.2</v>
      </c>
      <c r="D56" s="80">
        <v>6.2</v>
      </c>
      <c r="E56" s="80">
        <v>6.2</v>
      </c>
      <c r="F56" s="80">
        <v>6.2</v>
      </c>
      <c r="G56" s="80">
        <v>6.2</v>
      </c>
      <c r="H56" s="80">
        <v>6.2</v>
      </c>
      <c r="I56" s="80">
        <v>6.2</v>
      </c>
      <c r="J56" s="80">
        <v>6.2</v>
      </c>
      <c r="K56" s="80">
        <v>6.2</v>
      </c>
      <c r="L56" s="80">
        <v>6.2</v>
      </c>
      <c r="M56" s="80">
        <v>6.2</v>
      </c>
      <c r="N56" s="80">
        <v>6.2</v>
      </c>
      <c r="O56" s="80">
        <v>6.2</v>
      </c>
      <c r="P56" s="80">
        <v>6.2</v>
      </c>
      <c r="Q56" s="80">
        <v>6.2</v>
      </c>
      <c r="R56" s="80">
        <v>6.2</v>
      </c>
      <c r="S56" s="80">
        <v>6.2</v>
      </c>
      <c r="T56" s="80">
        <v>6.2</v>
      </c>
      <c r="U56" s="80">
        <v>6.2</v>
      </c>
      <c r="V56" s="80">
        <v>6.2</v>
      </c>
      <c r="W56" s="80">
        <v>6.2</v>
      </c>
      <c r="X56" s="80">
        <v>6.2</v>
      </c>
      <c r="Y56" s="80">
        <v>6.2</v>
      </c>
      <c r="Z56" s="80">
        <v>6.2</v>
      </c>
      <c r="AA56" s="80">
        <v>6.2</v>
      </c>
      <c r="AB56" s="80">
        <v>6.2</v>
      </c>
      <c r="AC56" s="80">
        <v>6.2</v>
      </c>
      <c r="AD56" s="80">
        <v>6.2</v>
      </c>
      <c r="AE56" s="80">
        <v>6.2</v>
      </c>
      <c r="AF56" s="80">
        <v>6.2</v>
      </c>
      <c r="AG56" s="94">
        <v>6.2</v>
      </c>
      <c r="AH56" s="20">
        <f t="shared" si="2"/>
        <v>6.2</v>
      </c>
      <c r="AI56" s="19">
        <f t="shared" si="3"/>
        <v>6.2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6">SUM(B45:B57)</f>
        <v>431.74000000000007</v>
      </c>
      <c r="C58" s="86">
        <f t="shared" si="6"/>
        <v>431.74000000000007</v>
      </c>
      <c r="D58" s="86">
        <f t="shared" si="6"/>
        <v>405.24000000000007</v>
      </c>
      <c r="E58" s="86">
        <f t="shared" si="6"/>
        <v>426.84000000000003</v>
      </c>
      <c r="F58" s="86">
        <f t="shared" si="6"/>
        <v>409.44000000000005</v>
      </c>
      <c r="G58" s="86">
        <f t="shared" si="6"/>
        <v>409.44000000000005</v>
      </c>
      <c r="H58" s="86">
        <f t="shared" si="6"/>
        <v>409.44000000000005</v>
      </c>
      <c r="I58" s="86">
        <f t="shared" si="6"/>
        <v>380.34000000000003</v>
      </c>
      <c r="J58" s="86">
        <f t="shared" si="6"/>
        <v>410.34000000000003</v>
      </c>
      <c r="K58" s="86">
        <f t="shared" si="6"/>
        <v>409.54</v>
      </c>
      <c r="L58" s="86">
        <f t="shared" si="6"/>
        <v>409.54</v>
      </c>
      <c r="M58" s="86">
        <f t="shared" si="6"/>
        <v>424.74</v>
      </c>
      <c r="N58" s="86">
        <f t="shared" si="6"/>
        <v>428.44000000000005</v>
      </c>
      <c r="O58" s="86">
        <f t="shared" si="6"/>
        <v>432.23999999999995</v>
      </c>
      <c r="P58" s="86">
        <f t="shared" si="6"/>
        <v>432.94</v>
      </c>
      <c r="Q58" s="86">
        <f t="shared" si="6"/>
        <v>431.43999999999994</v>
      </c>
      <c r="R58" s="86">
        <f t="shared" si="6"/>
        <v>431.43999999999994</v>
      </c>
      <c r="S58" s="86">
        <f t="shared" si="6"/>
        <v>431.64</v>
      </c>
      <c r="T58" s="86">
        <f t="shared" si="6"/>
        <v>431.73999999999995</v>
      </c>
      <c r="U58" s="86">
        <f t="shared" si="6"/>
        <v>430.84</v>
      </c>
      <c r="V58" s="86">
        <f t="shared" si="6"/>
        <v>430.84</v>
      </c>
      <c r="W58" s="86">
        <f t="shared" si="6"/>
        <v>432.03999999999996</v>
      </c>
      <c r="X58" s="86">
        <f t="shared" si="6"/>
        <v>432.03999999999996</v>
      </c>
      <c r="Y58" s="86">
        <f t="shared" si="6"/>
        <v>432.03999999999996</v>
      </c>
      <c r="Z58" s="86">
        <f t="shared" si="6"/>
        <v>432.84</v>
      </c>
      <c r="AA58" s="86">
        <f t="shared" si="6"/>
        <v>432.84</v>
      </c>
      <c r="AB58" s="86">
        <f t="shared" si="6"/>
        <v>425.84</v>
      </c>
      <c r="AC58" s="86">
        <f t="shared" si="6"/>
        <v>425.84</v>
      </c>
      <c r="AD58" s="86">
        <f t="shared" si="6"/>
        <v>425.84</v>
      </c>
      <c r="AE58" s="86">
        <f t="shared" si="6"/>
        <v>425.84</v>
      </c>
      <c r="AF58" s="86">
        <f t="shared" si="6"/>
        <v>425.84</v>
      </c>
      <c r="AG58" s="101">
        <f t="shared" si="6"/>
        <v>489.91</v>
      </c>
      <c r="AH58" s="20">
        <f t="shared" si="2"/>
        <v>432.94</v>
      </c>
      <c r="AI58" s="19">
        <f t="shared" si="3"/>
        <v>380.34000000000003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>
        <v>0</v>
      </c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>
        <v>14.5</v>
      </c>
      <c r="Z59" s="105">
        <v>30.4</v>
      </c>
      <c r="AA59" s="105">
        <v>0</v>
      </c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30.4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7.1</v>
      </c>
      <c r="Z60" s="80">
        <v>15.6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15.6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1</v>
      </c>
      <c r="O61" s="107">
        <v>0</v>
      </c>
      <c r="P61" s="107">
        <v>0</v>
      </c>
      <c r="Q61" s="107">
        <v>0</v>
      </c>
      <c r="R61" s="107">
        <v>0</v>
      </c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07">
        <v>0</v>
      </c>
      <c r="Y61" s="107">
        <v>2.6</v>
      </c>
      <c r="Z61" s="107">
        <v>5.7</v>
      </c>
      <c r="AA61" s="107">
        <v>0</v>
      </c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5.7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7">SUM(B59:B61)</f>
        <v>0</v>
      </c>
      <c r="C62" s="86">
        <f t="shared" si="7"/>
        <v>0</v>
      </c>
      <c r="D62" s="86">
        <f t="shared" si="7"/>
        <v>0</v>
      </c>
      <c r="E62" s="86">
        <f t="shared" si="7"/>
        <v>0</v>
      </c>
      <c r="F62" s="86">
        <f t="shared" si="7"/>
        <v>0</v>
      </c>
      <c r="G62" s="86">
        <f t="shared" si="7"/>
        <v>0</v>
      </c>
      <c r="H62" s="86">
        <f t="shared" si="7"/>
        <v>0</v>
      </c>
      <c r="I62" s="86">
        <f t="shared" si="7"/>
        <v>0</v>
      </c>
      <c r="J62" s="86">
        <f t="shared" si="7"/>
        <v>0</v>
      </c>
      <c r="K62" s="86">
        <f t="shared" si="7"/>
        <v>0</v>
      </c>
      <c r="L62" s="86">
        <f t="shared" si="7"/>
        <v>0</v>
      </c>
      <c r="M62" s="86">
        <f t="shared" si="7"/>
        <v>0</v>
      </c>
      <c r="N62" s="86">
        <f t="shared" si="7"/>
        <v>1</v>
      </c>
      <c r="O62" s="86">
        <f t="shared" si="7"/>
        <v>0</v>
      </c>
      <c r="P62" s="86">
        <f t="shared" si="7"/>
        <v>0</v>
      </c>
      <c r="Q62" s="86">
        <f t="shared" si="7"/>
        <v>0</v>
      </c>
      <c r="R62" s="86">
        <f t="shared" si="7"/>
        <v>0</v>
      </c>
      <c r="S62" s="86">
        <f t="shared" si="7"/>
        <v>0</v>
      </c>
      <c r="T62" s="86">
        <f t="shared" si="7"/>
        <v>0</v>
      </c>
      <c r="U62" s="86">
        <f t="shared" si="7"/>
        <v>0</v>
      </c>
      <c r="V62" s="86">
        <f t="shared" si="7"/>
        <v>0</v>
      </c>
      <c r="W62" s="86">
        <f t="shared" si="7"/>
        <v>0</v>
      </c>
      <c r="X62" s="86">
        <f t="shared" si="7"/>
        <v>0</v>
      </c>
      <c r="Y62" s="86">
        <f t="shared" si="7"/>
        <v>24.200000000000003</v>
      </c>
      <c r="Z62" s="86">
        <f t="shared" si="7"/>
        <v>51.7</v>
      </c>
      <c r="AA62" s="86">
        <f t="shared" si="7"/>
        <v>0</v>
      </c>
      <c r="AB62" s="86">
        <f t="shared" si="7"/>
        <v>0</v>
      </c>
      <c r="AC62" s="86">
        <f t="shared" si="7"/>
        <v>0</v>
      </c>
      <c r="AD62" s="86">
        <f t="shared" si="7"/>
        <v>0</v>
      </c>
      <c r="AE62" s="86">
        <f t="shared" si="7"/>
        <v>0</v>
      </c>
      <c r="AF62" s="86">
        <f t="shared" si="7"/>
        <v>0</v>
      </c>
      <c r="AG62" s="101">
        <f t="shared" si="7"/>
        <v>106</v>
      </c>
      <c r="AH62" s="20">
        <f t="shared" si="2"/>
        <v>51.7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4.0999999999999996</v>
      </c>
      <c r="C63" s="105">
        <v>2.9</v>
      </c>
      <c r="D63" s="105">
        <v>0.8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14.1</v>
      </c>
      <c r="Q63" s="105">
        <v>16.399999999999999</v>
      </c>
      <c r="R63" s="105">
        <v>18</v>
      </c>
      <c r="S63" s="105">
        <v>18.2</v>
      </c>
      <c r="T63" s="105">
        <v>36.200000000000003</v>
      </c>
      <c r="U63" s="105">
        <v>14</v>
      </c>
      <c r="V63" s="105">
        <v>14.9</v>
      </c>
      <c r="W63" s="105">
        <v>14</v>
      </c>
      <c r="X63" s="105">
        <v>14</v>
      </c>
      <c r="Y63" s="105">
        <v>31.2</v>
      </c>
      <c r="Z63" s="105">
        <v>52.6</v>
      </c>
      <c r="AA63" s="105">
        <v>65.099999999999994</v>
      </c>
      <c r="AB63" s="105">
        <v>33.200000000000003</v>
      </c>
      <c r="AC63" s="105">
        <v>39.200000000000003</v>
      </c>
      <c r="AD63" s="105">
        <v>27.5</v>
      </c>
      <c r="AE63" s="105">
        <v>12</v>
      </c>
      <c r="AF63" s="105">
        <v>14.3</v>
      </c>
      <c r="AG63" s="96"/>
      <c r="AH63" s="20">
        <f t="shared" si="2"/>
        <v>65.099999999999994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-385</v>
      </c>
      <c r="C65" s="80">
        <v>-427</v>
      </c>
      <c r="D65" s="80">
        <v>-434</v>
      </c>
      <c r="E65" s="80">
        <v>-431.2</v>
      </c>
      <c r="F65" s="80">
        <v>-437.8</v>
      </c>
      <c r="G65" s="80">
        <v>-404</v>
      </c>
      <c r="H65" s="80">
        <v>-418.5</v>
      </c>
      <c r="I65" s="80">
        <v>-414.8</v>
      </c>
      <c r="J65" s="80">
        <v>-407</v>
      </c>
      <c r="K65" s="80">
        <v>-414.1</v>
      </c>
      <c r="L65" s="80">
        <v>-410</v>
      </c>
      <c r="M65" s="80">
        <v>-416</v>
      </c>
      <c r="N65" s="80">
        <v>-408</v>
      </c>
      <c r="O65" s="80">
        <v>-367.21</v>
      </c>
      <c r="P65" s="80">
        <v>-348</v>
      </c>
      <c r="Q65" s="80">
        <v>-342.3</v>
      </c>
      <c r="R65" s="80">
        <v>-340</v>
      </c>
      <c r="S65" s="80">
        <v>-330</v>
      </c>
      <c r="T65" s="80">
        <v>-319</v>
      </c>
      <c r="U65" s="80">
        <v>-335</v>
      </c>
      <c r="V65" s="80">
        <v>-355</v>
      </c>
      <c r="W65" s="80">
        <v>-372</v>
      </c>
      <c r="X65" s="80">
        <v>-244</v>
      </c>
      <c r="Y65" s="80">
        <v>-190</v>
      </c>
      <c r="Z65" s="80">
        <v>-213</v>
      </c>
      <c r="AA65" s="80">
        <v>-266</v>
      </c>
      <c r="AB65" s="80">
        <v>-252</v>
      </c>
      <c r="AC65" s="80">
        <v>-252</v>
      </c>
      <c r="AD65" s="80">
        <v>-280</v>
      </c>
      <c r="AE65" s="80">
        <v>-362</v>
      </c>
      <c r="AF65" s="80">
        <v>-372</v>
      </c>
      <c r="AG65" s="102"/>
      <c r="AH65" s="20">
        <f t="shared" si="2"/>
        <v>-190</v>
      </c>
      <c r="AI65" s="19">
        <f t="shared" si="3"/>
        <v>-437.8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5</v>
      </c>
      <c r="C68" s="103">
        <v>5</v>
      </c>
      <c r="D68" s="103">
        <v>5</v>
      </c>
      <c r="E68" s="103">
        <v>5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5</v>
      </c>
      <c r="AC68" s="103">
        <v>5</v>
      </c>
      <c r="AD68" s="103">
        <v>5</v>
      </c>
      <c r="AE68" s="103">
        <v>5</v>
      </c>
      <c r="AF68" s="103">
        <v>5</v>
      </c>
      <c r="AG68" s="102"/>
      <c r="AH68" s="20">
        <f t="shared" si="2"/>
        <v>5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8">SUMIF(B63:B73,"&gt;0")</f>
        <v>9.1</v>
      </c>
      <c r="C74" s="86">
        <f t="shared" si="8"/>
        <v>7.9</v>
      </c>
      <c r="D74" s="86">
        <f t="shared" si="8"/>
        <v>5.8</v>
      </c>
      <c r="E74" s="86">
        <f t="shared" si="8"/>
        <v>5</v>
      </c>
      <c r="F74" s="86">
        <f t="shared" si="8"/>
        <v>0</v>
      </c>
      <c r="G74" s="86">
        <f t="shared" si="8"/>
        <v>0</v>
      </c>
      <c r="H74" s="86">
        <f t="shared" si="8"/>
        <v>0</v>
      </c>
      <c r="I74" s="86">
        <f t="shared" si="8"/>
        <v>0</v>
      </c>
      <c r="J74" s="86">
        <f t="shared" si="8"/>
        <v>0</v>
      </c>
      <c r="K74" s="86">
        <f t="shared" si="8"/>
        <v>0</v>
      </c>
      <c r="L74" s="86">
        <f t="shared" si="8"/>
        <v>0</v>
      </c>
      <c r="M74" s="86">
        <f t="shared" si="8"/>
        <v>0</v>
      </c>
      <c r="N74" s="86">
        <f t="shared" si="8"/>
        <v>0</v>
      </c>
      <c r="O74" s="86">
        <f t="shared" si="8"/>
        <v>0</v>
      </c>
      <c r="P74" s="86">
        <f t="shared" si="8"/>
        <v>14.1</v>
      </c>
      <c r="Q74" s="86">
        <f t="shared" si="8"/>
        <v>16.399999999999999</v>
      </c>
      <c r="R74" s="86">
        <f t="shared" si="8"/>
        <v>18</v>
      </c>
      <c r="S74" s="86">
        <f t="shared" si="8"/>
        <v>18.2</v>
      </c>
      <c r="T74" s="86">
        <f t="shared" si="8"/>
        <v>36.200000000000003</v>
      </c>
      <c r="U74" s="86">
        <f t="shared" si="8"/>
        <v>14</v>
      </c>
      <c r="V74" s="86">
        <f t="shared" si="8"/>
        <v>14.9</v>
      </c>
      <c r="W74" s="86">
        <f t="shared" si="8"/>
        <v>14</v>
      </c>
      <c r="X74" s="86">
        <f t="shared" si="8"/>
        <v>14</v>
      </c>
      <c r="Y74" s="86">
        <f t="shared" si="8"/>
        <v>31.2</v>
      </c>
      <c r="Z74" s="86">
        <f t="shared" si="8"/>
        <v>52.6</v>
      </c>
      <c r="AA74" s="86">
        <f t="shared" si="8"/>
        <v>65.099999999999994</v>
      </c>
      <c r="AB74" s="86">
        <f t="shared" si="8"/>
        <v>38.200000000000003</v>
      </c>
      <c r="AC74" s="86">
        <f t="shared" si="8"/>
        <v>44.2</v>
      </c>
      <c r="AD74" s="86">
        <f t="shared" si="8"/>
        <v>32.5</v>
      </c>
      <c r="AE74" s="86">
        <f t="shared" si="8"/>
        <v>17</v>
      </c>
      <c r="AF74" s="86">
        <f t="shared" si="8"/>
        <v>19.3</v>
      </c>
      <c r="AG74" s="85">
        <f>SUM(AG63:AG73)</f>
        <v>0</v>
      </c>
      <c r="AH74" s="20">
        <f t="shared" si="2"/>
        <v>65.099999999999994</v>
      </c>
      <c r="AI74" s="19">
        <f t="shared" si="3"/>
        <v>0</v>
      </c>
      <c r="AK74" s="41"/>
    </row>
    <row r="75" spans="1:37" x14ac:dyDescent="0.25">
      <c r="A75" s="97" t="s">
        <v>164</v>
      </c>
      <c r="B75" s="93">
        <v>0</v>
      </c>
      <c r="C75" s="93">
        <v>0</v>
      </c>
      <c r="D75" s="93">
        <v>0</v>
      </c>
      <c r="E75" s="93">
        <v>0</v>
      </c>
      <c r="F75" s="93">
        <v>0</v>
      </c>
      <c r="G75" s="93">
        <v>0</v>
      </c>
      <c r="H75" s="93">
        <v>0</v>
      </c>
      <c r="I75" s="93">
        <v>0</v>
      </c>
      <c r="J75" s="93">
        <v>0</v>
      </c>
      <c r="K75" s="93">
        <v>0</v>
      </c>
      <c r="L75" s="93">
        <v>0</v>
      </c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>
        <v>0</v>
      </c>
      <c r="T75" s="93">
        <v>0</v>
      </c>
      <c r="U75" s="93">
        <v>0</v>
      </c>
      <c r="V75" s="93">
        <v>0</v>
      </c>
      <c r="W75" s="93">
        <v>0</v>
      </c>
      <c r="X75" s="93">
        <v>0</v>
      </c>
      <c r="Y75" s="93">
        <v>0</v>
      </c>
      <c r="Z75" s="93">
        <v>0</v>
      </c>
      <c r="AA75" s="93">
        <v>0</v>
      </c>
      <c r="AB75" s="93">
        <v>0</v>
      </c>
      <c r="AC75" s="93"/>
      <c r="AD75" s="93"/>
      <c r="AE75" s="93"/>
      <c r="AF75" s="93"/>
      <c r="AG75" s="104">
        <v>39</v>
      </c>
      <c r="AH75" s="20">
        <f t="shared" ref="AH75:AH109" si="9">MAX(B75:AF75)</f>
        <v>0</v>
      </c>
      <c r="AI75" s="19">
        <f t="shared" ref="AI75:AI109" si="10">MIN(B75:AF75)</f>
        <v>0</v>
      </c>
      <c r="AK75" s="41"/>
    </row>
    <row r="76" spans="1:37" x14ac:dyDescent="0.25">
      <c r="A76" s="95" t="s">
        <v>163</v>
      </c>
      <c r="B76" s="103">
        <v>0</v>
      </c>
      <c r="C76" s="103">
        <v>0</v>
      </c>
      <c r="D76" s="103">
        <v>0</v>
      </c>
      <c r="E76" s="103">
        <v>0</v>
      </c>
      <c r="F76" s="103">
        <v>0</v>
      </c>
      <c r="G76" s="103">
        <v>0</v>
      </c>
      <c r="H76" s="103">
        <v>0</v>
      </c>
      <c r="I76" s="103">
        <v>0</v>
      </c>
      <c r="J76" s="103">
        <v>0</v>
      </c>
      <c r="K76" s="103">
        <v>0</v>
      </c>
      <c r="L76" s="103">
        <v>0</v>
      </c>
      <c r="M76" s="103">
        <v>0</v>
      </c>
      <c r="N76" s="103">
        <v>0</v>
      </c>
      <c r="O76" s="103">
        <v>0</v>
      </c>
      <c r="P76" s="103">
        <v>0</v>
      </c>
      <c r="Q76" s="103">
        <v>0</v>
      </c>
      <c r="R76" s="103">
        <v>0</v>
      </c>
      <c r="S76" s="103">
        <v>0</v>
      </c>
      <c r="T76" s="103">
        <v>0</v>
      </c>
      <c r="U76" s="103">
        <v>0</v>
      </c>
      <c r="V76" s="103">
        <v>0</v>
      </c>
      <c r="W76" s="103">
        <v>0</v>
      </c>
      <c r="X76" s="103">
        <v>0</v>
      </c>
      <c r="Y76" s="103">
        <v>0</v>
      </c>
      <c r="Z76" s="103">
        <v>0</v>
      </c>
      <c r="AA76" s="103">
        <v>0</v>
      </c>
      <c r="AB76" s="103">
        <v>0</v>
      </c>
      <c r="AC76" s="103"/>
      <c r="AD76" s="103"/>
      <c r="AE76" s="103"/>
      <c r="AF76" s="103"/>
      <c r="AG76" s="102">
        <v>14.4</v>
      </c>
      <c r="AH76" s="20">
        <f t="shared" si="9"/>
        <v>0</v>
      </c>
      <c r="AI76" s="19">
        <f t="shared" si="10"/>
        <v>0</v>
      </c>
      <c r="AK76" s="41"/>
    </row>
    <row r="77" spans="1:37" ht="15.75" thickBot="1" x14ac:dyDescent="0.3">
      <c r="A77" s="91" t="s">
        <v>162</v>
      </c>
      <c r="B77" s="90">
        <v>0</v>
      </c>
      <c r="C77" s="90">
        <v>0</v>
      </c>
      <c r="D77" s="90">
        <v>0</v>
      </c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  <c r="AA77" s="90">
        <v>0</v>
      </c>
      <c r="AB77" s="90">
        <v>0</v>
      </c>
      <c r="AC77" s="90"/>
      <c r="AD77" s="90"/>
      <c r="AE77" s="90"/>
      <c r="AF77" s="90"/>
      <c r="AG77" s="89">
        <v>2</v>
      </c>
      <c r="AH77" s="20">
        <f t="shared" si="9"/>
        <v>0</v>
      </c>
      <c r="AI77" s="19">
        <f t="shared" si="10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9"/>
        <v>0</v>
      </c>
      <c r="AI78" s="19">
        <f t="shared" si="10"/>
        <v>0</v>
      </c>
    </row>
    <row r="79" spans="1:37" ht="15.75" thickBot="1" x14ac:dyDescent="0.3">
      <c r="A79" s="87" t="s">
        <v>160</v>
      </c>
      <c r="B79" s="98">
        <f t="shared" ref="B79:AG79" si="11">B40+B44+B62+B58+B74+B78</f>
        <v>1771.1399999999999</v>
      </c>
      <c r="C79" s="98">
        <f t="shared" si="11"/>
        <v>1769.94</v>
      </c>
      <c r="D79" s="98">
        <f t="shared" si="11"/>
        <v>1741.54</v>
      </c>
      <c r="E79" s="98">
        <f t="shared" si="11"/>
        <v>1744.3400000000001</v>
      </c>
      <c r="F79" s="98">
        <f t="shared" si="11"/>
        <v>1718.74</v>
      </c>
      <c r="G79" s="98">
        <f t="shared" si="11"/>
        <v>1715.74</v>
      </c>
      <c r="H79" s="98">
        <f t="shared" si="11"/>
        <v>1723.74</v>
      </c>
      <c r="I79" s="98">
        <f t="shared" si="11"/>
        <v>1694.6399999999999</v>
      </c>
      <c r="J79" s="98">
        <f t="shared" si="11"/>
        <v>1724.6399999999999</v>
      </c>
      <c r="K79" s="98">
        <f t="shared" si="11"/>
        <v>1782.84</v>
      </c>
      <c r="L79" s="98">
        <f t="shared" si="11"/>
        <v>1800.84</v>
      </c>
      <c r="M79" s="98">
        <f t="shared" si="11"/>
        <v>1814.04</v>
      </c>
      <c r="N79" s="98">
        <f t="shared" si="11"/>
        <v>1818.74</v>
      </c>
      <c r="O79" s="98">
        <f t="shared" si="11"/>
        <v>1826.74</v>
      </c>
      <c r="P79" s="98">
        <f t="shared" si="11"/>
        <v>1833.54</v>
      </c>
      <c r="Q79" s="98">
        <f t="shared" si="11"/>
        <v>1829.3400000000001</v>
      </c>
      <c r="R79" s="98">
        <f t="shared" si="11"/>
        <v>1830.94</v>
      </c>
      <c r="S79" s="98">
        <f t="shared" si="11"/>
        <v>1842.34</v>
      </c>
      <c r="T79" s="98">
        <f t="shared" si="11"/>
        <v>1860.44</v>
      </c>
      <c r="U79" s="98">
        <f t="shared" si="11"/>
        <v>1837.34</v>
      </c>
      <c r="V79" s="98">
        <f t="shared" si="11"/>
        <v>1838.24</v>
      </c>
      <c r="W79" s="98">
        <f t="shared" si="11"/>
        <v>1838.54</v>
      </c>
      <c r="X79" s="98">
        <f t="shared" si="11"/>
        <v>1838.54</v>
      </c>
      <c r="Y79" s="98">
        <f t="shared" si="11"/>
        <v>1879.94</v>
      </c>
      <c r="Z79" s="98">
        <f t="shared" si="11"/>
        <v>1929.6399999999999</v>
      </c>
      <c r="AA79" s="98">
        <f t="shared" si="11"/>
        <v>1890.4399999999998</v>
      </c>
      <c r="AB79" s="98">
        <f t="shared" si="11"/>
        <v>1850.44</v>
      </c>
      <c r="AC79" s="98">
        <f t="shared" si="11"/>
        <v>1851.44</v>
      </c>
      <c r="AD79" s="98">
        <f t="shared" si="11"/>
        <v>1836.74</v>
      </c>
      <c r="AE79" s="98">
        <f t="shared" si="11"/>
        <v>1816.24</v>
      </c>
      <c r="AF79" s="98">
        <f t="shared" si="11"/>
        <v>1793.7399999999998</v>
      </c>
      <c r="AG79" s="101">
        <f t="shared" si="11"/>
        <v>1897.1900000000003</v>
      </c>
      <c r="AH79" s="20">
        <f t="shared" si="9"/>
        <v>1929.6399999999999</v>
      </c>
      <c r="AI79" s="19">
        <f t="shared" si="10"/>
        <v>1694.6399999999999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9"/>
        <v>0</v>
      </c>
      <c r="AI80" s="19">
        <f t="shared" si="10"/>
        <v>0</v>
      </c>
    </row>
    <row r="81" spans="1:37" ht="15.75" thickBot="1" x14ac:dyDescent="0.3">
      <c r="A81" s="87" t="s">
        <v>158</v>
      </c>
      <c r="B81" s="98">
        <f t="shared" ref="B81:AF81" si="12">B79+B80</f>
        <v>1771.1399999999999</v>
      </c>
      <c r="C81" s="98">
        <f t="shared" si="12"/>
        <v>1769.94</v>
      </c>
      <c r="D81" s="98">
        <f t="shared" si="12"/>
        <v>1741.54</v>
      </c>
      <c r="E81" s="98">
        <f t="shared" si="12"/>
        <v>1744.3400000000001</v>
      </c>
      <c r="F81" s="98">
        <f t="shared" si="12"/>
        <v>1718.74</v>
      </c>
      <c r="G81" s="98">
        <f t="shared" si="12"/>
        <v>1715.74</v>
      </c>
      <c r="H81" s="98">
        <f t="shared" si="12"/>
        <v>1723.74</v>
      </c>
      <c r="I81" s="98">
        <f t="shared" si="12"/>
        <v>1694.6399999999999</v>
      </c>
      <c r="J81" s="98">
        <f t="shared" si="12"/>
        <v>1724.6399999999999</v>
      </c>
      <c r="K81" s="98">
        <f t="shared" si="12"/>
        <v>1782.84</v>
      </c>
      <c r="L81" s="98">
        <f t="shared" si="12"/>
        <v>1800.84</v>
      </c>
      <c r="M81" s="98">
        <f t="shared" si="12"/>
        <v>1814.04</v>
      </c>
      <c r="N81" s="98">
        <f t="shared" si="12"/>
        <v>1818.74</v>
      </c>
      <c r="O81" s="98">
        <f t="shared" si="12"/>
        <v>1826.74</v>
      </c>
      <c r="P81" s="98">
        <f t="shared" si="12"/>
        <v>1833.54</v>
      </c>
      <c r="Q81" s="98">
        <f t="shared" si="12"/>
        <v>1829.3400000000001</v>
      </c>
      <c r="R81" s="98">
        <f t="shared" si="12"/>
        <v>1830.94</v>
      </c>
      <c r="S81" s="98">
        <f t="shared" si="12"/>
        <v>1842.34</v>
      </c>
      <c r="T81" s="98">
        <f t="shared" si="12"/>
        <v>1860.44</v>
      </c>
      <c r="U81" s="98">
        <f t="shared" si="12"/>
        <v>1837.34</v>
      </c>
      <c r="V81" s="98">
        <f t="shared" si="12"/>
        <v>1838.24</v>
      </c>
      <c r="W81" s="98">
        <f t="shared" si="12"/>
        <v>1838.54</v>
      </c>
      <c r="X81" s="98">
        <f t="shared" si="12"/>
        <v>1838.54</v>
      </c>
      <c r="Y81" s="98">
        <f t="shared" si="12"/>
        <v>1879.94</v>
      </c>
      <c r="Z81" s="98">
        <f t="shared" si="12"/>
        <v>1929.6399999999999</v>
      </c>
      <c r="AA81" s="98">
        <f t="shared" si="12"/>
        <v>1890.4399999999998</v>
      </c>
      <c r="AB81" s="98">
        <f t="shared" si="12"/>
        <v>1850.44</v>
      </c>
      <c r="AC81" s="98">
        <f t="shared" si="12"/>
        <v>1851.44</v>
      </c>
      <c r="AD81" s="98">
        <f t="shared" si="12"/>
        <v>1836.74</v>
      </c>
      <c r="AE81" s="98">
        <f t="shared" si="12"/>
        <v>1816.24</v>
      </c>
      <c r="AF81" s="98">
        <f t="shared" si="12"/>
        <v>1793.7399999999998</v>
      </c>
      <c r="AG81" s="85">
        <f>AG78+AG74+AG62+AG58+AG40+AG80</f>
        <v>1359.0900000000001</v>
      </c>
      <c r="AH81" s="20">
        <f t="shared" si="9"/>
        <v>1929.6399999999999</v>
      </c>
      <c r="AI81" s="19">
        <f t="shared" si="10"/>
        <v>1694.6399999999999</v>
      </c>
    </row>
    <row r="82" spans="1:37" ht="15.75" thickBot="1" x14ac:dyDescent="0.3">
      <c r="A82" s="87" t="s">
        <v>157</v>
      </c>
      <c r="B82" s="98">
        <f t="shared" ref="B82:AF82" si="13">B81-B89</f>
        <v>1386.1399999999999</v>
      </c>
      <c r="C82" s="98">
        <f t="shared" si="13"/>
        <v>1342.94</v>
      </c>
      <c r="D82" s="98">
        <f t="shared" si="13"/>
        <v>1307.54</v>
      </c>
      <c r="E82" s="98">
        <f t="shared" si="13"/>
        <v>1313.14</v>
      </c>
      <c r="F82" s="98">
        <f t="shared" si="13"/>
        <v>1280.94</v>
      </c>
      <c r="G82" s="98">
        <f t="shared" si="13"/>
        <v>1311.74</v>
      </c>
      <c r="H82" s="98">
        <f t="shared" si="13"/>
        <v>1305.24</v>
      </c>
      <c r="I82" s="98">
        <f t="shared" si="13"/>
        <v>1279.8399999999999</v>
      </c>
      <c r="J82" s="98">
        <f t="shared" si="13"/>
        <v>1317.6399999999999</v>
      </c>
      <c r="K82" s="98">
        <f t="shared" si="13"/>
        <v>1368.7399999999998</v>
      </c>
      <c r="L82" s="98">
        <f t="shared" si="13"/>
        <v>1390.84</v>
      </c>
      <c r="M82" s="98">
        <f t="shared" si="13"/>
        <v>1398.04</v>
      </c>
      <c r="N82" s="98">
        <f t="shared" si="13"/>
        <v>1410.74</v>
      </c>
      <c r="O82" s="98">
        <f t="shared" si="13"/>
        <v>1459.53</v>
      </c>
      <c r="P82" s="98">
        <f t="shared" si="13"/>
        <v>1485.54</v>
      </c>
      <c r="Q82" s="98">
        <f t="shared" si="13"/>
        <v>1487.0400000000002</v>
      </c>
      <c r="R82" s="98">
        <f t="shared" si="13"/>
        <v>1490.94</v>
      </c>
      <c r="S82" s="98">
        <f t="shared" si="13"/>
        <v>1512.34</v>
      </c>
      <c r="T82" s="98">
        <f t="shared" si="13"/>
        <v>1541.44</v>
      </c>
      <c r="U82" s="98">
        <f t="shared" si="13"/>
        <v>1502.34</v>
      </c>
      <c r="V82" s="98">
        <f t="shared" si="13"/>
        <v>1483.24</v>
      </c>
      <c r="W82" s="98">
        <f t="shared" si="13"/>
        <v>1466.54</v>
      </c>
      <c r="X82" s="98">
        <f t="shared" si="13"/>
        <v>1594.54</v>
      </c>
      <c r="Y82" s="98">
        <f t="shared" si="13"/>
        <v>1684.94</v>
      </c>
      <c r="Z82" s="98">
        <f t="shared" si="13"/>
        <v>1716.6399999999999</v>
      </c>
      <c r="AA82" s="98">
        <f t="shared" si="13"/>
        <v>1624.4399999999998</v>
      </c>
      <c r="AB82" s="98">
        <f t="shared" si="13"/>
        <v>1598.44</v>
      </c>
      <c r="AC82" s="98">
        <f t="shared" si="13"/>
        <v>1599.44</v>
      </c>
      <c r="AD82" s="98">
        <f t="shared" si="13"/>
        <v>1556.74</v>
      </c>
      <c r="AE82" s="98">
        <f t="shared" si="13"/>
        <v>1454.24</v>
      </c>
      <c r="AF82" s="98">
        <f t="shared" si="13"/>
        <v>1421.7399999999998</v>
      </c>
      <c r="AG82" s="85"/>
      <c r="AH82" s="20">
        <f t="shared" si="9"/>
        <v>1716.6399999999999</v>
      </c>
      <c r="AI82" s="19">
        <f t="shared" si="10"/>
        <v>1279.8399999999999</v>
      </c>
    </row>
    <row r="83" spans="1:37" x14ac:dyDescent="0.25">
      <c r="A83" s="97" t="s">
        <v>156</v>
      </c>
      <c r="B83" s="93">
        <f t="shared" ref="B83:AF83" si="14">IF(B66&lt;0,B66*-1,0)</f>
        <v>0</v>
      </c>
      <c r="C83" s="93">
        <f t="shared" si="14"/>
        <v>0</v>
      </c>
      <c r="D83" s="93">
        <f t="shared" si="14"/>
        <v>0</v>
      </c>
      <c r="E83" s="93">
        <f t="shared" si="14"/>
        <v>0</v>
      </c>
      <c r="F83" s="93">
        <f t="shared" si="14"/>
        <v>0</v>
      </c>
      <c r="G83" s="93">
        <f t="shared" si="14"/>
        <v>0</v>
      </c>
      <c r="H83" s="93">
        <f t="shared" si="14"/>
        <v>0</v>
      </c>
      <c r="I83" s="93">
        <f t="shared" si="14"/>
        <v>0</v>
      </c>
      <c r="J83" s="93">
        <f t="shared" si="14"/>
        <v>0</v>
      </c>
      <c r="K83" s="93">
        <f t="shared" si="14"/>
        <v>0</v>
      </c>
      <c r="L83" s="93">
        <f t="shared" si="14"/>
        <v>0</v>
      </c>
      <c r="M83" s="93">
        <f t="shared" si="14"/>
        <v>0</v>
      </c>
      <c r="N83" s="93">
        <f t="shared" si="14"/>
        <v>0</v>
      </c>
      <c r="O83" s="93">
        <f t="shared" si="14"/>
        <v>0</v>
      </c>
      <c r="P83" s="93">
        <f t="shared" si="14"/>
        <v>0</v>
      </c>
      <c r="Q83" s="93">
        <f t="shared" si="14"/>
        <v>0</v>
      </c>
      <c r="R83" s="93">
        <f t="shared" si="14"/>
        <v>0</v>
      </c>
      <c r="S83" s="93">
        <f t="shared" si="14"/>
        <v>0</v>
      </c>
      <c r="T83" s="93">
        <f t="shared" si="14"/>
        <v>0</v>
      </c>
      <c r="U83" s="93">
        <f t="shared" si="14"/>
        <v>0</v>
      </c>
      <c r="V83" s="93">
        <f t="shared" si="14"/>
        <v>0</v>
      </c>
      <c r="W83" s="93">
        <f t="shared" si="14"/>
        <v>0</v>
      </c>
      <c r="X83" s="93">
        <f t="shared" si="14"/>
        <v>0</v>
      </c>
      <c r="Y83" s="93">
        <f t="shared" si="14"/>
        <v>0</v>
      </c>
      <c r="Z83" s="93">
        <f t="shared" si="14"/>
        <v>0</v>
      </c>
      <c r="AA83" s="93">
        <f t="shared" si="14"/>
        <v>0</v>
      </c>
      <c r="AB83" s="93">
        <f t="shared" si="14"/>
        <v>0</v>
      </c>
      <c r="AC83" s="93">
        <f t="shared" si="14"/>
        <v>0</v>
      </c>
      <c r="AD83" s="93">
        <f t="shared" si="14"/>
        <v>0</v>
      </c>
      <c r="AE83" s="93">
        <f t="shared" si="14"/>
        <v>0</v>
      </c>
      <c r="AF83" s="93">
        <f t="shared" si="14"/>
        <v>0</v>
      </c>
      <c r="AG83" s="96"/>
      <c r="AH83" s="20">
        <f t="shared" si="9"/>
        <v>0</v>
      </c>
      <c r="AI83" s="19">
        <f t="shared" si="10"/>
        <v>0</v>
      </c>
    </row>
    <row r="84" spans="1:37" x14ac:dyDescent="0.25">
      <c r="A84" s="95" t="s">
        <v>155</v>
      </c>
      <c r="B84" s="93">
        <f t="shared" ref="B84:AF84" si="15">IF(B64&lt;0,B64*-1,0)</f>
        <v>0</v>
      </c>
      <c r="C84" s="93">
        <f t="shared" si="15"/>
        <v>0</v>
      </c>
      <c r="D84" s="93">
        <f t="shared" si="15"/>
        <v>0</v>
      </c>
      <c r="E84" s="93">
        <f t="shared" si="15"/>
        <v>0</v>
      </c>
      <c r="F84" s="93">
        <f t="shared" si="15"/>
        <v>0</v>
      </c>
      <c r="G84" s="93">
        <f t="shared" si="15"/>
        <v>0</v>
      </c>
      <c r="H84" s="93">
        <f t="shared" si="15"/>
        <v>0</v>
      </c>
      <c r="I84" s="93">
        <f t="shared" si="15"/>
        <v>0</v>
      </c>
      <c r="J84" s="93">
        <f t="shared" si="15"/>
        <v>0</v>
      </c>
      <c r="K84" s="93">
        <f t="shared" si="15"/>
        <v>0</v>
      </c>
      <c r="L84" s="93">
        <f t="shared" si="15"/>
        <v>0</v>
      </c>
      <c r="M84" s="93">
        <f t="shared" si="15"/>
        <v>0</v>
      </c>
      <c r="N84" s="93">
        <f t="shared" si="15"/>
        <v>0</v>
      </c>
      <c r="O84" s="93">
        <f t="shared" si="15"/>
        <v>0</v>
      </c>
      <c r="P84" s="93">
        <f t="shared" si="15"/>
        <v>0</v>
      </c>
      <c r="Q84" s="93">
        <f t="shared" si="15"/>
        <v>0</v>
      </c>
      <c r="R84" s="93">
        <f t="shared" si="15"/>
        <v>0</v>
      </c>
      <c r="S84" s="93">
        <f t="shared" si="15"/>
        <v>0</v>
      </c>
      <c r="T84" s="93">
        <f t="shared" si="15"/>
        <v>0</v>
      </c>
      <c r="U84" s="93">
        <f t="shared" si="15"/>
        <v>0</v>
      </c>
      <c r="V84" s="93">
        <f t="shared" si="15"/>
        <v>0</v>
      </c>
      <c r="W84" s="93">
        <f t="shared" si="15"/>
        <v>0</v>
      </c>
      <c r="X84" s="93">
        <f t="shared" si="15"/>
        <v>0</v>
      </c>
      <c r="Y84" s="93">
        <f t="shared" si="15"/>
        <v>0</v>
      </c>
      <c r="Z84" s="93">
        <f t="shared" si="15"/>
        <v>0</v>
      </c>
      <c r="AA84" s="93">
        <f t="shared" si="15"/>
        <v>0</v>
      </c>
      <c r="AB84" s="93">
        <f t="shared" si="15"/>
        <v>0</v>
      </c>
      <c r="AC84" s="93">
        <f t="shared" si="15"/>
        <v>0</v>
      </c>
      <c r="AD84" s="93">
        <f t="shared" si="15"/>
        <v>0</v>
      </c>
      <c r="AE84" s="93">
        <f t="shared" si="15"/>
        <v>0</v>
      </c>
      <c r="AF84" s="93">
        <f t="shared" si="15"/>
        <v>0</v>
      </c>
      <c r="AG84" s="94"/>
      <c r="AH84" s="20">
        <f t="shared" si="9"/>
        <v>0</v>
      </c>
      <c r="AI84" s="19">
        <f t="shared" si="10"/>
        <v>0</v>
      </c>
    </row>
    <row r="85" spans="1:37" x14ac:dyDescent="0.25">
      <c r="A85" s="91" t="s">
        <v>154</v>
      </c>
      <c r="B85" s="93">
        <f t="shared" ref="B85:AF85" si="16">IF(B67&lt;0,B67*-1,0)</f>
        <v>0</v>
      </c>
      <c r="C85" s="93">
        <f t="shared" si="16"/>
        <v>0</v>
      </c>
      <c r="D85" s="93">
        <f t="shared" si="16"/>
        <v>0</v>
      </c>
      <c r="E85" s="93">
        <f t="shared" si="16"/>
        <v>0</v>
      </c>
      <c r="F85" s="93">
        <f t="shared" si="16"/>
        <v>0</v>
      </c>
      <c r="G85" s="93">
        <f t="shared" si="16"/>
        <v>0</v>
      </c>
      <c r="H85" s="93">
        <f t="shared" si="16"/>
        <v>0</v>
      </c>
      <c r="I85" s="93">
        <f t="shared" si="16"/>
        <v>0</v>
      </c>
      <c r="J85" s="93">
        <f t="shared" si="16"/>
        <v>0</v>
      </c>
      <c r="K85" s="93">
        <f t="shared" si="16"/>
        <v>0</v>
      </c>
      <c r="L85" s="93">
        <f t="shared" si="16"/>
        <v>0</v>
      </c>
      <c r="M85" s="93">
        <f t="shared" si="16"/>
        <v>0</v>
      </c>
      <c r="N85" s="93">
        <f t="shared" si="16"/>
        <v>0</v>
      </c>
      <c r="O85" s="93">
        <f t="shared" si="16"/>
        <v>0</v>
      </c>
      <c r="P85" s="93">
        <f t="shared" si="16"/>
        <v>0</v>
      </c>
      <c r="Q85" s="93">
        <f t="shared" si="16"/>
        <v>0</v>
      </c>
      <c r="R85" s="93">
        <f t="shared" si="16"/>
        <v>0</v>
      </c>
      <c r="S85" s="93">
        <f t="shared" si="16"/>
        <v>0</v>
      </c>
      <c r="T85" s="93">
        <f t="shared" si="16"/>
        <v>0</v>
      </c>
      <c r="U85" s="93">
        <f t="shared" si="16"/>
        <v>0</v>
      </c>
      <c r="V85" s="93">
        <f t="shared" si="16"/>
        <v>0</v>
      </c>
      <c r="W85" s="93">
        <f t="shared" si="16"/>
        <v>0</v>
      </c>
      <c r="X85" s="93">
        <f t="shared" si="16"/>
        <v>0</v>
      </c>
      <c r="Y85" s="93">
        <f t="shared" si="16"/>
        <v>0</v>
      </c>
      <c r="Z85" s="93">
        <f t="shared" si="16"/>
        <v>0</v>
      </c>
      <c r="AA85" s="93">
        <f t="shared" si="16"/>
        <v>0</v>
      </c>
      <c r="AB85" s="93">
        <f t="shared" si="16"/>
        <v>0</v>
      </c>
      <c r="AC85" s="93">
        <f t="shared" si="16"/>
        <v>0</v>
      </c>
      <c r="AD85" s="93">
        <f t="shared" si="16"/>
        <v>0</v>
      </c>
      <c r="AE85" s="93">
        <f t="shared" si="16"/>
        <v>0</v>
      </c>
      <c r="AF85" s="93">
        <f t="shared" si="16"/>
        <v>0</v>
      </c>
      <c r="AG85" s="92"/>
      <c r="AH85" s="20">
        <f t="shared" si="9"/>
        <v>0</v>
      </c>
      <c r="AI85" s="19">
        <f t="shared" si="10"/>
        <v>0</v>
      </c>
    </row>
    <row r="86" spans="1:37" x14ac:dyDescent="0.25">
      <c r="A86" s="91" t="s">
        <v>153</v>
      </c>
      <c r="B86" s="93">
        <f t="shared" ref="B86:AF86" si="17">IF(B65&lt;0,B65*-1,0)</f>
        <v>385</v>
      </c>
      <c r="C86" s="93">
        <f t="shared" si="17"/>
        <v>427</v>
      </c>
      <c r="D86" s="93">
        <f t="shared" si="17"/>
        <v>434</v>
      </c>
      <c r="E86" s="93">
        <f t="shared" si="17"/>
        <v>431.2</v>
      </c>
      <c r="F86" s="93">
        <f t="shared" si="17"/>
        <v>437.8</v>
      </c>
      <c r="G86" s="93">
        <f t="shared" si="17"/>
        <v>404</v>
      </c>
      <c r="H86" s="93">
        <f t="shared" si="17"/>
        <v>418.5</v>
      </c>
      <c r="I86" s="93">
        <f t="shared" si="17"/>
        <v>414.8</v>
      </c>
      <c r="J86" s="93">
        <f t="shared" si="17"/>
        <v>407</v>
      </c>
      <c r="K86" s="93">
        <f t="shared" si="17"/>
        <v>414.1</v>
      </c>
      <c r="L86" s="93">
        <f t="shared" si="17"/>
        <v>410</v>
      </c>
      <c r="M86" s="93">
        <f t="shared" si="17"/>
        <v>416</v>
      </c>
      <c r="N86" s="93">
        <f t="shared" si="17"/>
        <v>408</v>
      </c>
      <c r="O86" s="93">
        <f t="shared" si="17"/>
        <v>367.21</v>
      </c>
      <c r="P86" s="93">
        <f t="shared" si="17"/>
        <v>348</v>
      </c>
      <c r="Q86" s="93">
        <f t="shared" si="17"/>
        <v>342.3</v>
      </c>
      <c r="R86" s="93">
        <f t="shared" si="17"/>
        <v>340</v>
      </c>
      <c r="S86" s="93">
        <f t="shared" si="17"/>
        <v>330</v>
      </c>
      <c r="T86" s="93">
        <f t="shared" si="17"/>
        <v>319</v>
      </c>
      <c r="U86" s="93">
        <f t="shared" si="17"/>
        <v>335</v>
      </c>
      <c r="V86" s="93">
        <f t="shared" si="17"/>
        <v>355</v>
      </c>
      <c r="W86" s="93">
        <f t="shared" si="17"/>
        <v>372</v>
      </c>
      <c r="X86" s="93">
        <f t="shared" si="17"/>
        <v>244</v>
      </c>
      <c r="Y86" s="93">
        <v>195</v>
      </c>
      <c r="Z86" s="93">
        <f t="shared" si="17"/>
        <v>213</v>
      </c>
      <c r="AA86" s="93">
        <f t="shared" si="17"/>
        <v>266</v>
      </c>
      <c r="AB86" s="93">
        <f t="shared" si="17"/>
        <v>252</v>
      </c>
      <c r="AC86" s="93">
        <f t="shared" si="17"/>
        <v>252</v>
      </c>
      <c r="AD86" s="93">
        <f t="shared" si="17"/>
        <v>280</v>
      </c>
      <c r="AE86" s="93">
        <f t="shared" si="17"/>
        <v>362</v>
      </c>
      <c r="AF86" s="93">
        <f t="shared" si="17"/>
        <v>372</v>
      </c>
      <c r="AG86" s="92"/>
      <c r="AH86" s="20">
        <f t="shared" si="9"/>
        <v>437.8</v>
      </c>
      <c r="AI86" s="19">
        <f t="shared" si="10"/>
        <v>195</v>
      </c>
    </row>
    <row r="87" spans="1:37" x14ac:dyDescent="0.25">
      <c r="A87" s="91" t="s">
        <v>152</v>
      </c>
      <c r="B87" s="93">
        <f t="shared" ref="B87:AF87" si="18">IF(B63&lt;0,B63*-1,0)</f>
        <v>0</v>
      </c>
      <c r="C87" s="93">
        <f t="shared" si="18"/>
        <v>0</v>
      </c>
      <c r="D87" s="93">
        <f t="shared" si="18"/>
        <v>0</v>
      </c>
      <c r="E87" s="93">
        <f t="shared" si="18"/>
        <v>0</v>
      </c>
      <c r="F87" s="93">
        <f t="shared" si="18"/>
        <v>0</v>
      </c>
      <c r="G87" s="93">
        <f t="shared" si="18"/>
        <v>0</v>
      </c>
      <c r="H87" s="93">
        <f t="shared" si="18"/>
        <v>0</v>
      </c>
      <c r="I87" s="93">
        <f t="shared" si="18"/>
        <v>0</v>
      </c>
      <c r="J87" s="93">
        <f t="shared" si="18"/>
        <v>0</v>
      </c>
      <c r="K87" s="93">
        <f t="shared" si="18"/>
        <v>0</v>
      </c>
      <c r="L87" s="93">
        <f t="shared" si="18"/>
        <v>0</v>
      </c>
      <c r="M87" s="93">
        <f t="shared" si="18"/>
        <v>0</v>
      </c>
      <c r="N87" s="93">
        <f t="shared" si="18"/>
        <v>0</v>
      </c>
      <c r="O87" s="93">
        <f t="shared" si="18"/>
        <v>0</v>
      </c>
      <c r="P87" s="93">
        <f t="shared" si="18"/>
        <v>0</v>
      </c>
      <c r="Q87" s="93">
        <f t="shared" si="18"/>
        <v>0</v>
      </c>
      <c r="R87" s="93">
        <f t="shared" si="18"/>
        <v>0</v>
      </c>
      <c r="S87" s="93">
        <f t="shared" si="18"/>
        <v>0</v>
      </c>
      <c r="T87" s="93">
        <f t="shared" si="18"/>
        <v>0</v>
      </c>
      <c r="U87" s="93">
        <f t="shared" si="18"/>
        <v>0</v>
      </c>
      <c r="V87" s="93">
        <f t="shared" si="18"/>
        <v>0</v>
      </c>
      <c r="W87" s="93">
        <f t="shared" si="18"/>
        <v>0</v>
      </c>
      <c r="X87" s="93">
        <f t="shared" si="18"/>
        <v>0</v>
      </c>
      <c r="Y87" s="93">
        <f t="shared" si="18"/>
        <v>0</v>
      </c>
      <c r="Z87" s="93">
        <f t="shared" si="18"/>
        <v>0</v>
      </c>
      <c r="AA87" s="93">
        <f t="shared" si="18"/>
        <v>0</v>
      </c>
      <c r="AB87" s="93">
        <f t="shared" si="18"/>
        <v>0</v>
      </c>
      <c r="AC87" s="93">
        <f t="shared" si="18"/>
        <v>0</v>
      </c>
      <c r="AD87" s="93">
        <f t="shared" si="18"/>
        <v>0</v>
      </c>
      <c r="AE87" s="93">
        <f t="shared" si="18"/>
        <v>0</v>
      </c>
      <c r="AF87" s="93">
        <f t="shared" si="18"/>
        <v>0</v>
      </c>
      <c r="AG87" s="92"/>
      <c r="AH87" s="20">
        <f t="shared" si="9"/>
        <v>0</v>
      </c>
      <c r="AI87" s="19">
        <f t="shared" si="10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9"/>
        <v>0</v>
      </c>
      <c r="AI88" s="19">
        <f t="shared" si="10"/>
        <v>0</v>
      </c>
    </row>
    <row r="89" spans="1:37" ht="15.75" thickBot="1" x14ac:dyDescent="0.3">
      <c r="A89" s="88" t="s">
        <v>150</v>
      </c>
      <c r="B89" s="86">
        <f t="shared" ref="B89:AF89" si="19">SUM(B83:B88)</f>
        <v>385</v>
      </c>
      <c r="C89" s="86">
        <f t="shared" si="19"/>
        <v>427</v>
      </c>
      <c r="D89" s="86">
        <f t="shared" si="19"/>
        <v>434</v>
      </c>
      <c r="E89" s="86">
        <f t="shared" si="19"/>
        <v>431.2</v>
      </c>
      <c r="F89" s="86">
        <f t="shared" si="19"/>
        <v>437.8</v>
      </c>
      <c r="G89" s="86">
        <f t="shared" si="19"/>
        <v>404</v>
      </c>
      <c r="H89" s="86">
        <f t="shared" si="19"/>
        <v>418.5</v>
      </c>
      <c r="I89" s="86">
        <f t="shared" si="19"/>
        <v>414.8</v>
      </c>
      <c r="J89" s="86">
        <f t="shared" si="19"/>
        <v>407</v>
      </c>
      <c r="K89" s="86">
        <f t="shared" si="19"/>
        <v>414.1</v>
      </c>
      <c r="L89" s="86">
        <f t="shared" si="19"/>
        <v>410</v>
      </c>
      <c r="M89" s="86">
        <f t="shared" si="19"/>
        <v>416</v>
      </c>
      <c r="N89" s="86">
        <f t="shared" si="19"/>
        <v>408</v>
      </c>
      <c r="O89" s="86">
        <f t="shared" si="19"/>
        <v>367.21</v>
      </c>
      <c r="P89" s="86">
        <f t="shared" si="19"/>
        <v>348</v>
      </c>
      <c r="Q89" s="86">
        <f t="shared" si="19"/>
        <v>342.3</v>
      </c>
      <c r="R89" s="86">
        <f t="shared" si="19"/>
        <v>340</v>
      </c>
      <c r="S89" s="86">
        <f t="shared" si="19"/>
        <v>330</v>
      </c>
      <c r="T89" s="86">
        <f t="shared" si="19"/>
        <v>319</v>
      </c>
      <c r="U89" s="86">
        <f t="shared" si="19"/>
        <v>335</v>
      </c>
      <c r="V89" s="86">
        <f t="shared" si="19"/>
        <v>355</v>
      </c>
      <c r="W89" s="86">
        <f t="shared" si="19"/>
        <v>372</v>
      </c>
      <c r="X89" s="86">
        <f t="shared" si="19"/>
        <v>244</v>
      </c>
      <c r="Y89" s="86">
        <f t="shared" si="19"/>
        <v>195</v>
      </c>
      <c r="Z89" s="86">
        <f t="shared" si="19"/>
        <v>213</v>
      </c>
      <c r="AA89" s="86">
        <f t="shared" si="19"/>
        <v>266</v>
      </c>
      <c r="AB89" s="86">
        <f t="shared" si="19"/>
        <v>252</v>
      </c>
      <c r="AC89" s="86">
        <f t="shared" si="19"/>
        <v>252</v>
      </c>
      <c r="AD89" s="86">
        <f t="shared" si="19"/>
        <v>280</v>
      </c>
      <c r="AE89" s="86">
        <f t="shared" si="19"/>
        <v>362</v>
      </c>
      <c r="AF89" s="86">
        <f t="shared" si="19"/>
        <v>372</v>
      </c>
      <c r="AG89" s="85"/>
      <c r="AH89" s="20">
        <f t="shared" si="9"/>
        <v>437.8</v>
      </c>
      <c r="AI89" s="19">
        <f t="shared" si="10"/>
        <v>195</v>
      </c>
      <c r="AK89" s="41"/>
    </row>
    <row r="90" spans="1:37" ht="15.75" thickBot="1" x14ac:dyDescent="0.3">
      <c r="A90" s="87" t="s">
        <v>149</v>
      </c>
      <c r="B90" s="86">
        <f t="shared" ref="B90:AF90" si="20">B74-B89</f>
        <v>-375.9</v>
      </c>
      <c r="C90" s="86">
        <f t="shared" si="20"/>
        <v>-419.1</v>
      </c>
      <c r="D90" s="86">
        <f t="shared" si="20"/>
        <v>-428.2</v>
      </c>
      <c r="E90" s="86">
        <f t="shared" si="20"/>
        <v>-426.2</v>
      </c>
      <c r="F90" s="86">
        <f t="shared" si="20"/>
        <v>-437.8</v>
      </c>
      <c r="G90" s="86">
        <f t="shared" si="20"/>
        <v>-404</v>
      </c>
      <c r="H90" s="86">
        <f t="shared" si="20"/>
        <v>-418.5</v>
      </c>
      <c r="I90" s="86">
        <f t="shared" si="20"/>
        <v>-414.8</v>
      </c>
      <c r="J90" s="86">
        <f t="shared" si="20"/>
        <v>-407</v>
      </c>
      <c r="K90" s="86">
        <f t="shared" si="20"/>
        <v>-414.1</v>
      </c>
      <c r="L90" s="86">
        <f t="shared" si="20"/>
        <v>-410</v>
      </c>
      <c r="M90" s="86">
        <f t="shared" si="20"/>
        <v>-416</v>
      </c>
      <c r="N90" s="86">
        <f t="shared" si="20"/>
        <v>-408</v>
      </c>
      <c r="O90" s="86">
        <f t="shared" si="20"/>
        <v>-367.21</v>
      </c>
      <c r="P90" s="86">
        <f t="shared" si="20"/>
        <v>-333.9</v>
      </c>
      <c r="Q90" s="86">
        <f t="shared" si="20"/>
        <v>-325.90000000000003</v>
      </c>
      <c r="R90" s="86">
        <f t="shared" si="20"/>
        <v>-322</v>
      </c>
      <c r="S90" s="86">
        <f t="shared" si="20"/>
        <v>-311.8</v>
      </c>
      <c r="T90" s="86">
        <f t="shared" si="20"/>
        <v>-282.8</v>
      </c>
      <c r="U90" s="86">
        <f t="shared" si="20"/>
        <v>-321</v>
      </c>
      <c r="V90" s="86">
        <f t="shared" si="20"/>
        <v>-340.1</v>
      </c>
      <c r="W90" s="86">
        <f t="shared" si="20"/>
        <v>-358</v>
      </c>
      <c r="X90" s="86">
        <f t="shared" si="20"/>
        <v>-230</v>
      </c>
      <c r="Y90" s="86">
        <f t="shared" si="20"/>
        <v>-163.80000000000001</v>
      </c>
      <c r="Z90" s="86">
        <f t="shared" si="20"/>
        <v>-160.4</v>
      </c>
      <c r="AA90" s="86">
        <f t="shared" si="20"/>
        <v>-200.9</v>
      </c>
      <c r="AB90" s="86">
        <f t="shared" si="20"/>
        <v>-213.8</v>
      </c>
      <c r="AC90" s="86">
        <f t="shared" si="20"/>
        <v>-207.8</v>
      </c>
      <c r="AD90" s="86">
        <f t="shared" si="20"/>
        <v>-247.5</v>
      </c>
      <c r="AE90" s="86">
        <f t="shared" si="20"/>
        <v>-345</v>
      </c>
      <c r="AF90" s="86">
        <f t="shared" si="20"/>
        <v>-352.7</v>
      </c>
      <c r="AG90" s="85"/>
      <c r="AH90" s="20">
        <f t="shared" si="9"/>
        <v>-160.4</v>
      </c>
      <c r="AI90" s="19">
        <f t="shared" si="10"/>
        <v>-437.8</v>
      </c>
    </row>
    <row r="91" spans="1:37" x14ac:dyDescent="0.25">
      <c r="A91" s="47" t="s">
        <v>148</v>
      </c>
      <c r="B91" s="84">
        <v>49.984999999999999</v>
      </c>
      <c r="C91" s="84">
        <v>50.006999999999998</v>
      </c>
      <c r="D91" s="84">
        <v>49.978999999999999</v>
      </c>
      <c r="E91" s="84">
        <v>50.048000000000002</v>
      </c>
      <c r="F91" s="84">
        <v>50.034999999999997</v>
      </c>
      <c r="G91" s="84">
        <v>50.034999999999997</v>
      </c>
      <c r="H91" s="84">
        <v>49.984000000000002</v>
      </c>
      <c r="I91" s="84">
        <v>50.012</v>
      </c>
      <c r="J91" s="84">
        <v>50.024999999999999</v>
      </c>
      <c r="K91" s="84">
        <v>50.04</v>
      </c>
      <c r="L91" s="84">
        <v>50.042000000000002</v>
      </c>
      <c r="M91" s="84">
        <v>50.045999999999999</v>
      </c>
      <c r="N91" s="84">
        <v>50.052</v>
      </c>
      <c r="O91" s="84">
        <v>49.982999999999997</v>
      </c>
      <c r="P91" s="84">
        <v>50.07</v>
      </c>
      <c r="Q91" s="84">
        <v>50.002000000000002</v>
      </c>
      <c r="R91" s="84">
        <v>50.002000000000002</v>
      </c>
      <c r="S91" s="84">
        <v>49.98</v>
      </c>
      <c r="T91" s="84">
        <v>49.98</v>
      </c>
      <c r="U91" s="84">
        <v>50.06</v>
      </c>
      <c r="V91" s="84">
        <v>50.02</v>
      </c>
      <c r="W91" s="84">
        <v>50.048000000000002</v>
      </c>
      <c r="X91" s="84">
        <v>50.1</v>
      </c>
      <c r="Y91" s="84">
        <v>49.96</v>
      </c>
      <c r="Z91" s="84">
        <v>50.06</v>
      </c>
      <c r="AA91" s="84">
        <v>49.98</v>
      </c>
      <c r="AB91" s="84">
        <v>50.058</v>
      </c>
      <c r="AC91" s="84">
        <v>50.045000000000002</v>
      </c>
      <c r="AD91" s="84">
        <v>50.052999999999997</v>
      </c>
      <c r="AE91" s="84">
        <v>50.023000000000003</v>
      </c>
      <c r="AF91" s="84">
        <v>50.039000000000001</v>
      </c>
      <c r="AG91" s="83"/>
      <c r="AH91" s="20">
        <f t="shared" si="9"/>
        <v>50.1</v>
      </c>
      <c r="AI91" s="19">
        <f t="shared" si="10"/>
        <v>49.96</v>
      </c>
    </row>
    <row r="92" spans="1:37" x14ac:dyDescent="0.25">
      <c r="A92" s="44" t="s">
        <v>147</v>
      </c>
      <c r="B92" s="80">
        <v>123.9</v>
      </c>
      <c r="C92" s="80">
        <v>123.6</v>
      </c>
      <c r="D92" s="80">
        <v>124.4</v>
      </c>
      <c r="E92" s="80">
        <v>126</v>
      </c>
      <c r="F92" s="80">
        <v>127.1</v>
      </c>
      <c r="G92" s="80">
        <v>127.1</v>
      </c>
      <c r="H92" s="80">
        <v>126.1</v>
      </c>
      <c r="I92" s="80">
        <v>126.7</v>
      </c>
      <c r="J92" s="80">
        <v>126.2</v>
      </c>
      <c r="K92" s="80">
        <v>123.6</v>
      </c>
      <c r="L92" s="80">
        <v>123.3</v>
      </c>
      <c r="M92" s="80">
        <v>122.4</v>
      </c>
      <c r="N92" s="80">
        <v>121.8</v>
      </c>
      <c r="O92" s="80">
        <v>122</v>
      </c>
      <c r="P92" s="80">
        <v>119.8</v>
      </c>
      <c r="Q92" s="80">
        <v>120.1</v>
      </c>
      <c r="R92" s="80">
        <v>120.1</v>
      </c>
      <c r="S92" s="80">
        <v>122.4</v>
      </c>
      <c r="T92" s="80">
        <v>120.6</v>
      </c>
      <c r="U92" s="80">
        <v>120.4</v>
      </c>
      <c r="V92" s="80">
        <v>122.4</v>
      </c>
      <c r="W92" s="80">
        <v>123.7</v>
      </c>
      <c r="X92" s="80">
        <v>124.7</v>
      </c>
      <c r="Y92" s="80">
        <v>123.6</v>
      </c>
      <c r="Z92" s="80">
        <v>124.8</v>
      </c>
      <c r="AA92" s="80">
        <v>124.9</v>
      </c>
      <c r="AB92" s="80">
        <v>124.1</v>
      </c>
      <c r="AC92" s="80">
        <v>124.7</v>
      </c>
      <c r="AD92" s="80">
        <v>124.6</v>
      </c>
      <c r="AE92" s="80">
        <v>123.7</v>
      </c>
      <c r="AF92" s="80">
        <v>125.2</v>
      </c>
      <c r="AG92" s="79"/>
      <c r="AH92" s="20">
        <f t="shared" si="9"/>
        <v>127.1</v>
      </c>
      <c r="AI92" s="19">
        <f t="shared" si="10"/>
        <v>119.8</v>
      </c>
    </row>
    <row r="93" spans="1:37" x14ac:dyDescent="0.25">
      <c r="A93" s="44" t="s">
        <v>146</v>
      </c>
      <c r="B93" s="80">
        <v>128.69999999999999</v>
      </c>
      <c r="C93" s="80">
        <v>128.1</v>
      </c>
      <c r="D93" s="80">
        <v>129.19999999999999</v>
      </c>
      <c r="E93" s="80">
        <v>130.6</v>
      </c>
      <c r="F93" s="80">
        <v>131.19999999999999</v>
      </c>
      <c r="G93" s="80">
        <v>131.19999999999999</v>
      </c>
      <c r="H93" s="80">
        <v>130</v>
      </c>
      <c r="I93" s="80">
        <v>130.19999999999999</v>
      </c>
      <c r="J93" s="80">
        <v>129.9</v>
      </c>
      <c r="K93" s="80">
        <v>127.7</v>
      </c>
      <c r="L93" s="80">
        <v>126.6</v>
      </c>
      <c r="M93" s="80">
        <v>126.4</v>
      </c>
      <c r="N93" s="80">
        <v>126</v>
      </c>
      <c r="O93" s="80">
        <v>126.2</v>
      </c>
      <c r="P93" s="80">
        <v>124.6</v>
      </c>
      <c r="Q93" s="80">
        <v>124.7</v>
      </c>
      <c r="R93" s="80">
        <v>124.7</v>
      </c>
      <c r="S93" s="80">
        <v>126.8</v>
      </c>
      <c r="T93" s="80">
        <v>125.2</v>
      </c>
      <c r="U93" s="80">
        <v>125.1</v>
      </c>
      <c r="V93" s="80">
        <v>127</v>
      </c>
      <c r="W93" s="80">
        <v>127.6</v>
      </c>
      <c r="X93" s="80">
        <v>128.19999999999999</v>
      </c>
      <c r="Y93" s="80">
        <v>127.4</v>
      </c>
      <c r="Z93" s="80">
        <v>128.5</v>
      </c>
      <c r="AA93" s="80">
        <v>128.5</v>
      </c>
      <c r="AB93" s="80">
        <v>128</v>
      </c>
      <c r="AC93" s="80">
        <v>128.6</v>
      </c>
      <c r="AD93" s="80">
        <v>129</v>
      </c>
      <c r="AE93" s="80">
        <v>128.69999999999999</v>
      </c>
      <c r="AF93" s="80">
        <v>129.69999999999999</v>
      </c>
      <c r="AG93" s="79"/>
      <c r="AH93" s="20">
        <f t="shared" si="9"/>
        <v>131.19999999999999</v>
      </c>
      <c r="AI93" s="19">
        <f t="shared" si="10"/>
        <v>124.6</v>
      </c>
    </row>
    <row r="94" spans="1:37" x14ac:dyDescent="0.25">
      <c r="A94" s="44" t="s">
        <v>145</v>
      </c>
      <c r="B94" s="80">
        <v>129.69999999999999</v>
      </c>
      <c r="C94" s="80">
        <v>128.4</v>
      </c>
      <c r="D94" s="80">
        <v>128.19999999999999</v>
      </c>
      <c r="E94" s="80">
        <v>129.80000000000001</v>
      </c>
      <c r="F94" s="80">
        <v>130.4</v>
      </c>
      <c r="G94" s="80">
        <v>130.4</v>
      </c>
      <c r="H94" s="80">
        <v>129.69999999999999</v>
      </c>
      <c r="I94" s="80">
        <v>130.4</v>
      </c>
      <c r="J94" s="80">
        <v>129.69999999999999</v>
      </c>
      <c r="K94" s="80">
        <v>127.1</v>
      </c>
      <c r="L94" s="80">
        <v>127.5</v>
      </c>
      <c r="M94" s="80">
        <v>127.1</v>
      </c>
      <c r="N94" s="80">
        <v>128.9</v>
      </c>
      <c r="O94" s="80">
        <v>129.5</v>
      </c>
      <c r="P94" s="80">
        <v>128.80000000000001</v>
      </c>
      <c r="Q94" s="80">
        <v>129.4</v>
      </c>
      <c r="R94" s="80">
        <v>129.4</v>
      </c>
      <c r="S94" s="80">
        <v>128.69999999999999</v>
      </c>
      <c r="T94" s="80">
        <v>127.5</v>
      </c>
      <c r="U94" s="80">
        <v>129.5</v>
      </c>
      <c r="V94" s="80">
        <v>129.80000000000001</v>
      </c>
      <c r="W94" s="80">
        <v>130</v>
      </c>
      <c r="X94" s="80">
        <v>130</v>
      </c>
      <c r="Y94" s="80">
        <v>129.19999999999999</v>
      </c>
      <c r="Z94" s="80">
        <v>130.9</v>
      </c>
      <c r="AA94" s="80">
        <v>130.5</v>
      </c>
      <c r="AB94" s="80">
        <v>128.9</v>
      </c>
      <c r="AC94" s="80">
        <v>125.1</v>
      </c>
      <c r="AD94" s="80">
        <v>128</v>
      </c>
      <c r="AE94" s="80">
        <v>128.6</v>
      </c>
      <c r="AF94" s="80">
        <v>126.5</v>
      </c>
      <c r="AG94" s="79"/>
      <c r="AH94" s="20">
        <f t="shared" si="9"/>
        <v>130.9</v>
      </c>
      <c r="AI94" s="19">
        <f t="shared" si="10"/>
        <v>125.1</v>
      </c>
    </row>
    <row r="95" spans="1:37" x14ac:dyDescent="0.25">
      <c r="A95" s="82" t="s">
        <v>144</v>
      </c>
      <c r="B95" s="80">
        <v>133.69999999999999</v>
      </c>
      <c r="C95" s="80">
        <v>133.1</v>
      </c>
      <c r="D95" s="80">
        <v>132.9</v>
      </c>
      <c r="E95" s="80">
        <v>134.5</v>
      </c>
      <c r="F95" s="80">
        <v>133.6</v>
      </c>
      <c r="G95" s="80">
        <v>133.6</v>
      </c>
      <c r="H95" s="80">
        <v>132.5</v>
      </c>
      <c r="I95" s="80">
        <v>132.9</v>
      </c>
      <c r="J95" s="80">
        <v>132.4</v>
      </c>
      <c r="K95" s="80">
        <v>131.1</v>
      </c>
      <c r="L95" s="80">
        <v>130.6</v>
      </c>
      <c r="M95" s="80">
        <v>126.8</v>
      </c>
      <c r="N95" s="80">
        <v>130.1</v>
      </c>
      <c r="O95" s="80">
        <v>130.19999999999999</v>
      </c>
      <c r="P95" s="80">
        <v>129.5</v>
      </c>
      <c r="Q95" s="80">
        <v>130.4</v>
      </c>
      <c r="R95" s="80">
        <v>130.4</v>
      </c>
      <c r="S95" s="80" t="s">
        <v>274</v>
      </c>
      <c r="T95" s="80">
        <v>128.4</v>
      </c>
      <c r="U95" s="80">
        <v>131.19999999999999</v>
      </c>
      <c r="V95" s="80">
        <v>131.1</v>
      </c>
      <c r="W95" s="80">
        <v>131.9</v>
      </c>
      <c r="X95" s="80">
        <v>131.19999999999999</v>
      </c>
      <c r="Y95" s="80">
        <v>130.1</v>
      </c>
      <c r="Z95" s="80">
        <v>131.6</v>
      </c>
      <c r="AA95" s="80">
        <v>131.4</v>
      </c>
      <c r="AB95" s="80">
        <v>131.19999999999999</v>
      </c>
      <c r="AC95" s="80">
        <v>128.80000000000001</v>
      </c>
      <c r="AD95" s="80">
        <v>131</v>
      </c>
      <c r="AE95" s="80">
        <v>132</v>
      </c>
      <c r="AF95" s="80">
        <v>129.5</v>
      </c>
      <c r="AG95" s="79"/>
      <c r="AH95" s="20">
        <f t="shared" si="9"/>
        <v>134.5</v>
      </c>
      <c r="AI95" s="19">
        <f t="shared" si="10"/>
        <v>126.8</v>
      </c>
    </row>
    <row r="96" spans="1:37" x14ac:dyDescent="0.25">
      <c r="A96" s="82" t="s">
        <v>143</v>
      </c>
      <c r="B96" s="66">
        <v>131.4</v>
      </c>
      <c r="C96" s="66">
        <v>132.6</v>
      </c>
      <c r="D96" s="66">
        <v>131.4</v>
      </c>
      <c r="E96" s="66">
        <v>133.6</v>
      </c>
      <c r="F96" s="66">
        <v>132.5</v>
      </c>
      <c r="G96" s="66">
        <v>132.5</v>
      </c>
      <c r="H96" s="66">
        <v>132.1</v>
      </c>
      <c r="I96" s="66">
        <v>130.6</v>
      </c>
      <c r="J96" s="66">
        <v>134.30000000000001</v>
      </c>
      <c r="K96" s="66">
        <v>133.6</v>
      </c>
      <c r="L96" s="66">
        <v>135.30000000000001</v>
      </c>
      <c r="M96" s="66">
        <v>131.9</v>
      </c>
      <c r="N96" s="66">
        <v>131.5</v>
      </c>
      <c r="O96" s="66">
        <v>131.4</v>
      </c>
      <c r="P96" s="66">
        <v>129</v>
      </c>
      <c r="Q96" s="66">
        <v>131.4</v>
      </c>
      <c r="R96" s="66">
        <v>131.4</v>
      </c>
      <c r="S96" s="66">
        <v>132.4</v>
      </c>
      <c r="T96" s="66">
        <v>132.9</v>
      </c>
      <c r="U96" s="66">
        <v>129.69999999999999</v>
      </c>
      <c r="V96" s="66">
        <v>135.6</v>
      </c>
      <c r="W96" s="66">
        <v>132.6</v>
      </c>
      <c r="X96" s="66">
        <v>134</v>
      </c>
      <c r="Y96" s="66">
        <v>131.1</v>
      </c>
      <c r="Z96" s="66">
        <v>130.5</v>
      </c>
      <c r="AA96" s="66">
        <v>135</v>
      </c>
      <c r="AB96" s="66">
        <v>129.69999999999999</v>
      </c>
      <c r="AC96" s="66">
        <v>131.6</v>
      </c>
      <c r="AD96" s="66">
        <v>130</v>
      </c>
      <c r="AE96" s="66">
        <v>129.80000000000001</v>
      </c>
      <c r="AF96" s="66">
        <v>133.69999999999999</v>
      </c>
      <c r="AG96" s="81"/>
      <c r="AH96" s="20">
        <f t="shared" si="9"/>
        <v>135.6</v>
      </c>
      <c r="AI96" s="19">
        <f t="shared" si="10"/>
        <v>129</v>
      </c>
    </row>
    <row r="97" spans="1:37" x14ac:dyDescent="0.25">
      <c r="A97" s="44" t="s">
        <v>142</v>
      </c>
      <c r="B97" s="80">
        <v>133.6</v>
      </c>
      <c r="C97" s="80">
        <v>129.5</v>
      </c>
      <c r="D97" s="80">
        <v>127.1</v>
      </c>
      <c r="E97" s="80">
        <v>132</v>
      </c>
      <c r="F97" s="80">
        <v>133.30000000000001</v>
      </c>
      <c r="G97" s="80">
        <v>133.30000000000001</v>
      </c>
      <c r="H97" s="80">
        <v>129.19999999999999</v>
      </c>
      <c r="I97" s="80">
        <v>127.7</v>
      </c>
      <c r="J97" s="80">
        <v>131.1</v>
      </c>
      <c r="K97" s="80">
        <v>132.80000000000001</v>
      </c>
      <c r="L97" s="80">
        <v>135</v>
      </c>
      <c r="M97" s="80">
        <v>126.5</v>
      </c>
      <c r="N97" s="80">
        <v>126.8</v>
      </c>
      <c r="O97" s="80">
        <v>124.7</v>
      </c>
      <c r="P97" s="80">
        <v>123.7</v>
      </c>
      <c r="Q97" s="80">
        <v>126.4</v>
      </c>
      <c r="R97" s="80">
        <v>126.4</v>
      </c>
      <c r="S97" s="80">
        <v>126.4</v>
      </c>
      <c r="T97" s="80">
        <v>126.8</v>
      </c>
      <c r="U97" s="80">
        <v>127.7</v>
      </c>
      <c r="V97" s="80">
        <v>132.30000000000001</v>
      </c>
      <c r="W97" s="80">
        <v>126</v>
      </c>
      <c r="X97" s="80">
        <v>130.69999999999999</v>
      </c>
      <c r="Y97" s="80">
        <v>126.5</v>
      </c>
      <c r="Z97" s="80">
        <v>128.9</v>
      </c>
      <c r="AA97" s="80">
        <v>135.80000000000001</v>
      </c>
      <c r="AB97" s="80">
        <v>128.1</v>
      </c>
      <c r="AC97" s="80">
        <v>130.9</v>
      </c>
      <c r="AD97" s="80">
        <v>127.2</v>
      </c>
      <c r="AE97" s="80">
        <v>127.2</v>
      </c>
      <c r="AF97" s="80">
        <v>131.80000000000001</v>
      </c>
      <c r="AG97" s="79"/>
      <c r="AH97" s="20">
        <f t="shared" si="9"/>
        <v>135.80000000000001</v>
      </c>
      <c r="AI97" s="19">
        <f t="shared" si="10"/>
        <v>123.7</v>
      </c>
    </row>
    <row r="98" spans="1:37" ht="15.75" thickBot="1" x14ac:dyDescent="0.3">
      <c r="A98" s="44" t="s">
        <v>141</v>
      </c>
      <c r="B98" s="77">
        <v>64.900000000000006</v>
      </c>
      <c r="C98" s="77">
        <v>64.599999999999994</v>
      </c>
      <c r="D98" s="77">
        <v>65.3</v>
      </c>
      <c r="E98" s="77">
        <v>65.900000000000006</v>
      </c>
      <c r="F98" s="77">
        <v>66.2</v>
      </c>
      <c r="G98" s="77">
        <v>66.2</v>
      </c>
      <c r="H98" s="77">
        <v>65.3</v>
      </c>
      <c r="I98" s="77">
        <v>65.5</v>
      </c>
      <c r="J98" s="77">
        <v>64.900000000000006</v>
      </c>
      <c r="K98" s="77">
        <v>64.5</v>
      </c>
      <c r="L98" s="77">
        <v>64</v>
      </c>
      <c r="M98" s="77">
        <v>63.7</v>
      </c>
      <c r="N98" s="77">
        <v>63.6</v>
      </c>
      <c r="O98" s="77">
        <v>63.3</v>
      </c>
      <c r="P98" s="77">
        <v>62.7</v>
      </c>
      <c r="Q98" s="77">
        <v>62.6</v>
      </c>
      <c r="R98" s="77">
        <v>62.6</v>
      </c>
      <c r="S98" s="77">
        <v>63.8</v>
      </c>
      <c r="T98" s="77">
        <v>63</v>
      </c>
      <c r="U98" s="77">
        <v>63</v>
      </c>
      <c r="V98" s="77">
        <v>63.8</v>
      </c>
      <c r="W98" s="77">
        <v>64</v>
      </c>
      <c r="X98" s="77">
        <v>64.8</v>
      </c>
      <c r="Y98" s="77">
        <v>64.3</v>
      </c>
      <c r="Z98" s="77">
        <v>65</v>
      </c>
      <c r="AA98" s="77">
        <v>64.5</v>
      </c>
      <c r="AB98" s="77">
        <v>64.599999999999994</v>
      </c>
      <c r="AC98" s="77">
        <v>64.8</v>
      </c>
      <c r="AD98" s="77">
        <v>65.099999999999994</v>
      </c>
      <c r="AE98" s="77">
        <v>65.2</v>
      </c>
      <c r="AF98" s="77">
        <v>65.400000000000006</v>
      </c>
      <c r="AG98" s="76"/>
      <c r="AH98" s="20">
        <f t="shared" si="9"/>
        <v>66.2</v>
      </c>
      <c r="AI98" s="19">
        <f t="shared" si="10"/>
        <v>62.6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9"/>
        <v>0</v>
      </c>
      <c r="AI99" s="19">
        <f t="shared" si="10"/>
        <v>0</v>
      </c>
    </row>
    <row r="100" spans="1:37" ht="15.75" thickBot="1" x14ac:dyDescent="0.3">
      <c r="A100" s="75" t="s">
        <v>140</v>
      </c>
      <c r="B100" s="74">
        <f t="shared" ref="B100:AF100" si="21">SUM(B15,B20,B22:B23,B48,B50:B51,B53,B55,B101:B105,B127,B133,B139,B148,B150,B162,B169,B172:B173,B180,B182,B184,B188:B190,B192:B194,B199,B205:B206,B208:B210,B218,B223)</f>
        <v>43.199999999999982</v>
      </c>
      <c r="C100" s="74">
        <f t="shared" si="21"/>
        <v>39.939999999999991</v>
      </c>
      <c r="D100" s="74">
        <f t="shared" si="21"/>
        <v>25.739999999999974</v>
      </c>
      <c r="E100" s="74">
        <f t="shared" si="21"/>
        <v>36.239999999999995</v>
      </c>
      <c r="F100" s="74">
        <f t="shared" si="21"/>
        <v>27.84</v>
      </c>
      <c r="G100" s="74">
        <f t="shared" si="21"/>
        <v>24.84</v>
      </c>
      <c r="H100" s="74">
        <f t="shared" si="21"/>
        <v>69.239999999999952</v>
      </c>
      <c r="I100" s="74">
        <f t="shared" si="21"/>
        <v>102.13999999999997</v>
      </c>
      <c r="J100" s="74">
        <f t="shared" si="21"/>
        <v>144.44</v>
      </c>
      <c r="K100" s="74">
        <f t="shared" si="21"/>
        <v>182.93999999999997</v>
      </c>
      <c r="L100" s="74">
        <f t="shared" si="21"/>
        <v>216.24</v>
      </c>
      <c r="M100" s="74">
        <f t="shared" si="21"/>
        <v>225.33999999999995</v>
      </c>
      <c r="N100" s="74">
        <f t="shared" si="21"/>
        <v>216.23999999999998</v>
      </c>
      <c r="O100" s="74">
        <f t="shared" si="21"/>
        <v>218.34</v>
      </c>
      <c r="P100" s="74">
        <f t="shared" si="21"/>
        <v>202.73999999999998</v>
      </c>
      <c r="Q100" s="74">
        <f t="shared" si="21"/>
        <v>180.7</v>
      </c>
      <c r="R100" s="74">
        <f t="shared" si="21"/>
        <v>180.7</v>
      </c>
      <c r="S100" s="74">
        <f t="shared" si="21"/>
        <v>152.19999999999996</v>
      </c>
      <c r="T100" s="74">
        <f t="shared" si="21"/>
        <v>194.69999999999996</v>
      </c>
      <c r="U100" s="74">
        <f t="shared" si="21"/>
        <v>214.60000000000002</v>
      </c>
      <c r="V100" s="74">
        <f t="shared" si="21"/>
        <v>206.69999999999993</v>
      </c>
      <c r="W100" s="74">
        <f t="shared" si="21"/>
        <v>208.49999999999994</v>
      </c>
      <c r="X100" s="74">
        <f t="shared" si="21"/>
        <v>270.79999999999995</v>
      </c>
      <c r="Y100" s="74">
        <f t="shared" si="21"/>
        <v>277.10000000000002</v>
      </c>
      <c r="Z100" s="74">
        <f t="shared" si="21"/>
        <v>256.29999999999995</v>
      </c>
      <c r="AA100" s="74">
        <f t="shared" si="21"/>
        <v>226.59999999999997</v>
      </c>
      <c r="AB100" s="74">
        <f t="shared" si="21"/>
        <v>206.79999999999995</v>
      </c>
      <c r="AC100" s="74">
        <f t="shared" si="21"/>
        <v>185.2</v>
      </c>
      <c r="AD100" s="74">
        <f t="shared" si="21"/>
        <v>160.89999999999995</v>
      </c>
      <c r="AE100" s="74">
        <f t="shared" si="21"/>
        <v>99.499999999999957</v>
      </c>
      <c r="AF100" s="74">
        <f t="shared" si="21"/>
        <v>71.59999999999998</v>
      </c>
      <c r="AG100" s="73"/>
      <c r="AH100" s="20">
        <f t="shared" si="9"/>
        <v>277.10000000000002</v>
      </c>
      <c r="AI100" s="19">
        <f t="shared" si="10"/>
        <v>24.84</v>
      </c>
    </row>
    <row r="101" spans="1:37" x14ac:dyDescent="0.25">
      <c r="A101" s="47" t="s">
        <v>139</v>
      </c>
      <c r="B101" s="72">
        <v>8.5</v>
      </c>
      <c r="C101" s="72">
        <v>18.3</v>
      </c>
      <c r="D101" s="72">
        <v>10.7</v>
      </c>
      <c r="E101" s="72">
        <v>8.4</v>
      </c>
      <c r="F101" s="72">
        <v>3.8</v>
      </c>
      <c r="G101" s="72">
        <v>3.8</v>
      </c>
      <c r="H101" s="72">
        <v>10.199999999999999</v>
      </c>
      <c r="I101" s="72">
        <v>6.9</v>
      </c>
      <c r="J101" s="72">
        <v>16.100000000000001</v>
      </c>
      <c r="K101" s="72">
        <v>26</v>
      </c>
      <c r="L101" s="72">
        <v>31.8</v>
      </c>
      <c r="M101" s="72">
        <v>39.1</v>
      </c>
      <c r="N101" s="72">
        <v>36.4</v>
      </c>
      <c r="O101" s="72">
        <v>31.4</v>
      </c>
      <c r="P101" s="72">
        <v>34.299999999999997</v>
      </c>
      <c r="Q101" s="72">
        <v>30.9</v>
      </c>
      <c r="R101" s="72">
        <v>30.9</v>
      </c>
      <c r="S101" s="72">
        <v>27.2</v>
      </c>
      <c r="T101" s="72">
        <v>31</v>
      </c>
      <c r="U101" s="72">
        <v>29.6</v>
      </c>
      <c r="V101" s="72">
        <v>33.1</v>
      </c>
      <c r="W101" s="72">
        <v>34</v>
      </c>
      <c r="X101" s="72">
        <v>31.1</v>
      </c>
      <c r="Y101" s="72">
        <v>29.3</v>
      </c>
      <c r="Z101" s="72">
        <v>25.2</v>
      </c>
      <c r="AA101" s="72">
        <v>31.7</v>
      </c>
      <c r="AB101" s="72">
        <v>27</v>
      </c>
      <c r="AC101" s="72">
        <v>20.100000000000001</v>
      </c>
      <c r="AD101" s="72">
        <v>24.7</v>
      </c>
      <c r="AE101" s="72">
        <v>23.6</v>
      </c>
      <c r="AF101" s="72">
        <v>16.5</v>
      </c>
      <c r="AG101" s="70">
        <v>75</v>
      </c>
      <c r="AH101" s="20">
        <f t="shared" si="9"/>
        <v>39.1</v>
      </c>
      <c r="AI101" s="19">
        <f t="shared" si="10"/>
        <v>3.8</v>
      </c>
    </row>
    <row r="102" spans="1:37" x14ac:dyDescent="0.25">
      <c r="A102" s="44" t="s">
        <v>138</v>
      </c>
      <c r="B102" s="71">
        <v>26.1</v>
      </c>
      <c r="C102" s="71">
        <v>39.1</v>
      </c>
      <c r="D102" s="71">
        <v>29.2</v>
      </c>
      <c r="E102" s="71">
        <v>25</v>
      </c>
      <c r="F102" s="71">
        <v>18.5</v>
      </c>
      <c r="G102" s="71">
        <v>18.5</v>
      </c>
      <c r="H102" s="71">
        <v>26.1</v>
      </c>
      <c r="I102" s="71">
        <v>21.7</v>
      </c>
      <c r="J102" s="71">
        <v>32.700000000000003</v>
      </c>
      <c r="K102" s="71">
        <v>46.7</v>
      </c>
      <c r="L102" s="71">
        <v>54.1</v>
      </c>
      <c r="M102" s="71">
        <v>61.5</v>
      </c>
      <c r="N102" s="71">
        <v>58.6</v>
      </c>
      <c r="O102" s="71">
        <v>51.4</v>
      </c>
      <c r="P102" s="71">
        <v>55.2</v>
      </c>
      <c r="Q102" s="71">
        <v>51.1</v>
      </c>
      <c r="R102" s="71">
        <v>51.1</v>
      </c>
      <c r="S102" s="71">
        <v>46.9</v>
      </c>
      <c r="T102" s="71">
        <v>51.2</v>
      </c>
      <c r="U102" s="71">
        <v>49.7</v>
      </c>
      <c r="V102" s="71">
        <v>52.6</v>
      </c>
      <c r="W102" s="71">
        <v>53.7</v>
      </c>
      <c r="X102" s="71">
        <v>49.7</v>
      </c>
      <c r="Y102" s="71">
        <v>47.1</v>
      </c>
      <c r="Z102" s="71">
        <v>40.9</v>
      </c>
      <c r="AA102" s="71">
        <v>50.1</v>
      </c>
      <c r="AB102" s="71">
        <v>44.2</v>
      </c>
      <c r="AC102" s="71">
        <v>35.200000000000003</v>
      </c>
      <c r="AD102" s="71">
        <v>42.1</v>
      </c>
      <c r="AE102" s="71">
        <v>43.8</v>
      </c>
      <c r="AF102" s="71">
        <v>36</v>
      </c>
      <c r="AG102" s="70">
        <v>240</v>
      </c>
      <c r="AH102" s="20">
        <f t="shared" si="9"/>
        <v>61.5</v>
      </c>
      <c r="AI102" s="19">
        <f t="shared" si="10"/>
        <v>18.5</v>
      </c>
    </row>
    <row r="103" spans="1:37" x14ac:dyDescent="0.25">
      <c r="A103" s="44" t="s">
        <v>137</v>
      </c>
      <c r="B103" s="71">
        <v>-145</v>
      </c>
      <c r="C103" s="71">
        <v>-170</v>
      </c>
      <c r="D103" s="71">
        <v>-168.1</v>
      </c>
      <c r="E103" s="71">
        <f>-73.6-77</f>
        <v>-150.6</v>
      </c>
      <c r="F103" s="71">
        <f>-72.6-75.9</f>
        <v>-148.5</v>
      </c>
      <c r="G103" s="71">
        <f>-72.6-75.9</f>
        <v>-148.5</v>
      </c>
      <c r="H103" s="71">
        <f>-60.7-63.6</f>
        <v>-124.30000000000001</v>
      </c>
      <c r="I103" s="71">
        <f>-42.6-45.3</f>
        <v>-87.9</v>
      </c>
      <c r="J103" s="71">
        <f>-34.3-36.5</f>
        <v>-70.8</v>
      </c>
      <c r="K103" s="71">
        <f>-31.9-35.9</f>
        <v>-67.8</v>
      </c>
      <c r="L103" s="71">
        <f>-30.2-31.8</f>
        <v>-62</v>
      </c>
      <c r="M103" s="71">
        <f>-34-36.6</f>
        <v>-70.599999999999994</v>
      </c>
      <c r="N103" s="71">
        <f>-38-40</f>
        <v>-78</v>
      </c>
      <c r="O103" s="71">
        <f>-31-33.7</f>
        <v>-64.7</v>
      </c>
      <c r="P103" s="71">
        <f>-37-40</f>
        <v>-77</v>
      </c>
      <c r="Q103" s="71">
        <f>-42-44</f>
        <v>-86</v>
      </c>
      <c r="R103" s="71">
        <f>-42-44</f>
        <v>-86</v>
      </c>
      <c r="S103" s="71">
        <f>-53-56.7</f>
        <v>-109.7</v>
      </c>
      <c r="T103" s="71">
        <f>-38.1-40.9</f>
        <v>-79</v>
      </c>
      <c r="U103" s="71">
        <f>-51-54.6</f>
        <v>-105.6</v>
      </c>
      <c r="V103" s="71">
        <f>-52.8-56.6</f>
        <v>-109.4</v>
      </c>
      <c r="W103" s="71">
        <v>-110</v>
      </c>
      <c r="X103" s="71">
        <f>-38.2-37.6</f>
        <v>-75.800000000000011</v>
      </c>
      <c r="Y103" s="71">
        <f>-35.3-31.3</f>
        <v>-66.599999999999994</v>
      </c>
      <c r="Z103" s="71">
        <f>-49.3-35.5</f>
        <v>-84.8</v>
      </c>
      <c r="AA103" s="71">
        <f>-58.1-49.9</f>
        <v>-108</v>
      </c>
      <c r="AB103" s="71">
        <f>-46.4-50</f>
        <v>-96.4</v>
      </c>
      <c r="AC103" s="71">
        <f>-46.4-51</f>
        <v>-97.4</v>
      </c>
      <c r="AD103" s="71">
        <f>-57-60</f>
        <v>-117</v>
      </c>
      <c r="AE103" s="71">
        <f>-69.5-73.4</f>
        <v>-142.9</v>
      </c>
      <c r="AF103" s="71">
        <f>-69-74</f>
        <v>-143</v>
      </c>
      <c r="AG103" s="70">
        <v>240</v>
      </c>
      <c r="AH103" s="20">
        <f t="shared" si="9"/>
        <v>-62</v>
      </c>
      <c r="AI103" s="19">
        <f t="shared" si="10"/>
        <v>-170</v>
      </c>
    </row>
    <row r="104" spans="1:37" x14ac:dyDescent="0.25">
      <c r="A104" s="44" t="s">
        <v>136</v>
      </c>
      <c r="B104" s="71">
        <v>-6.1</v>
      </c>
      <c r="C104" s="71">
        <v>-8.1</v>
      </c>
      <c r="D104" s="71">
        <v>-6.7</v>
      </c>
      <c r="E104" s="71">
        <v>-5.2</v>
      </c>
      <c r="F104" s="71">
        <v>-4.5999999999999996</v>
      </c>
      <c r="G104" s="71">
        <v>-4.5999999999999996</v>
      </c>
      <c r="H104" s="71">
        <v>1.6</v>
      </c>
      <c r="I104" s="71">
        <v>5.8</v>
      </c>
      <c r="J104" s="71">
        <v>10.8</v>
      </c>
      <c r="K104" s="71">
        <v>6.4</v>
      </c>
      <c r="L104" s="71">
        <v>10.7</v>
      </c>
      <c r="M104" s="71">
        <v>13.7</v>
      </c>
      <c r="N104" s="71">
        <v>12.4</v>
      </c>
      <c r="O104" s="71">
        <v>14.4</v>
      </c>
      <c r="P104" s="71">
        <v>4.4000000000000004</v>
      </c>
      <c r="Q104" s="71">
        <v>4.8</v>
      </c>
      <c r="R104" s="71">
        <v>4.8</v>
      </c>
      <c r="S104" s="71">
        <v>7.9</v>
      </c>
      <c r="T104" s="71">
        <v>11.6</v>
      </c>
      <c r="U104" s="71">
        <v>7.3</v>
      </c>
      <c r="V104" s="71">
        <v>8.1999999999999993</v>
      </c>
      <c r="W104" s="71">
        <v>9.1</v>
      </c>
      <c r="X104" s="71">
        <v>22.7</v>
      </c>
      <c r="Y104" s="71">
        <v>23.8</v>
      </c>
      <c r="Z104" s="71">
        <v>31.7</v>
      </c>
      <c r="AA104" s="71">
        <v>9.1</v>
      </c>
      <c r="AB104" s="71">
        <v>8.9</v>
      </c>
      <c r="AC104" s="71">
        <v>7.4</v>
      </c>
      <c r="AD104" s="71">
        <v>4.0999999999999996</v>
      </c>
      <c r="AE104" s="71">
        <v>-0.6</v>
      </c>
      <c r="AF104" s="71">
        <v>-0.8</v>
      </c>
      <c r="AG104" s="70">
        <v>60</v>
      </c>
      <c r="AH104" s="20">
        <f t="shared" si="9"/>
        <v>31.7</v>
      </c>
      <c r="AI104" s="19">
        <f t="shared" si="10"/>
        <v>-8.1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53.7</v>
      </c>
      <c r="V105" s="68">
        <v>42.3</v>
      </c>
      <c r="W105" s="68">
        <v>41.8</v>
      </c>
      <c r="X105" s="68">
        <v>63.2</v>
      </c>
      <c r="Y105" s="68">
        <v>63.6</v>
      </c>
      <c r="Z105" s="68">
        <v>63.4</v>
      </c>
      <c r="AA105" s="68">
        <v>63.8</v>
      </c>
      <c r="AB105" s="68">
        <v>55.2</v>
      </c>
      <c r="AC105" s="68">
        <v>57</v>
      </c>
      <c r="AD105" s="68">
        <v>44.1</v>
      </c>
      <c r="AE105" s="68">
        <v>12.7</v>
      </c>
      <c r="AF105" s="68">
        <v>0</v>
      </c>
      <c r="AG105" s="69">
        <v>120</v>
      </c>
      <c r="AH105" s="20">
        <f t="shared" si="9"/>
        <v>63.8</v>
      </c>
      <c r="AI105" s="19">
        <f t="shared" si="10"/>
        <v>0</v>
      </c>
    </row>
    <row r="106" spans="1:37" x14ac:dyDescent="0.25">
      <c r="A106" s="40" t="s">
        <v>134</v>
      </c>
      <c r="B106" s="68">
        <v>36.1</v>
      </c>
      <c r="C106" s="68">
        <v>7.5</v>
      </c>
      <c r="D106" s="68">
        <v>15.7</v>
      </c>
      <c r="E106" s="68">
        <v>23.2</v>
      </c>
      <c r="F106" s="68">
        <v>23.3</v>
      </c>
      <c r="G106" s="68">
        <v>23.3</v>
      </c>
      <c r="H106" s="68">
        <v>27.4</v>
      </c>
      <c r="I106" s="68">
        <v>48.7</v>
      </c>
      <c r="J106" s="68">
        <v>40.5</v>
      </c>
      <c r="K106" s="68">
        <v>57.6</v>
      </c>
      <c r="L106" s="68">
        <v>60.8</v>
      </c>
      <c r="M106" s="68">
        <v>58.9</v>
      </c>
      <c r="N106" s="68">
        <v>55.6</v>
      </c>
      <c r="O106" s="68">
        <v>85.3</v>
      </c>
      <c r="P106" s="68">
        <v>77.7</v>
      </c>
      <c r="Q106" s="68">
        <v>77</v>
      </c>
      <c r="R106" s="68">
        <v>77</v>
      </c>
      <c r="S106" s="68">
        <v>49</v>
      </c>
      <c r="T106" s="68">
        <v>81.5</v>
      </c>
      <c r="U106" s="68">
        <v>44.9</v>
      </c>
      <c r="V106" s="68">
        <v>48.4</v>
      </c>
      <c r="W106" s="68">
        <v>45.2</v>
      </c>
      <c r="X106" s="68">
        <v>65.8</v>
      </c>
      <c r="Y106" s="68">
        <v>78.5</v>
      </c>
      <c r="Z106" s="68">
        <v>66.5</v>
      </c>
      <c r="AA106" s="68">
        <v>45.4</v>
      </c>
      <c r="AB106" s="68">
        <v>61.8</v>
      </c>
      <c r="AC106" s="68">
        <v>57</v>
      </c>
      <c r="AD106" s="68">
        <v>51.3</v>
      </c>
      <c r="AE106" s="68">
        <v>29.6</v>
      </c>
      <c r="AF106" s="68">
        <v>15.9</v>
      </c>
      <c r="AG106" s="69"/>
      <c r="AH106" s="20">
        <f t="shared" si="9"/>
        <v>85.3</v>
      </c>
      <c r="AI106" s="19">
        <f t="shared" si="10"/>
        <v>7.5</v>
      </c>
    </row>
    <row r="107" spans="1:37" x14ac:dyDescent="0.25">
      <c r="A107" s="40" t="s">
        <v>133</v>
      </c>
      <c r="B107" s="68">
        <v>77.900000000000006</v>
      </c>
      <c r="C107" s="68">
        <v>49</v>
      </c>
      <c r="D107" s="68">
        <v>62.9</v>
      </c>
      <c r="E107" s="68">
        <v>57.5</v>
      </c>
      <c r="F107" s="68">
        <v>56.5</v>
      </c>
      <c r="G107" s="68">
        <v>56.5</v>
      </c>
      <c r="H107" s="68">
        <v>40.9</v>
      </c>
      <c r="I107" s="68">
        <v>63.2</v>
      </c>
      <c r="J107" s="68">
        <v>36.1</v>
      </c>
      <c r="K107" s="68">
        <v>20.9</v>
      </c>
      <c r="L107" s="68">
        <v>5.5</v>
      </c>
      <c r="M107" s="68">
        <v>4.3</v>
      </c>
      <c r="N107" s="68">
        <v>23.2</v>
      </c>
      <c r="O107" s="68">
        <v>37.799999999999997</v>
      </c>
      <c r="P107" s="68">
        <v>29.8</v>
      </c>
      <c r="Q107" s="68">
        <v>33.4</v>
      </c>
      <c r="R107" s="68">
        <v>33.4</v>
      </c>
      <c r="S107" s="68">
        <v>15.2</v>
      </c>
      <c r="T107" s="68">
        <v>30.8</v>
      </c>
      <c r="U107" s="68">
        <v>21.6</v>
      </c>
      <c r="V107" s="68">
        <v>11.2</v>
      </c>
      <c r="W107" s="68">
        <v>14.4</v>
      </c>
      <c r="X107" s="68">
        <v>32</v>
      </c>
      <c r="Y107" s="68">
        <v>38.200000000000003</v>
      </c>
      <c r="Z107" s="68">
        <v>48.7</v>
      </c>
      <c r="AA107" s="68">
        <v>17.7</v>
      </c>
      <c r="AB107" s="68">
        <v>54</v>
      </c>
      <c r="AC107" s="68">
        <v>52</v>
      </c>
      <c r="AD107" s="68">
        <v>45.4</v>
      </c>
      <c r="AE107" s="68">
        <v>38.9</v>
      </c>
      <c r="AF107" s="68">
        <v>51.6</v>
      </c>
      <c r="AG107" s="48"/>
      <c r="AH107" s="20">
        <f t="shared" si="9"/>
        <v>77.900000000000006</v>
      </c>
      <c r="AI107" s="19">
        <f t="shared" si="10"/>
        <v>4.3</v>
      </c>
    </row>
    <row r="108" spans="1:37" x14ac:dyDescent="0.25">
      <c r="A108" s="67" t="s">
        <v>132</v>
      </c>
      <c r="B108" s="66">
        <v>114.9</v>
      </c>
      <c r="C108" s="66">
        <v>117.8</v>
      </c>
      <c r="D108" s="66">
        <v>119.1</v>
      </c>
      <c r="E108" s="66">
        <v>120.1</v>
      </c>
      <c r="F108" s="66">
        <v>121.5</v>
      </c>
      <c r="G108" s="66">
        <v>121.5</v>
      </c>
      <c r="H108" s="66">
        <v>119.3</v>
      </c>
      <c r="I108" s="66">
        <v>119.1</v>
      </c>
      <c r="J108" s="66">
        <v>108</v>
      </c>
      <c r="K108" s="66">
        <v>117.2</v>
      </c>
      <c r="L108" s="66">
        <v>113</v>
      </c>
      <c r="M108" s="66">
        <v>99.9</v>
      </c>
      <c r="N108" s="66">
        <v>101.5</v>
      </c>
      <c r="O108" s="66">
        <v>108.3</v>
      </c>
      <c r="P108" s="66">
        <v>103.1</v>
      </c>
      <c r="Q108" s="66">
        <v>105.8</v>
      </c>
      <c r="R108" s="66">
        <v>105.8</v>
      </c>
      <c r="S108" s="66">
        <v>105.8</v>
      </c>
      <c r="T108" s="66">
        <v>102.6</v>
      </c>
      <c r="U108" s="66">
        <v>108.1</v>
      </c>
      <c r="V108" s="66">
        <v>105.8</v>
      </c>
      <c r="W108" s="66">
        <v>101.4</v>
      </c>
      <c r="X108" s="66">
        <v>91.8</v>
      </c>
      <c r="Y108" s="66">
        <v>90.5</v>
      </c>
      <c r="Z108" s="66">
        <v>91.1</v>
      </c>
      <c r="AA108" s="66">
        <v>91.9</v>
      </c>
      <c r="AB108" s="66">
        <v>95</v>
      </c>
      <c r="AC108" s="66">
        <v>99.6</v>
      </c>
      <c r="AD108" s="66">
        <v>98.7</v>
      </c>
      <c r="AE108" s="66">
        <v>105</v>
      </c>
      <c r="AF108" s="66">
        <v>19.5</v>
      </c>
      <c r="AG108" s="48"/>
      <c r="AH108" s="20">
        <f t="shared" si="9"/>
        <v>121.5</v>
      </c>
      <c r="AI108" s="19">
        <f t="shared" si="10"/>
        <v>19.5</v>
      </c>
    </row>
    <row r="109" spans="1:37" ht="15.75" thickBot="1" x14ac:dyDescent="0.3">
      <c r="A109" s="67" t="s">
        <v>131</v>
      </c>
      <c r="B109" s="66">
        <v>84.9</v>
      </c>
      <c r="C109" s="66">
        <v>108.8</v>
      </c>
      <c r="D109" s="66">
        <v>101.1</v>
      </c>
      <c r="E109" s="66">
        <v>87.5</v>
      </c>
      <c r="F109" s="66">
        <v>85</v>
      </c>
      <c r="G109" s="66">
        <v>85</v>
      </c>
      <c r="H109" s="66">
        <v>75.599999999999994</v>
      </c>
      <c r="I109" s="66">
        <v>46.7</v>
      </c>
      <c r="J109" s="66">
        <v>39.4</v>
      </c>
      <c r="K109" s="66">
        <v>43.8</v>
      </c>
      <c r="L109" s="66">
        <v>42.4</v>
      </c>
      <c r="M109" s="66">
        <v>51.2</v>
      </c>
      <c r="N109" s="66">
        <v>55.5</v>
      </c>
      <c r="O109" s="66">
        <v>42.7</v>
      </c>
      <c r="P109" s="66">
        <v>49.4</v>
      </c>
      <c r="Q109" s="66">
        <v>51.3</v>
      </c>
      <c r="R109" s="66">
        <v>51.3</v>
      </c>
      <c r="S109" s="66">
        <v>66.5</v>
      </c>
      <c r="T109" s="66">
        <v>50.9</v>
      </c>
      <c r="U109" s="66">
        <v>79.5</v>
      </c>
      <c r="V109" s="66">
        <v>72.3</v>
      </c>
      <c r="W109" s="66">
        <v>68</v>
      </c>
      <c r="X109" s="66">
        <v>41.9</v>
      </c>
      <c r="Y109" s="66">
        <v>36.4</v>
      </c>
      <c r="Z109" s="66">
        <v>46.3</v>
      </c>
      <c r="AA109" s="66">
        <v>64.099999999999994</v>
      </c>
      <c r="AB109" s="66">
        <v>47.2</v>
      </c>
      <c r="AC109" s="66">
        <v>56</v>
      </c>
      <c r="AD109" s="66">
        <v>66</v>
      </c>
      <c r="AE109" s="66">
        <v>86</v>
      </c>
      <c r="AF109" s="66">
        <v>89.8</v>
      </c>
      <c r="AG109" s="48"/>
      <c r="AH109" s="20">
        <f t="shared" si="9"/>
        <v>108.8</v>
      </c>
      <c r="AI109" s="19">
        <f t="shared" si="10"/>
        <v>36.4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2">SUM(B111:B215)</f>
        <v>0</v>
      </c>
      <c r="C216" s="36">
        <f t="shared" si="22"/>
        <v>0</v>
      </c>
      <c r="D216" s="36">
        <f t="shared" si="22"/>
        <v>0</v>
      </c>
      <c r="E216" s="36">
        <f t="shared" si="22"/>
        <v>0</v>
      </c>
      <c r="F216" s="36">
        <f t="shared" si="22"/>
        <v>0</v>
      </c>
      <c r="G216" s="36">
        <f t="shared" si="22"/>
        <v>0</v>
      </c>
      <c r="H216" s="36">
        <f t="shared" si="22"/>
        <v>0</v>
      </c>
      <c r="I216" s="36">
        <f t="shared" si="22"/>
        <v>0</v>
      </c>
      <c r="J216" s="36">
        <f t="shared" si="22"/>
        <v>0</v>
      </c>
      <c r="K216" s="36">
        <f t="shared" si="22"/>
        <v>0</v>
      </c>
      <c r="L216" s="36">
        <f t="shared" si="22"/>
        <v>0</v>
      </c>
      <c r="M216" s="36">
        <f t="shared" si="22"/>
        <v>0</v>
      </c>
      <c r="N216" s="36">
        <f t="shared" si="22"/>
        <v>0</v>
      </c>
      <c r="O216" s="36">
        <f t="shared" si="22"/>
        <v>0</v>
      </c>
      <c r="P216" s="36">
        <f t="shared" si="22"/>
        <v>0</v>
      </c>
      <c r="Q216" s="36">
        <f t="shared" si="22"/>
        <v>0</v>
      </c>
      <c r="R216" s="36">
        <f t="shared" si="22"/>
        <v>0</v>
      </c>
      <c r="S216" s="36">
        <f t="shared" si="22"/>
        <v>0</v>
      </c>
      <c r="T216" s="36">
        <f t="shared" si="22"/>
        <v>0</v>
      </c>
      <c r="U216" s="36">
        <f t="shared" si="22"/>
        <v>0</v>
      </c>
      <c r="V216" s="36">
        <f t="shared" si="22"/>
        <v>0</v>
      </c>
      <c r="W216" s="36">
        <f t="shared" si="22"/>
        <v>0</v>
      </c>
      <c r="X216" s="36">
        <f t="shared" si="22"/>
        <v>0</v>
      </c>
      <c r="Y216" s="36">
        <f t="shared" si="22"/>
        <v>0</v>
      </c>
      <c r="Z216" s="36">
        <f t="shared" si="22"/>
        <v>0</v>
      </c>
      <c r="AA216" s="36">
        <f t="shared" si="22"/>
        <v>0</v>
      </c>
      <c r="AB216" s="36">
        <f t="shared" si="22"/>
        <v>0</v>
      </c>
      <c r="AC216" s="36">
        <f t="shared" si="22"/>
        <v>0</v>
      </c>
      <c r="AD216" s="36">
        <f t="shared" si="22"/>
        <v>0</v>
      </c>
      <c r="AE216" s="36">
        <f t="shared" si="22"/>
        <v>0</v>
      </c>
      <c r="AF216" s="51">
        <f t="shared" si="22"/>
        <v>0</v>
      </c>
      <c r="AG216" s="50">
        <f t="shared" si="22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3">AF218</f>
        <v>0</v>
      </c>
      <c r="C218" s="46">
        <v>0.3</v>
      </c>
      <c r="D218" s="46">
        <f t="shared" ref="D218:P223" si="24">C218</f>
        <v>0.3</v>
      </c>
      <c r="E218" s="46">
        <f t="shared" si="24"/>
        <v>0.3</v>
      </c>
      <c r="F218" s="46">
        <f t="shared" si="24"/>
        <v>0.3</v>
      </c>
      <c r="G218" s="46">
        <f t="shared" si="24"/>
        <v>0.3</v>
      </c>
      <c r="H218" s="46">
        <f t="shared" si="24"/>
        <v>0.3</v>
      </c>
      <c r="I218" s="46">
        <f t="shared" si="24"/>
        <v>0.3</v>
      </c>
      <c r="J218" s="46">
        <f t="shared" si="24"/>
        <v>0.3</v>
      </c>
      <c r="K218" s="46">
        <f t="shared" si="24"/>
        <v>0.3</v>
      </c>
      <c r="L218" s="46">
        <f t="shared" si="24"/>
        <v>0.3</v>
      </c>
      <c r="M218" s="46">
        <f t="shared" si="24"/>
        <v>0.3</v>
      </c>
      <c r="N218" s="46">
        <f t="shared" si="24"/>
        <v>0.3</v>
      </c>
      <c r="O218" s="46">
        <f t="shared" si="24"/>
        <v>0.3</v>
      </c>
      <c r="P218" s="46">
        <f t="shared" si="24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3"/>
        <v>0</v>
      </c>
      <c r="C219" s="43">
        <v>0.4</v>
      </c>
      <c r="D219" s="43">
        <f t="shared" si="24"/>
        <v>0.4</v>
      </c>
      <c r="E219" s="43">
        <f t="shared" si="24"/>
        <v>0.4</v>
      </c>
      <c r="F219" s="43">
        <f t="shared" si="24"/>
        <v>0.4</v>
      </c>
      <c r="G219" s="43">
        <f t="shared" si="24"/>
        <v>0.4</v>
      </c>
      <c r="H219" s="43">
        <f t="shared" si="24"/>
        <v>0.4</v>
      </c>
      <c r="I219" s="43">
        <f t="shared" si="24"/>
        <v>0.4</v>
      </c>
      <c r="J219" s="43">
        <f t="shared" si="24"/>
        <v>0.4</v>
      </c>
      <c r="K219" s="43">
        <f t="shared" si="24"/>
        <v>0.4</v>
      </c>
      <c r="L219" s="43">
        <f t="shared" si="24"/>
        <v>0.4</v>
      </c>
      <c r="M219" s="43">
        <f t="shared" si="24"/>
        <v>0.4</v>
      </c>
      <c r="N219" s="43">
        <f t="shared" si="24"/>
        <v>0.4</v>
      </c>
      <c r="O219" s="43">
        <f t="shared" si="24"/>
        <v>0.4</v>
      </c>
      <c r="P219" s="43">
        <f t="shared" si="24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3"/>
        <v>0</v>
      </c>
      <c r="C220" s="43">
        <v>1.5</v>
      </c>
      <c r="D220" s="43">
        <f t="shared" si="24"/>
        <v>1.5</v>
      </c>
      <c r="E220" s="43">
        <f t="shared" si="24"/>
        <v>1.5</v>
      </c>
      <c r="F220" s="43">
        <f t="shared" si="24"/>
        <v>1.5</v>
      </c>
      <c r="G220" s="43">
        <f t="shared" si="24"/>
        <v>1.5</v>
      </c>
      <c r="H220" s="43">
        <f t="shared" si="24"/>
        <v>1.5</v>
      </c>
      <c r="I220" s="43">
        <f t="shared" si="24"/>
        <v>1.5</v>
      </c>
      <c r="J220" s="43">
        <f t="shared" si="24"/>
        <v>1.5</v>
      </c>
      <c r="K220" s="43">
        <f t="shared" si="24"/>
        <v>1.5</v>
      </c>
      <c r="L220" s="43">
        <f t="shared" si="24"/>
        <v>1.5</v>
      </c>
      <c r="M220" s="43">
        <f t="shared" si="24"/>
        <v>1.5</v>
      </c>
      <c r="N220" s="43">
        <f t="shared" si="24"/>
        <v>1.5</v>
      </c>
      <c r="O220" s="43">
        <f t="shared" si="24"/>
        <v>1.5</v>
      </c>
      <c r="P220" s="43">
        <f t="shared" si="24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3"/>
        <v>0</v>
      </c>
      <c r="C221" s="43">
        <v>0.3</v>
      </c>
      <c r="D221" s="43">
        <f t="shared" si="24"/>
        <v>0.3</v>
      </c>
      <c r="E221" s="43">
        <f t="shared" si="24"/>
        <v>0.3</v>
      </c>
      <c r="F221" s="43">
        <f t="shared" si="24"/>
        <v>0.3</v>
      </c>
      <c r="G221" s="43">
        <f t="shared" si="24"/>
        <v>0.3</v>
      </c>
      <c r="H221" s="43">
        <f t="shared" si="24"/>
        <v>0.3</v>
      </c>
      <c r="I221" s="43">
        <f t="shared" si="24"/>
        <v>0.3</v>
      </c>
      <c r="J221" s="43">
        <f t="shared" si="24"/>
        <v>0.3</v>
      </c>
      <c r="K221" s="43">
        <f t="shared" si="24"/>
        <v>0.3</v>
      </c>
      <c r="L221" s="43">
        <f t="shared" si="24"/>
        <v>0.3</v>
      </c>
      <c r="M221" s="43">
        <f t="shared" si="24"/>
        <v>0.3</v>
      </c>
      <c r="N221" s="43">
        <f t="shared" si="24"/>
        <v>0.3</v>
      </c>
      <c r="O221" s="43">
        <f t="shared" si="24"/>
        <v>0.3</v>
      </c>
      <c r="P221" s="43">
        <f t="shared" si="24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3"/>
        <v>0</v>
      </c>
      <c r="C222" s="43">
        <v>0.4</v>
      </c>
      <c r="D222" s="43">
        <f t="shared" si="24"/>
        <v>0.4</v>
      </c>
      <c r="E222" s="43">
        <f t="shared" si="24"/>
        <v>0.4</v>
      </c>
      <c r="F222" s="43">
        <f t="shared" si="24"/>
        <v>0.4</v>
      </c>
      <c r="G222" s="43">
        <f t="shared" si="24"/>
        <v>0.4</v>
      </c>
      <c r="H222" s="43">
        <f t="shared" si="24"/>
        <v>0.4</v>
      </c>
      <c r="I222" s="43">
        <f t="shared" si="24"/>
        <v>0.4</v>
      </c>
      <c r="J222" s="43">
        <f t="shared" si="24"/>
        <v>0.4</v>
      </c>
      <c r="K222" s="43">
        <f t="shared" si="24"/>
        <v>0.4</v>
      </c>
      <c r="L222" s="43">
        <f t="shared" si="24"/>
        <v>0.4</v>
      </c>
      <c r="M222" s="43">
        <f t="shared" si="24"/>
        <v>0.4</v>
      </c>
      <c r="N222" s="43">
        <f t="shared" si="24"/>
        <v>0.4</v>
      </c>
      <c r="O222" s="43">
        <f t="shared" si="24"/>
        <v>0.4</v>
      </c>
      <c r="P222" s="43">
        <f t="shared" si="24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3"/>
        <v>0</v>
      </c>
      <c r="C223" s="39">
        <v>0.64</v>
      </c>
      <c r="D223" s="39">
        <f t="shared" si="24"/>
        <v>0.64</v>
      </c>
      <c r="E223" s="39">
        <f t="shared" si="24"/>
        <v>0.64</v>
      </c>
      <c r="F223" s="39">
        <f t="shared" si="24"/>
        <v>0.64</v>
      </c>
      <c r="G223" s="39">
        <f t="shared" si="24"/>
        <v>0.64</v>
      </c>
      <c r="H223" s="39">
        <f t="shared" si="24"/>
        <v>0.64</v>
      </c>
      <c r="I223" s="39">
        <f t="shared" si="24"/>
        <v>0.64</v>
      </c>
      <c r="J223" s="39">
        <f t="shared" si="24"/>
        <v>0.64</v>
      </c>
      <c r="K223" s="39">
        <f t="shared" si="24"/>
        <v>0.64</v>
      </c>
      <c r="L223" s="39">
        <f t="shared" si="24"/>
        <v>0.64</v>
      </c>
      <c r="M223" s="39">
        <f t="shared" si="24"/>
        <v>0.64</v>
      </c>
      <c r="N223" s="39">
        <f t="shared" si="24"/>
        <v>0.64</v>
      </c>
      <c r="O223" s="39">
        <f t="shared" si="24"/>
        <v>0.64</v>
      </c>
      <c r="P223" s="39">
        <f t="shared" si="24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5">SUM(B218:B223)</f>
        <v>0</v>
      </c>
      <c r="C224" s="36">
        <f t="shared" si="25"/>
        <v>3.54</v>
      </c>
      <c r="D224" s="36">
        <f t="shared" si="25"/>
        <v>3.54</v>
      </c>
      <c r="E224" s="36">
        <f t="shared" si="25"/>
        <v>3.54</v>
      </c>
      <c r="F224" s="36">
        <f t="shared" si="25"/>
        <v>3.54</v>
      </c>
      <c r="G224" s="36">
        <f t="shared" si="25"/>
        <v>3.54</v>
      </c>
      <c r="H224" s="36">
        <f t="shared" si="25"/>
        <v>3.54</v>
      </c>
      <c r="I224" s="36">
        <f t="shared" si="25"/>
        <v>3.54</v>
      </c>
      <c r="J224" s="36">
        <f t="shared" si="25"/>
        <v>3.54</v>
      </c>
      <c r="K224" s="36">
        <f t="shared" si="25"/>
        <v>3.54</v>
      </c>
      <c r="L224" s="36">
        <f t="shared" si="25"/>
        <v>3.54</v>
      </c>
      <c r="M224" s="36">
        <f t="shared" si="25"/>
        <v>3.54</v>
      </c>
      <c r="N224" s="36">
        <f t="shared" si="25"/>
        <v>3.54</v>
      </c>
      <c r="O224" s="36">
        <f t="shared" si="25"/>
        <v>3.54</v>
      </c>
      <c r="P224" s="36">
        <f t="shared" si="25"/>
        <v>3.54</v>
      </c>
      <c r="Q224" s="36">
        <f t="shared" si="25"/>
        <v>0</v>
      </c>
      <c r="R224" s="36">
        <f t="shared" si="25"/>
        <v>0</v>
      </c>
      <c r="S224" s="36">
        <f t="shared" si="25"/>
        <v>0</v>
      </c>
      <c r="T224" s="36">
        <f t="shared" si="25"/>
        <v>0</v>
      </c>
      <c r="U224" s="36">
        <f t="shared" si="25"/>
        <v>0</v>
      </c>
      <c r="V224" s="36">
        <f t="shared" si="25"/>
        <v>0</v>
      </c>
      <c r="W224" s="36">
        <f t="shared" si="25"/>
        <v>0</v>
      </c>
      <c r="X224" s="36">
        <f t="shared" si="25"/>
        <v>0</v>
      </c>
      <c r="Y224" s="36">
        <f t="shared" si="25"/>
        <v>0</v>
      </c>
      <c r="Z224" s="36">
        <f t="shared" si="25"/>
        <v>0</v>
      </c>
      <c r="AA224" s="36">
        <f t="shared" si="25"/>
        <v>0</v>
      </c>
      <c r="AB224" s="36">
        <f t="shared" si="25"/>
        <v>0</v>
      </c>
      <c r="AC224" s="36">
        <f t="shared" si="25"/>
        <v>0</v>
      </c>
      <c r="AD224" s="36">
        <f t="shared" si="25"/>
        <v>0</v>
      </c>
      <c r="AE224" s="36">
        <f t="shared" si="25"/>
        <v>0</v>
      </c>
      <c r="AF224" s="36">
        <f t="shared" si="25"/>
        <v>0</v>
      </c>
      <c r="AG224" s="35">
        <f t="shared" si="25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1818.74</v>
      </c>
      <c r="C233" s="16">
        <f>INDEX(G9:N9,1,MATCH(MAX(G81:N81),G81:N81,0))</f>
        <v>0.375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12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2079/06/12)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2079/06/12)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6">B81</f>
        <v>1771.1399999999999</v>
      </c>
      <c r="U238" s="9">
        <f t="shared" si="26"/>
        <v>1769.94</v>
      </c>
      <c r="V238" s="9">
        <f t="shared" si="26"/>
        <v>1741.54</v>
      </c>
      <c r="W238" s="9">
        <f t="shared" si="26"/>
        <v>1744.3400000000001</v>
      </c>
      <c r="X238" s="9">
        <f t="shared" si="26"/>
        <v>1718.74</v>
      </c>
      <c r="Y238" s="9">
        <f t="shared" si="26"/>
        <v>1715.74</v>
      </c>
      <c r="Z238" s="9">
        <f t="shared" si="26"/>
        <v>1723.74</v>
      </c>
      <c r="AA238" s="9">
        <f t="shared" si="26"/>
        <v>1694.6399999999999</v>
      </c>
      <c r="AB238" s="9">
        <f t="shared" si="26"/>
        <v>1724.6399999999999</v>
      </c>
      <c r="AC238" s="9">
        <f t="shared" si="26"/>
        <v>1782.84</v>
      </c>
      <c r="AD238" s="9">
        <f t="shared" si="26"/>
        <v>1800.84</v>
      </c>
      <c r="AE238" s="9">
        <f t="shared" si="26"/>
        <v>1814.04</v>
      </c>
      <c r="AF238" s="9">
        <f t="shared" si="26"/>
        <v>1818.74</v>
      </c>
      <c r="AG238" s="9">
        <f t="shared" si="26"/>
        <v>1826.74</v>
      </c>
      <c r="AH238" s="9">
        <f t="shared" si="26"/>
        <v>1833.54</v>
      </c>
      <c r="AI238" s="9">
        <f t="shared" si="26"/>
        <v>1829.3400000000001</v>
      </c>
      <c r="AJ238" s="9">
        <f t="shared" si="26"/>
        <v>1830.94</v>
      </c>
      <c r="AK238" s="9">
        <f t="shared" si="26"/>
        <v>1842.34</v>
      </c>
      <c r="AL238" s="9">
        <f t="shared" si="26"/>
        <v>1860.44</v>
      </c>
      <c r="AM238" s="9">
        <f t="shared" si="26"/>
        <v>1837.34</v>
      </c>
      <c r="AN238" s="9">
        <f t="shared" si="26"/>
        <v>1838.24</v>
      </c>
      <c r="AO238" s="9">
        <f t="shared" si="26"/>
        <v>1838.54</v>
      </c>
      <c r="AP238" s="9">
        <f t="shared" si="26"/>
        <v>1838.54</v>
      </c>
      <c r="AQ238" s="9">
        <f t="shared" si="26"/>
        <v>1879.94</v>
      </c>
      <c r="AR238" s="9">
        <f t="shared" si="26"/>
        <v>1929.6399999999999</v>
      </c>
      <c r="AS238" s="9">
        <f t="shared" si="26"/>
        <v>1890.4399999999998</v>
      </c>
      <c r="AT238" s="9">
        <f t="shared" si="26"/>
        <v>1850.44</v>
      </c>
      <c r="AU238" s="9">
        <f t="shared" si="26"/>
        <v>1851.44</v>
      </c>
      <c r="AV238" s="9">
        <f t="shared" si="26"/>
        <v>1836.74</v>
      </c>
      <c r="AW238" s="9">
        <f t="shared" si="26"/>
        <v>1816.24</v>
      </c>
      <c r="AX238" s="9">
        <f t="shared" si="26"/>
        <v>1793.7399999999998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7">C223</f>
        <v>0.64</v>
      </c>
      <c r="C259" s="4">
        <f t="shared" si="27"/>
        <v>0.64</v>
      </c>
      <c r="D259" s="4">
        <f t="shared" si="27"/>
        <v>0.64</v>
      </c>
      <c r="E259" s="4">
        <f t="shared" si="27"/>
        <v>0.64</v>
      </c>
      <c r="F259" s="4">
        <f t="shared" si="27"/>
        <v>0.64</v>
      </c>
      <c r="G259" s="4">
        <f t="shared" si="27"/>
        <v>0.64</v>
      </c>
      <c r="H259" s="4">
        <f t="shared" si="27"/>
        <v>0.64</v>
      </c>
      <c r="I259" s="4">
        <f t="shared" si="27"/>
        <v>0.64</v>
      </c>
      <c r="J259" s="4">
        <f t="shared" si="27"/>
        <v>0.64</v>
      </c>
      <c r="K259" s="4">
        <f t="shared" si="27"/>
        <v>0.64</v>
      </c>
      <c r="L259" s="4">
        <f t="shared" si="27"/>
        <v>0.64</v>
      </c>
      <c r="M259" s="4">
        <f t="shared" si="27"/>
        <v>0.64</v>
      </c>
      <c r="N259" s="4">
        <f t="shared" si="27"/>
        <v>0.64</v>
      </c>
      <c r="O259" s="4">
        <f t="shared" si="27"/>
        <v>0.64</v>
      </c>
      <c r="P259" s="4">
        <f t="shared" si="27"/>
        <v>0</v>
      </c>
      <c r="Q259" s="4">
        <f t="shared" si="27"/>
        <v>0</v>
      </c>
      <c r="R259" s="4">
        <f t="shared" si="27"/>
        <v>0</v>
      </c>
      <c r="S259" s="4">
        <f t="shared" si="27"/>
        <v>0</v>
      </c>
      <c r="T259" s="4">
        <f t="shared" si="27"/>
        <v>0</v>
      </c>
      <c r="U259" s="4">
        <f t="shared" si="27"/>
        <v>0</v>
      </c>
      <c r="V259" s="4">
        <f t="shared" si="27"/>
        <v>0</v>
      </c>
      <c r="W259" s="4">
        <f t="shared" si="27"/>
        <v>0</v>
      </c>
      <c r="X259" s="4">
        <f t="shared" si="27"/>
        <v>0</v>
      </c>
      <c r="Y259" s="4">
        <f t="shared" si="27"/>
        <v>0</v>
      </c>
      <c r="Z259" s="4">
        <f t="shared" si="27"/>
        <v>0</v>
      </c>
      <c r="AA259" s="4">
        <f t="shared" si="27"/>
        <v>0</v>
      </c>
      <c r="AB259" s="4">
        <f t="shared" si="27"/>
        <v>0</v>
      </c>
      <c r="AC259" s="4">
        <f t="shared" si="27"/>
        <v>0</v>
      </c>
      <c r="AD259" s="4">
        <f t="shared" si="27"/>
        <v>0</v>
      </c>
      <c r="AE259" s="4">
        <f t="shared" si="27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28">IF(B227&lt;100,"",B227-520)</f>
        <v/>
      </c>
      <c r="C260" s="3" t="str">
        <f t="shared" si="28"/>
        <v/>
      </c>
      <c r="D260" s="3" t="str">
        <f t="shared" si="28"/>
        <v/>
      </c>
      <c r="E260" s="3" t="str">
        <f t="shared" si="28"/>
        <v/>
      </c>
      <c r="F260" s="3" t="str">
        <f t="shared" si="28"/>
        <v/>
      </c>
      <c r="G260" s="3" t="str">
        <f t="shared" si="28"/>
        <v/>
      </c>
      <c r="H260" s="3" t="str">
        <f t="shared" si="28"/>
        <v/>
      </c>
      <c r="I260" s="3" t="str">
        <f t="shared" si="28"/>
        <v/>
      </c>
      <c r="J260" s="3" t="str">
        <f t="shared" si="28"/>
        <v/>
      </c>
      <c r="K260" s="3" t="str">
        <f t="shared" si="28"/>
        <v/>
      </c>
      <c r="L260" s="3" t="str">
        <f t="shared" si="28"/>
        <v/>
      </c>
      <c r="M260" s="3" t="str">
        <f t="shared" si="28"/>
        <v/>
      </c>
      <c r="N260" s="3" t="str">
        <f t="shared" si="28"/>
        <v/>
      </c>
      <c r="O260" s="3" t="str">
        <f t="shared" si="28"/>
        <v/>
      </c>
      <c r="P260" s="3" t="str">
        <f t="shared" si="28"/>
        <v/>
      </c>
      <c r="Q260" s="3" t="str">
        <f t="shared" si="28"/>
        <v/>
      </c>
      <c r="R260" s="3" t="str">
        <f t="shared" si="28"/>
        <v/>
      </c>
      <c r="S260" s="3" t="str">
        <f t="shared" si="28"/>
        <v/>
      </c>
      <c r="T260" s="3" t="str">
        <f t="shared" si="28"/>
        <v/>
      </c>
      <c r="U260" s="3" t="str">
        <f t="shared" si="28"/>
        <v/>
      </c>
      <c r="V260" s="3" t="str">
        <f t="shared" si="28"/>
        <v/>
      </c>
      <c r="W260" s="3" t="str">
        <f t="shared" si="28"/>
        <v/>
      </c>
      <c r="X260" s="3" t="str">
        <f t="shared" si="28"/>
        <v/>
      </c>
      <c r="Y260" s="3" t="str">
        <f t="shared" si="28"/>
        <v/>
      </c>
      <c r="Z260" s="3" t="str">
        <f t="shared" si="28"/>
        <v/>
      </c>
      <c r="AA260" s="3" t="str">
        <f t="shared" si="28"/>
        <v/>
      </c>
      <c r="AB260" s="3" t="str">
        <f t="shared" si="28"/>
        <v/>
      </c>
      <c r="AC260" s="3" t="str">
        <f t="shared" si="28"/>
        <v/>
      </c>
      <c r="AD260" s="3" t="str">
        <f t="shared" si="28"/>
        <v/>
      </c>
      <c r="AE260" s="3" t="str">
        <f t="shared" si="28"/>
        <v/>
      </c>
      <c r="AF260" s="3" t="str">
        <f t="shared" si="28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29">IF(B228&lt;100,"",B228-620)</f>
        <v/>
      </c>
      <c r="C261" s="3" t="str">
        <f t="shared" si="29"/>
        <v/>
      </c>
      <c r="D261" s="3" t="str">
        <f t="shared" si="29"/>
        <v/>
      </c>
      <c r="E261" s="3" t="str">
        <f t="shared" si="29"/>
        <v/>
      </c>
      <c r="F261" s="3" t="str">
        <f t="shared" si="29"/>
        <v/>
      </c>
      <c r="G261" s="3" t="str">
        <f t="shared" si="29"/>
        <v/>
      </c>
      <c r="H261" s="3" t="str">
        <f t="shared" si="29"/>
        <v/>
      </c>
      <c r="I261" s="3" t="str">
        <f t="shared" si="29"/>
        <v/>
      </c>
      <c r="J261" s="3" t="str">
        <f t="shared" si="29"/>
        <v/>
      </c>
      <c r="K261" s="3" t="str">
        <f t="shared" si="29"/>
        <v/>
      </c>
      <c r="L261" s="3" t="str">
        <f t="shared" si="29"/>
        <v/>
      </c>
      <c r="M261" s="3" t="str">
        <f t="shared" si="29"/>
        <v/>
      </c>
      <c r="N261" s="3" t="str">
        <f t="shared" si="29"/>
        <v/>
      </c>
      <c r="O261" s="3" t="str">
        <f t="shared" si="29"/>
        <v/>
      </c>
      <c r="P261" s="3" t="str">
        <f t="shared" si="29"/>
        <v/>
      </c>
      <c r="Q261" s="3" t="str">
        <f t="shared" si="29"/>
        <v/>
      </c>
      <c r="R261" s="3" t="str">
        <f t="shared" si="29"/>
        <v/>
      </c>
      <c r="S261" s="3" t="str">
        <f t="shared" si="29"/>
        <v/>
      </c>
      <c r="T261" s="3" t="str">
        <f t="shared" si="29"/>
        <v/>
      </c>
      <c r="U261" s="3" t="str">
        <f t="shared" si="29"/>
        <v/>
      </c>
      <c r="V261" s="3" t="str">
        <f t="shared" si="29"/>
        <v/>
      </c>
      <c r="W261" s="3" t="str">
        <f t="shared" si="29"/>
        <v/>
      </c>
      <c r="X261" s="3" t="str">
        <f t="shared" si="29"/>
        <v/>
      </c>
      <c r="Y261" s="3" t="str">
        <f t="shared" si="29"/>
        <v/>
      </c>
      <c r="Z261" s="3" t="str">
        <f t="shared" si="29"/>
        <v/>
      </c>
      <c r="AA261" s="3" t="str">
        <f t="shared" si="29"/>
        <v/>
      </c>
      <c r="AB261" s="3" t="str">
        <f t="shared" si="29"/>
        <v/>
      </c>
      <c r="AC261" s="3" t="str">
        <f t="shared" si="29"/>
        <v/>
      </c>
      <c r="AD261" s="3" t="str">
        <f t="shared" si="29"/>
        <v/>
      </c>
      <c r="AE261" s="3" t="str">
        <f t="shared" si="29"/>
        <v/>
      </c>
      <c r="AF261" s="3" t="str">
        <f t="shared" si="29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0">IF(B229&lt;100,"",B229-330)</f>
        <v/>
      </c>
      <c r="C262" s="3" t="str">
        <f t="shared" si="30"/>
        <v/>
      </c>
      <c r="D262" s="3" t="str">
        <f t="shared" si="30"/>
        <v/>
      </c>
      <c r="E262" s="3" t="str">
        <f t="shared" si="30"/>
        <v/>
      </c>
      <c r="F262" s="3" t="str">
        <f t="shared" si="30"/>
        <v/>
      </c>
      <c r="G262" s="3" t="str">
        <f t="shared" si="30"/>
        <v/>
      </c>
      <c r="H262" s="3" t="str">
        <f t="shared" si="30"/>
        <v/>
      </c>
      <c r="I262" s="3" t="str">
        <f t="shared" si="30"/>
        <v/>
      </c>
      <c r="J262" s="3" t="str">
        <f t="shared" si="30"/>
        <v/>
      </c>
      <c r="K262" s="3" t="str">
        <f t="shared" si="30"/>
        <v/>
      </c>
      <c r="L262" s="3" t="str">
        <f t="shared" si="30"/>
        <v/>
      </c>
      <c r="M262" s="3" t="str">
        <f t="shared" si="30"/>
        <v/>
      </c>
      <c r="N262" s="3" t="str">
        <f t="shared" si="30"/>
        <v/>
      </c>
      <c r="O262" s="3" t="str">
        <f t="shared" si="30"/>
        <v/>
      </c>
      <c r="P262" s="3" t="str">
        <f t="shared" si="30"/>
        <v/>
      </c>
      <c r="Q262" s="3" t="str">
        <f t="shared" si="30"/>
        <v/>
      </c>
      <c r="R262" s="3" t="str">
        <f t="shared" si="30"/>
        <v/>
      </c>
      <c r="S262" s="3" t="str">
        <f t="shared" si="30"/>
        <v/>
      </c>
      <c r="T262" s="3" t="str">
        <f t="shared" si="30"/>
        <v/>
      </c>
      <c r="U262" s="3" t="str">
        <f t="shared" si="30"/>
        <v/>
      </c>
      <c r="V262" s="3" t="str">
        <f t="shared" si="30"/>
        <v/>
      </c>
      <c r="W262" s="3" t="str">
        <f t="shared" si="30"/>
        <v/>
      </c>
      <c r="X262" s="3" t="str">
        <f t="shared" si="30"/>
        <v/>
      </c>
      <c r="Y262" s="3" t="str">
        <f t="shared" si="30"/>
        <v/>
      </c>
      <c r="Z262" s="3" t="str">
        <f t="shared" si="30"/>
        <v/>
      </c>
      <c r="AA262" s="3" t="str">
        <f t="shared" si="30"/>
        <v/>
      </c>
      <c r="AB262" s="3" t="str">
        <f t="shared" si="30"/>
        <v/>
      </c>
      <c r="AC262" s="3" t="str">
        <f t="shared" si="30"/>
        <v/>
      </c>
      <c r="AD262" s="3" t="str">
        <f t="shared" si="30"/>
        <v/>
      </c>
      <c r="AE262" s="3" t="str">
        <f t="shared" si="30"/>
        <v/>
      </c>
      <c r="AF262" s="3" t="str">
        <f t="shared" si="30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1">IF(B230&lt;100,"",B230-1500)</f>
        <v/>
      </c>
      <c r="C263" s="3" t="str">
        <f t="shared" si="31"/>
        <v/>
      </c>
      <c r="D263" s="3" t="str">
        <f t="shared" si="31"/>
        <v/>
      </c>
      <c r="E263" s="3" t="str">
        <f t="shared" si="31"/>
        <v/>
      </c>
      <c r="F263" s="3" t="str">
        <f t="shared" si="31"/>
        <v/>
      </c>
      <c r="G263" s="3" t="str">
        <f t="shared" si="31"/>
        <v/>
      </c>
      <c r="H263" s="3" t="str">
        <f t="shared" si="31"/>
        <v/>
      </c>
      <c r="I263" s="3" t="str">
        <f t="shared" si="31"/>
        <v/>
      </c>
      <c r="J263" s="3" t="str">
        <f t="shared" si="31"/>
        <v/>
      </c>
      <c r="K263" s="3" t="str">
        <f t="shared" si="31"/>
        <v/>
      </c>
      <c r="L263" s="3" t="str">
        <f t="shared" si="31"/>
        <v/>
      </c>
      <c r="M263" s="3" t="str">
        <f t="shared" si="31"/>
        <v/>
      </c>
      <c r="N263" s="3" t="str">
        <f t="shared" si="31"/>
        <v/>
      </c>
      <c r="O263" s="3" t="str">
        <f t="shared" si="31"/>
        <v/>
      </c>
      <c r="P263" s="3" t="str">
        <f t="shared" si="31"/>
        <v/>
      </c>
      <c r="Q263" s="3" t="str">
        <f t="shared" si="31"/>
        <v/>
      </c>
      <c r="R263" s="3" t="str">
        <f t="shared" si="31"/>
        <v/>
      </c>
      <c r="S263" s="3" t="str">
        <f t="shared" si="31"/>
        <v/>
      </c>
      <c r="T263" s="3" t="str">
        <f t="shared" si="31"/>
        <v/>
      </c>
      <c r="U263" s="3" t="str">
        <f t="shared" si="31"/>
        <v/>
      </c>
      <c r="V263" s="3" t="str">
        <f t="shared" si="31"/>
        <v/>
      </c>
      <c r="W263" s="3" t="str">
        <f t="shared" si="31"/>
        <v/>
      </c>
      <c r="X263" s="3" t="str">
        <f t="shared" si="31"/>
        <v/>
      </c>
      <c r="Y263" s="3" t="str">
        <f t="shared" si="31"/>
        <v/>
      </c>
      <c r="Z263" s="3" t="str">
        <f t="shared" si="31"/>
        <v/>
      </c>
      <c r="AA263" s="3" t="str">
        <f t="shared" si="31"/>
        <v/>
      </c>
      <c r="AB263" s="3" t="str">
        <f t="shared" si="31"/>
        <v/>
      </c>
      <c r="AC263" s="3" t="str">
        <f t="shared" si="31"/>
        <v/>
      </c>
      <c r="AD263" s="3" t="str">
        <f t="shared" si="31"/>
        <v/>
      </c>
      <c r="AE263" s="3" t="str">
        <f t="shared" si="31"/>
        <v/>
      </c>
      <c r="AF263" s="3" t="str">
        <f t="shared" si="31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B16:AF16 B20:AF23">
    <cfRule type="expression" dxfId="6542" priority="239">
      <formula>B$9&gt;=20/24</formula>
    </cfRule>
    <cfRule type="expression" dxfId="6541" priority="240">
      <formula>AND(B$9&gt;=14/24,B$9&lt;20/24)</formula>
    </cfRule>
    <cfRule type="expression" dxfId="6540" priority="241">
      <formula>AND(B$9&gt;=8/24,B$9&lt;14/24)</formula>
    </cfRule>
    <cfRule type="expression" dxfId="6539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W39:AF39">
    <cfRule type="expression" dxfId="6538" priority="234">
      <formula>W$9&gt;=20/24</formula>
    </cfRule>
    <cfRule type="expression" dxfId="6537" priority="235">
      <formula>AND(W$9&gt;=14/24,W$9&lt;20/24)</formula>
    </cfRule>
    <cfRule type="expression" dxfId="6536" priority="236">
      <formula>AND(W$9&gt;=8/24,W$9&lt;14/24)</formula>
    </cfRule>
    <cfRule type="expression" dxfId="6535" priority="237">
      <formula>W$9&lt;8/24</formula>
    </cfRule>
  </conditionalFormatting>
  <conditionalFormatting sqref="AG57 W39:AF39 B12:AF16 B37:AF37 B20:AF23 B18:AF18">
    <cfRule type="expression" dxfId="6534" priority="233">
      <formula>B12&gt;$AG12</formula>
    </cfRule>
  </conditionalFormatting>
  <conditionalFormatting sqref="A91:A101 A11:A14 A51:A78 A87:A89 A194:A224 A38:A49 A110:A181 A34:A35 A83:A85 A80:A81 A103:A105 A31:A32 A18:A29 A16">
    <cfRule type="expression" dxfId="6533" priority="232">
      <formula>$AH11=0</formula>
    </cfRule>
  </conditionalFormatting>
  <conditionalFormatting sqref="A106">
    <cfRule type="expression" dxfId="6532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531" priority="229">
      <formula>$AH37=0</formula>
    </cfRule>
  </conditionalFormatting>
  <conditionalFormatting sqref="A90">
    <cfRule type="expression" dxfId="6530" priority="228">
      <formula>$AH90=0</formula>
    </cfRule>
  </conditionalFormatting>
  <conditionalFormatting sqref="A15">
    <cfRule type="expression" dxfId="6529" priority="227">
      <formula>$AH15=0</formula>
    </cfRule>
  </conditionalFormatting>
  <conditionalFormatting sqref="A188:A193">
    <cfRule type="expression" dxfId="6528" priority="226">
      <formula>$AH188=0</formula>
    </cfRule>
  </conditionalFormatting>
  <conditionalFormatting sqref="A182:A187">
    <cfRule type="expression" dxfId="6527" priority="225">
      <formula>$AH182=0</formula>
    </cfRule>
  </conditionalFormatting>
  <conditionalFormatting sqref="A50">
    <cfRule type="expression" dxfId="6526" priority="224">
      <formula>$AH50=0</formula>
    </cfRule>
  </conditionalFormatting>
  <conditionalFormatting sqref="A86">
    <cfRule type="expression" dxfId="6525" priority="223">
      <formula>$AH86=0</formula>
    </cfRule>
  </conditionalFormatting>
  <conditionalFormatting sqref="C91:AF91">
    <cfRule type="expression" dxfId="6524" priority="219">
      <formula>C$9&gt;=20/24</formula>
    </cfRule>
    <cfRule type="expression" dxfId="6523" priority="220">
      <formula>AND(C$9&gt;=14/24,C$9&lt;20/24)</formula>
    </cfRule>
    <cfRule type="expression" dxfId="6522" priority="221">
      <formula>AND(C$9&gt;=8/24,C$9&lt;14/24)</formula>
    </cfRule>
    <cfRule type="expression" dxfId="6521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520" priority="245">
      <formula>C$9&gt;=20/24</formula>
    </cfRule>
    <cfRule type="expression" dxfId="6519" priority="246">
      <formula>AND(C$9&gt;=14/24,C$9&lt;20/24)</formula>
    </cfRule>
    <cfRule type="expression" dxfId="6518" priority="247">
      <formula>AND(C$9&gt;=8/24,C$9&lt;14/24)</formula>
    </cfRule>
    <cfRule type="expression" dxfId="6517" priority="248">
      <formula>C$9&lt;8/24</formula>
    </cfRule>
  </conditionalFormatting>
  <conditionalFormatting sqref="A225">
    <cfRule type="expression" dxfId="6516" priority="249">
      <formula>$AH225=0</formula>
    </cfRule>
  </conditionalFormatting>
  <conditionalFormatting sqref="AG237">
    <cfRule type="expression" dxfId="6515" priority="250">
      <formula>B$9&gt;=20/24</formula>
    </cfRule>
    <cfRule type="expression" dxfId="6514" priority="251">
      <formula>AND(B$9&gt;=14/24,B$9&lt;20/24)</formula>
    </cfRule>
    <cfRule type="expression" dxfId="6513" priority="252">
      <formula>AND(B$9&gt;=8/24,B$9&lt;14/24)</formula>
    </cfRule>
    <cfRule type="expression" dxfId="6512" priority="253">
      <formula>B$9&lt;8/24</formula>
    </cfRule>
  </conditionalFormatting>
  <conditionalFormatting sqref="S8">
    <cfRule type="expression" dxfId="6511" priority="214">
      <formula>U$9&gt;=20/24</formula>
    </cfRule>
    <cfRule type="expression" dxfId="6510" priority="215">
      <formula>AND(U$9&gt;=14/24,U$9&lt;20/24)</formula>
    </cfRule>
    <cfRule type="expression" dxfId="6509" priority="216">
      <formula>AND(U$9&gt;=8/24,U$9&lt;14/24)</formula>
    </cfRule>
    <cfRule type="expression" dxfId="6508" priority="217">
      <formula>U$9&lt;8/24</formula>
    </cfRule>
  </conditionalFormatting>
  <conditionalFormatting sqref="AB8">
    <cfRule type="expression" dxfId="6507" priority="210">
      <formula>AD$9&gt;=20/24</formula>
    </cfRule>
    <cfRule type="expression" dxfId="6506" priority="211">
      <formula>AND(AD$9&gt;=14/24,AD$9&lt;20/24)</formula>
    </cfRule>
    <cfRule type="expression" dxfId="6505" priority="212">
      <formula>AND(AD$9&gt;=8/24,AD$9&lt;14/24)</formula>
    </cfRule>
    <cfRule type="expression" dxfId="6504" priority="213">
      <formula>AD$9&lt;8/24</formula>
    </cfRule>
  </conditionalFormatting>
  <conditionalFormatting sqref="AH237:AX237">
    <cfRule type="expression" dxfId="6503" priority="254">
      <formula>AG$9&gt;=20/24</formula>
    </cfRule>
    <cfRule type="expression" dxfId="6502" priority="255">
      <formula>AND(AG$9&gt;=14/24,AG$9&lt;20/24)</formula>
    </cfRule>
    <cfRule type="expression" dxfId="6501" priority="256">
      <formula>AND(AG$9&gt;=8/24,AG$9&lt;14/24)</formula>
    </cfRule>
    <cfRule type="expression" dxfId="6500" priority="257">
      <formula>AG$9&lt;8/24</formula>
    </cfRule>
  </conditionalFormatting>
  <conditionalFormatting sqref="T237">
    <cfRule type="expression" dxfId="6499" priority="258">
      <formula>AX$9&gt;=20/24</formula>
    </cfRule>
    <cfRule type="expression" dxfId="6498" priority="259">
      <formula>AND(AX$9&gt;=14/24,AX$9&lt;20/24)</formula>
    </cfRule>
    <cfRule type="expression" dxfId="6497" priority="260">
      <formula>AND(AX$9&gt;=8/24,AX$9&lt;14/24)</formula>
    </cfRule>
    <cfRule type="expression" dxfId="6496" priority="261">
      <formula>AX$9&lt;8/24</formula>
    </cfRule>
  </conditionalFormatting>
  <conditionalFormatting sqref="A107:A108">
    <cfRule type="expression" dxfId="6495" priority="209">
      <formula>$AH107=0</formula>
    </cfRule>
  </conditionalFormatting>
  <conditionalFormatting sqref="E46:M47 E63:AF63">
    <cfRule type="expression" dxfId="6494" priority="205">
      <formula>E$9&gt;=20/24</formula>
    </cfRule>
    <cfRule type="expression" dxfId="6493" priority="206">
      <formula>AND(E$9&gt;=14/24,E$9&lt;20/24)</formula>
    </cfRule>
    <cfRule type="expression" dxfId="6492" priority="207">
      <formula>AND(E$9&gt;=8/24,E$9&lt;14/24)</formula>
    </cfRule>
    <cfRule type="expression" dxfId="6491" priority="208">
      <formula>E$9&lt;8/24</formula>
    </cfRule>
  </conditionalFormatting>
  <conditionalFormatting sqref="E45:M45">
    <cfRule type="expression" dxfId="6490" priority="201">
      <formula>E$9&gt;=20/24</formula>
    </cfRule>
    <cfRule type="expression" dxfId="6489" priority="202">
      <formula>AND(E$9&gt;=14/24,E$9&lt;20/24)</formula>
    </cfRule>
    <cfRule type="expression" dxfId="6488" priority="203">
      <formula>AND(E$9&gt;=8/24,E$9&lt;14/24)</formula>
    </cfRule>
    <cfRule type="expression" dxfId="6487" priority="204">
      <formula>E$9&lt;8/24</formula>
    </cfRule>
  </conditionalFormatting>
  <conditionalFormatting sqref="E45:M47">
    <cfRule type="expression" dxfId="6486" priority="200">
      <formula>E45&gt;$AG45</formula>
    </cfRule>
  </conditionalFormatting>
  <conditionalFormatting sqref="C88:AF88 D92:AF98 L39:V39 E64:Y65 Z64:AA67 C75:AF78 S59:AF61 W38:AF38 AB64:AF73">
    <cfRule type="expression" dxfId="6485" priority="196">
      <formula>C$9&gt;=20/24</formula>
    </cfRule>
    <cfRule type="expression" dxfId="6484" priority="197">
      <formula>AND(C$9&gt;=14/24,C$9&lt;20/24)</formula>
    </cfRule>
    <cfRule type="expression" dxfId="6483" priority="198">
      <formula>AND(C$9&gt;=8/24,C$9&lt;14/24)</formula>
    </cfRule>
    <cfRule type="expression" dxfId="6482" priority="199">
      <formula>C$9&lt;8/24</formula>
    </cfRule>
  </conditionalFormatting>
  <conditionalFormatting sqref="C57:AF57 E48:M48 L39:V39 S59:AF61 W38:AF38">
    <cfRule type="expression" dxfId="6481" priority="191">
      <formula>C38&gt;$AG38</formula>
    </cfRule>
  </conditionalFormatting>
  <conditionalFormatting sqref="N45:AF49">
    <cfRule type="expression" dxfId="6480" priority="169">
      <formula>N$9&gt;=20/24</formula>
    </cfRule>
    <cfRule type="expression" dxfId="6479" priority="170">
      <formula>AND(N$9&gt;=14/24,N$9&lt;20/24)</formula>
    </cfRule>
    <cfRule type="expression" dxfId="6478" priority="171">
      <formula>AND(N$9&gt;=8/24,N$9&lt;14/24)</formula>
    </cfRule>
    <cfRule type="expression" dxfId="6477" priority="172">
      <formula>N$9&lt;8/24</formula>
    </cfRule>
  </conditionalFormatting>
  <conditionalFormatting sqref="N45:AF49">
    <cfRule type="expression" dxfId="6476" priority="168">
      <formula>N45&gt;$AG45</formula>
    </cfRule>
  </conditionalFormatting>
  <conditionalFormatting sqref="H31:AF31">
    <cfRule type="expression" dxfId="6475" priority="160">
      <formula>H$9&gt;=20/24</formula>
    </cfRule>
    <cfRule type="expression" dxfId="6474" priority="161">
      <formula>AND(H$9&gt;=14/24,H$9&lt;20/24)</formula>
    </cfRule>
    <cfRule type="expression" dxfId="6473" priority="162">
      <formula>AND(H$9&gt;=8/24,H$9&lt;14/24)</formula>
    </cfRule>
    <cfRule type="expression" dxfId="6472" priority="163">
      <formula>H$9&lt;8/24</formula>
    </cfRule>
  </conditionalFormatting>
  <conditionalFormatting sqref="H31:AF31">
    <cfRule type="expression" dxfId="6471" priority="159">
      <formula>H31&gt;$AG31</formula>
    </cfRule>
  </conditionalFormatting>
  <conditionalFormatting sqref="B101 B80:AF80 B89:AF89 B103:B108 B11:AF11">
    <cfRule type="expression" dxfId="6470" priority="141">
      <formula>B$9&gt;=20/24</formula>
    </cfRule>
    <cfRule type="expression" dxfId="6469" priority="142">
      <formula>AND(B$9&gt;=14/24,B$9&lt;20/24)</formula>
    </cfRule>
    <cfRule type="expression" dxfId="6468" priority="143">
      <formula>AND(B$9&gt;=8/24,B$9&lt;14/24)</formula>
    </cfRule>
    <cfRule type="expression" dxfId="6467" priority="144">
      <formula>B$9&lt;8/24</formula>
    </cfRule>
  </conditionalFormatting>
  <conditionalFormatting sqref="B39:K39">
    <cfRule type="expression" dxfId="6466" priority="137">
      <formula>B$9&gt;=20/24</formula>
    </cfRule>
    <cfRule type="expression" dxfId="6465" priority="138">
      <formula>AND(B$9&gt;=14/24,B$9&lt;20/24)</formula>
    </cfRule>
    <cfRule type="expression" dxfId="6464" priority="139">
      <formula>AND(B$9&gt;=8/24,B$9&lt;14/24)</formula>
    </cfRule>
    <cfRule type="expression" dxfId="6463" priority="140">
      <formula>B$9&lt;8/24</formula>
    </cfRule>
  </conditionalFormatting>
  <conditionalFormatting sqref="B39:K39 B11:AF11">
    <cfRule type="expression" dxfId="6462" priority="136">
      <formula>B11&gt;$AG11</formula>
    </cfRule>
  </conditionalFormatting>
  <conditionalFormatting sqref="B91">
    <cfRule type="expression" dxfId="6461" priority="132">
      <formula>B$9&gt;=20/24</formula>
    </cfRule>
    <cfRule type="expression" dxfId="6460" priority="133">
      <formula>AND(B$9&gt;=14/24,B$9&lt;20/24)</formula>
    </cfRule>
    <cfRule type="expression" dxfId="6459" priority="134">
      <formula>AND(B$9&gt;=8/24,B$9&lt;14/24)</formula>
    </cfRule>
    <cfRule type="expression" dxfId="6458" priority="135">
      <formula>B$9&lt;8/24</formula>
    </cfRule>
  </conditionalFormatting>
  <conditionalFormatting sqref="B63:D63 B46:D47 B38:V38">
    <cfRule type="expression" dxfId="6457" priority="128">
      <formula>B$9&gt;=20/24</formula>
    </cfRule>
    <cfRule type="expression" dxfId="6456" priority="129">
      <formula>AND(B$9&gt;=14/24,B$9&lt;20/24)</formula>
    </cfRule>
    <cfRule type="expression" dxfId="6455" priority="130">
      <formula>AND(B$9&gt;=8/24,B$9&lt;14/24)</formula>
    </cfRule>
    <cfRule type="expression" dxfId="6454" priority="131">
      <formula>B$9&lt;8/24</formula>
    </cfRule>
  </conditionalFormatting>
  <conditionalFormatting sqref="B45:D45">
    <cfRule type="expression" dxfId="6453" priority="124">
      <formula>B$9&gt;=20/24</formula>
    </cfRule>
    <cfRule type="expression" dxfId="6452" priority="125">
      <formula>AND(B$9&gt;=14/24,B$9&lt;20/24)</formula>
    </cfRule>
    <cfRule type="expression" dxfId="6451" priority="126">
      <formula>AND(B$9&gt;=8/24,B$9&lt;14/24)</formula>
    </cfRule>
    <cfRule type="expression" dxfId="6450" priority="127">
      <formula>B$9&lt;8/24</formula>
    </cfRule>
  </conditionalFormatting>
  <conditionalFormatting sqref="B45:D47 B38:V38">
    <cfRule type="expression" dxfId="6449" priority="123">
      <formula>B38&gt;$AG38</formula>
    </cfRule>
  </conditionalFormatting>
  <conditionalFormatting sqref="B59:B62 B75:B79 B81:AF81 B88 C62:AG62 C79:AG79 B90:AF90 B92:C98 B64:D73 B31:G34 C59:R61 E66:Y73 Z68:AA73 B12:AF14 B29:AF29 H32:AF34 B18:AF18 B25:AF27">
    <cfRule type="expression" dxfId="6448" priority="119">
      <formula>B$9&gt;=20/24</formula>
    </cfRule>
    <cfRule type="expression" dxfId="6447" priority="120">
      <formula>AND(B$9&gt;=14/24,B$9&lt;20/24)</formula>
    </cfRule>
    <cfRule type="expression" dxfId="6446" priority="121">
      <formula>AND(B$9&gt;=8/24,B$9&lt;14/24)</formula>
    </cfRule>
    <cfRule type="expression" dxfId="6445" priority="122">
      <formula>B$9&lt;8/24</formula>
    </cfRule>
  </conditionalFormatting>
  <conditionalFormatting sqref="B35:AF35">
    <cfRule type="expression" dxfId="6444" priority="115">
      <formula>B$9&gt;=20/24</formula>
    </cfRule>
    <cfRule type="expression" dxfId="6443" priority="116">
      <formula>AND(B$9&gt;=14/24,B$9&lt;20/24)</formula>
    </cfRule>
    <cfRule type="expression" dxfId="6442" priority="117">
      <formula>AND(B$9&gt;=8/24,B$9&lt;14/24)</formula>
    </cfRule>
    <cfRule type="expression" dxfId="6441" priority="118">
      <formula>B$9&lt;8/24</formula>
    </cfRule>
  </conditionalFormatting>
  <conditionalFormatting sqref="B57:B62 B40:AG40 C58:AG58 C62:AG62 B48:D49 B31:G35 E49:M49 C59:R61 H32:AF35 B25:AF29">
    <cfRule type="expression" dxfId="6440" priority="114">
      <formula>B25&gt;$AG25</formula>
    </cfRule>
  </conditionalFormatting>
  <conditionalFormatting sqref="B37:AF37">
    <cfRule type="expression" dxfId="6439" priority="110">
      <formula>B$9&gt;=20/24</formula>
    </cfRule>
    <cfRule type="expression" dxfId="6438" priority="111">
      <formula>AND(B$9&gt;=14/24,B$9&lt;20/24)</formula>
    </cfRule>
    <cfRule type="expression" dxfId="6437" priority="112">
      <formula>AND(B$9&gt;=8/24,B$9&lt;14/24)</formula>
    </cfRule>
    <cfRule type="expression" dxfId="6436" priority="113">
      <formula>B$9&lt;8/24</formula>
    </cfRule>
  </conditionalFormatting>
  <conditionalFormatting sqref="B15:AF15">
    <cfRule type="expression" dxfId="6435" priority="106">
      <formula>B$9&gt;=20/24</formula>
    </cfRule>
    <cfRule type="expression" dxfId="6434" priority="107">
      <formula>AND(B$9&gt;=14/24,B$9&lt;20/24)</formula>
    </cfRule>
    <cfRule type="expression" dxfId="6433" priority="108">
      <formula>AND(B$9&gt;=8/24,B$9&lt;14/24)</formula>
    </cfRule>
    <cfRule type="expression" dxfId="6432" priority="109">
      <formula>B$9&lt;8/24</formula>
    </cfRule>
  </conditionalFormatting>
  <conditionalFormatting sqref="B36:AF36">
    <cfRule type="expression" dxfId="6431" priority="102">
      <formula>B$9&gt;=20/24</formula>
    </cfRule>
    <cfRule type="expression" dxfId="6430" priority="103">
      <formula>AND(B$9&gt;=14/24,B$9&lt;20/24)</formula>
    </cfRule>
    <cfRule type="expression" dxfId="6429" priority="104">
      <formula>AND(B$9&gt;=8/24,B$9&lt;14/24)</formula>
    </cfRule>
    <cfRule type="expression" dxfId="6428" priority="105">
      <formula>B$9&lt;8/24</formula>
    </cfRule>
  </conditionalFormatting>
  <conditionalFormatting sqref="B36:AF36">
    <cfRule type="expression" dxfId="6427" priority="101">
      <formula>B36&gt;$AG36</formula>
    </cfRule>
  </conditionalFormatting>
  <conditionalFormatting sqref="B50:AF56">
    <cfRule type="expression" dxfId="6426" priority="97">
      <formula>B$9&gt;=20/24</formula>
    </cfRule>
    <cfRule type="expression" dxfId="6425" priority="98">
      <formula>AND(B$9&gt;=14/24,B$9&lt;20/24)</formula>
    </cfRule>
    <cfRule type="expression" dxfId="6424" priority="99">
      <formula>AND(B$9&gt;=8/24,B$9&lt;14/24)</formula>
    </cfRule>
    <cfRule type="expression" dxfId="6423" priority="100">
      <formula>B$9&lt;8/24</formula>
    </cfRule>
  </conditionalFormatting>
  <conditionalFormatting sqref="B50:AF56">
    <cfRule type="expression" dxfId="6422" priority="96">
      <formula>B50&gt;$AG50</formula>
    </cfRule>
  </conditionalFormatting>
  <conditionalFormatting sqref="B28:AF28">
    <cfRule type="expression" dxfId="6421" priority="92">
      <formula>B$9&gt;=20/24</formula>
    </cfRule>
    <cfRule type="expression" dxfId="6420" priority="93">
      <formula>AND(B$9&gt;=14/24,B$9&lt;20/24)</formula>
    </cfRule>
    <cfRule type="expression" dxfId="6419" priority="94">
      <formula>AND(B$9&gt;=8/24,B$9&lt;14/24)</formula>
    </cfRule>
    <cfRule type="expression" dxfId="6418" priority="95">
      <formula>B$9&lt;8/24</formula>
    </cfRule>
  </conditionalFormatting>
  <conditionalFormatting sqref="B19:AF19 B24:AF24">
    <cfRule type="expression" dxfId="6417" priority="88">
      <formula>B$9&gt;=20/24</formula>
    </cfRule>
    <cfRule type="expression" dxfId="6416" priority="89">
      <formula>AND(B$9&gt;=14/24,B$9&lt;20/24)</formula>
    </cfRule>
    <cfRule type="expression" dxfId="6415" priority="90">
      <formula>AND(B$9&gt;=8/24,B$9&lt;14/24)</formula>
    </cfRule>
    <cfRule type="expression" dxfId="6414" priority="91">
      <formula>B$9&lt;8/24</formula>
    </cfRule>
  </conditionalFormatting>
  <conditionalFormatting sqref="B19:AF19 B24:AF24">
    <cfRule type="expression" dxfId="6413" priority="87">
      <formula>B19&gt;$AG19</formula>
    </cfRule>
  </conditionalFormatting>
  <conditionalFormatting sqref="A36">
    <cfRule type="expression" dxfId="6412" priority="86">
      <formula>$AH36=0</formula>
    </cfRule>
  </conditionalFormatting>
  <conditionalFormatting sqref="B74:AF74">
    <cfRule type="expression" dxfId="6411" priority="82">
      <formula>B$9&gt;=20/24</formula>
    </cfRule>
    <cfRule type="expression" dxfId="6410" priority="83">
      <formula>AND(B$9&gt;=14/24,B$9&lt;20/24)</formula>
    </cfRule>
    <cfRule type="expression" dxfId="6409" priority="84">
      <formula>AND(B$9&gt;=8/24,B$9&lt;14/24)</formula>
    </cfRule>
    <cfRule type="expression" dxfId="6408" priority="85">
      <formula>B$9&lt;8/24</formula>
    </cfRule>
  </conditionalFormatting>
  <conditionalFormatting sqref="B83:AF87">
    <cfRule type="expression" dxfId="6407" priority="78">
      <formula>B$9&gt;=20/24</formula>
    </cfRule>
    <cfRule type="expression" dxfId="6406" priority="79">
      <formula>AND(B$9&gt;=14/24,B$9&lt;20/24)</formula>
    </cfRule>
    <cfRule type="expression" dxfId="6405" priority="80">
      <formula>AND(B$9&gt;=8/24,B$9&lt;14/24)</formula>
    </cfRule>
    <cfRule type="expression" dxfId="6404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B41:B44 C44:AG44 C41:AF43">
    <cfRule type="expression" dxfId="6403" priority="69">
      <formula>B$9&gt;=20/24</formula>
    </cfRule>
    <cfRule type="expression" dxfId="6402" priority="70">
      <formula>AND(B$9&gt;=14/24,B$9&lt;20/24)</formula>
    </cfRule>
    <cfRule type="expression" dxfId="6401" priority="71">
      <formula>AND(B$9&gt;=8/24,B$9&lt;14/24)</formula>
    </cfRule>
    <cfRule type="expression" dxfId="6400" priority="72">
      <formula>B$9&lt;8/24</formula>
    </cfRule>
  </conditionalFormatting>
  <conditionalFormatting sqref="B41:B44 C44:AG44 C41:AF43">
    <cfRule type="expression" dxfId="6399" priority="68">
      <formula>B41&gt;$AG41</formula>
    </cfRule>
  </conditionalFormatting>
  <conditionalFormatting sqref="C99:AF99">
    <cfRule type="expression" dxfId="6398" priority="64">
      <formula>C$9&gt;=20/24</formula>
    </cfRule>
    <cfRule type="expression" dxfId="6397" priority="65">
      <formula>AND(C$9&gt;=14/24,C$9&lt;20/24)</formula>
    </cfRule>
    <cfRule type="expression" dxfId="6396" priority="66">
      <formula>AND(C$9&gt;=8/24,C$9&lt;14/24)</formula>
    </cfRule>
    <cfRule type="expression" dxfId="6395" priority="67">
      <formula>C$9&lt;8/24</formula>
    </cfRule>
  </conditionalFormatting>
  <conditionalFormatting sqref="B99">
    <cfRule type="expression" dxfId="6394" priority="60">
      <formula>B$9&gt;=20/24</formula>
    </cfRule>
    <cfRule type="expression" dxfId="6393" priority="61">
      <formula>AND(B$9&gt;=14/24,B$9&lt;20/24)</formula>
    </cfRule>
    <cfRule type="expression" dxfId="6392" priority="62">
      <formula>AND(B$9&gt;=8/24,B$9&lt;14/24)</formula>
    </cfRule>
    <cfRule type="expression" dxfId="6391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6390" priority="54">
      <formula>$AH33=0</formula>
    </cfRule>
  </conditionalFormatting>
  <conditionalFormatting sqref="A82">
    <cfRule type="expression" dxfId="6389" priority="52">
      <formula>$AH82=0</formula>
    </cfRule>
  </conditionalFormatting>
  <conditionalFormatting sqref="A79">
    <cfRule type="expression" dxfId="6388" priority="53">
      <formula>$AH79=0</formula>
    </cfRule>
  </conditionalFormatting>
  <conditionalFormatting sqref="A109">
    <cfRule type="expression" dxfId="6387" priority="43">
      <formula>$AH109=0</formula>
    </cfRule>
  </conditionalFormatting>
  <conditionalFormatting sqref="C102:AF102">
    <cfRule type="expression" dxfId="6386" priority="39">
      <formula>C$9&gt;=20/24</formula>
    </cfRule>
    <cfRule type="expression" dxfId="6385" priority="40">
      <formula>AND(C$9&gt;=14/24,C$9&lt;20/24)</formula>
    </cfRule>
    <cfRule type="expression" dxfId="6384" priority="41">
      <formula>AND(C$9&gt;=8/24,C$9&lt;14/24)</formula>
    </cfRule>
    <cfRule type="expression" dxfId="6383" priority="42">
      <formula>C$9&lt;8/24</formula>
    </cfRule>
  </conditionalFormatting>
  <conditionalFormatting sqref="A102">
    <cfRule type="expression" dxfId="6382" priority="38">
      <formula>$AH102=0</formula>
    </cfRule>
  </conditionalFormatting>
  <conditionalFormatting sqref="B102">
    <cfRule type="expression" dxfId="6381" priority="34">
      <formula>B$9&gt;=20/24</formula>
    </cfRule>
    <cfRule type="expression" dxfId="6380" priority="35">
      <formula>AND(B$9&gt;=14/24,B$9&lt;20/24)</formula>
    </cfRule>
    <cfRule type="expression" dxfId="6379" priority="36">
      <formula>AND(B$9&gt;=8/24,B$9&lt;14/24)</formula>
    </cfRule>
    <cfRule type="expression" dxfId="6378" priority="37">
      <formula>B$9&lt;8/24</formula>
    </cfRule>
  </conditionalFormatting>
  <conditionalFormatting sqref="B17:AF17">
    <cfRule type="expression" dxfId="6377" priority="27">
      <formula>B17&gt;$AG17</formula>
    </cfRule>
  </conditionalFormatting>
  <conditionalFormatting sqref="A17">
    <cfRule type="expression" dxfId="6376" priority="26">
      <formula>$AH17=0</formula>
    </cfRule>
  </conditionalFormatting>
  <conditionalFormatting sqref="B17:AF17">
    <cfRule type="expression" dxfId="6375" priority="18">
      <formula>B$9&gt;=20/24</formula>
    </cfRule>
    <cfRule type="expression" dxfId="6374" priority="19">
      <formula>AND(B$9&gt;=14/24,B$9&lt;20/24)</formula>
    </cfRule>
    <cfRule type="expression" dxfId="6373" priority="20">
      <formula>AND(B$9&gt;=8/24,B$9&lt;14/24)</formula>
    </cfRule>
    <cfRule type="expression" dxfId="6372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6371" priority="16">
      <formula>$AH30=0</formula>
    </cfRule>
  </conditionalFormatting>
  <conditionalFormatting sqref="H30:AF30">
    <cfRule type="expression" dxfId="6370" priority="7">
      <formula>H$9&gt;=20/24</formula>
    </cfRule>
    <cfRule type="expression" dxfId="6369" priority="8">
      <formula>AND(H$9&gt;=14/24,H$9&lt;20/24)</formula>
    </cfRule>
    <cfRule type="expression" dxfId="6368" priority="9">
      <formula>AND(H$9&gt;=8/24,H$9&lt;14/24)</formula>
    </cfRule>
    <cfRule type="expression" dxfId="6367" priority="10">
      <formula>H$9&lt;8/24</formula>
    </cfRule>
  </conditionalFormatting>
  <conditionalFormatting sqref="H30:AF30">
    <cfRule type="expression" dxfId="6366" priority="6">
      <formula>H30&gt;$AG30</formula>
    </cfRule>
  </conditionalFormatting>
  <conditionalFormatting sqref="B30:G30">
    <cfRule type="expression" dxfId="6365" priority="2">
      <formula>B$9&gt;=20/24</formula>
    </cfRule>
    <cfRule type="expression" dxfId="6364" priority="3">
      <formula>AND(B$9&gt;=14/24,B$9&lt;20/24)</formula>
    </cfRule>
    <cfRule type="expression" dxfId="6363" priority="4">
      <formula>AND(B$9&gt;=8/24,B$9&lt;14/24)</formula>
    </cfRule>
    <cfRule type="expression" dxfId="6362" priority="5">
      <formula>B$9&lt;8/24</formula>
    </cfRule>
  </conditionalFormatting>
  <conditionalFormatting sqref="B30:G30">
    <cfRule type="expression" dxfId="6361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21FE0E0C-E990-46C5-A000-01AB29C6EDE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96432456-4072-467D-81B0-4F72E740C606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86976AAA-BD0F-4204-B1CB-C9CFC5DCA3B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D9FAF7EC-0E61-4270-A5FF-55E7AB131E3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8DC19ACC-3E66-42F4-AD6A-35A62D8C8C0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F0BA7FF2-A3E5-42A8-8725-97270F2A210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FEE229E3-054D-4BA3-B1E1-5FDBFA1DB8C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A4FE04BE-3CBA-4FBA-BEE6-6758887711D3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EA4E3108-A3B3-4D44-8488-202BD3CE5AF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82A0AC6D-F77A-4CEC-A228-011497B2EC2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4F621E4A-6531-4530-B660-156C12E7E54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5B278081-55D3-4E28-8B95-AD1783B504F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B65" sqref="B65:AF6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2079/06/13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18.3</v>
      </c>
      <c r="C5" s="148">
        <f t="shared" si="0"/>
        <v>20.7</v>
      </c>
      <c r="D5" s="148">
        <f t="shared" si="0"/>
        <v>5</v>
      </c>
      <c r="E5" s="148">
        <f t="shared" si="0"/>
        <v>5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19.8</v>
      </c>
      <c r="L5" s="148">
        <f t="shared" si="0"/>
        <v>6.5</v>
      </c>
      <c r="M5" s="148">
        <f t="shared" si="0"/>
        <v>10.199999999999999</v>
      </c>
      <c r="N5" s="148">
        <f t="shared" si="0"/>
        <v>12.7</v>
      </c>
      <c r="O5" s="148">
        <f t="shared" si="0"/>
        <v>18.7</v>
      </c>
      <c r="P5" s="148">
        <f t="shared" si="0"/>
        <v>50.7</v>
      </c>
      <c r="Q5" s="148">
        <f t="shared" si="0"/>
        <v>48.8</v>
      </c>
      <c r="R5" s="148">
        <f t="shared" si="0"/>
        <v>51.9</v>
      </c>
      <c r="S5" s="148">
        <f t="shared" si="0"/>
        <v>53.3</v>
      </c>
      <c r="T5" s="148">
        <f t="shared" si="0"/>
        <v>58.3</v>
      </c>
      <c r="U5" s="148">
        <f t="shared" si="0"/>
        <v>44.3</v>
      </c>
      <c r="V5" s="148">
        <f t="shared" si="0"/>
        <v>44.3</v>
      </c>
      <c r="W5" s="148">
        <f t="shared" si="0"/>
        <v>9.6999999999999993</v>
      </c>
      <c r="X5" s="148">
        <f t="shared" si="0"/>
        <v>62.4</v>
      </c>
      <c r="Y5" s="148">
        <f t="shared" si="0"/>
        <v>65</v>
      </c>
      <c r="Z5" s="148">
        <f t="shared" si="0"/>
        <v>70.7</v>
      </c>
      <c r="AA5" s="148">
        <f t="shared" si="0"/>
        <v>65.7</v>
      </c>
      <c r="AB5" s="148">
        <f t="shared" si="0"/>
        <v>71.7</v>
      </c>
      <c r="AC5" s="148">
        <f t="shared" si="0"/>
        <v>36.200000000000003</v>
      </c>
      <c r="AD5" s="148">
        <f t="shared" si="0"/>
        <v>19</v>
      </c>
      <c r="AE5" s="148">
        <f t="shared" si="0"/>
        <v>12</v>
      </c>
      <c r="AF5" s="148">
        <f>B74</f>
        <v>11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1823MW at 9:00hr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Load=1662</v>
      </c>
      <c r="B7" s="137">
        <f t="shared" ref="B7:AF7" si="1">B81</f>
        <v>1772.4399999999998</v>
      </c>
      <c r="C7" s="137">
        <f t="shared" si="1"/>
        <v>1733.54</v>
      </c>
      <c r="D7" s="137">
        <f t="shared" si="1"/>
        <v>1712.74</v>
      </c>
      <c r="E7" s="137">
        <f t="shared" si="1"/>
        <v>1661.7399999999998</v>
      </c>
      <c r="F7" s="137">
        <f t="shared" si="1"/>
        <v>1696.6399999999999</v>
      </c>
      <c r="G7" s="137">
        <f t="shared" si="1"/>
        <v>1693.94</v>
      </c>
      <c r="H7" s="137">
        <f t="shared" si="1"/>
        <v>1705.04</v>
      </c>
      <c r="I7" s="137">
        <f t="shared" si="1"/>
        <v>1705.04</v>
      </c>
      <c r="J7" s="137">
        <f t="shared" si="1"/>
        <v>1715.54</v>
      </c>
      <c r="K7" s="137">
        <f t="shared" si="1"/>
        <v>1753.54</v>
      </c>
      <c r="L7" s="137">
        <f t="shared" si="1"/>
        <v>1718.7399999999998</v>
      </c>
      <c r="M7" s="137">
        <f t="shared" si="1"/>
        <v>1801.8400000000001</v>
      </c>
      <c r="N7" s="137">
        <f t="shared" si="1"/>
        <v>1822.84</v>
      </c>
      <c r="O7" s="137">
        <f t="shared" si="1"/>
        <v>1845.5400000000002</v>
      </c>
      <c r="P7" s="137">
        <f t="shared" si="1"/>
        <v>1833.64</v>
      </c>
      <c r="Q7" s="137">
        <f t="shared" si="1"/>
        <v>1810.94</v>
      </c>
      <c r="R7" s="137">
        <f t="shared" si="1"/>
        <v>1801.1399999999999</v>
      </c>
      <c r="S7" s="137">
        <f t="shared" si="1"/>
        <v>1892.14</v>
      </c>
      <c r="T7" s="137">
        <f t="shared" si="1"/>
        <v>1890.54</v>
      </c>
      <c r="U7" s="137">
        <f t="shared" si="1"/>
        <v>1892.54</v>
      </c>
      <c r="V7" s="137">
        <f t="shared" si="1"/>
        <v>1851.54</v>
      </c>
      <c r="W7" s="137">
        <f t="shared" si="1"/>
        <v>1873.54</v>
      </c>
      <c r="X7" s="137">
        <f t="shared" si="1"/>
        <v>1848.94</v>
      </c>
      <c r="Y7" s="137">
        <f t="shared" si="1"/>
        <v>1892.64</v>
      </c>
      <c r="Z7" s="137">
        <f t="shared" si="1"/>
        <v>1895.24</v>
      </c>
      <c r="AA7" s="137">
        <f t="shared" si="1"/>
        <v>1900.94</v>
      </c>
      <c r="AB7" s="137">
        <f t="shared" si="1"/>
        <v>1897.94</v>
      </c>
      <c r="AC7" s="137">
        <f t="shared" si="1"/>
        <v>1898.14</v>
      </c>
      <c r="AD7" s="137">
        <f t="shared" si="1"/>
        <v>1863.5400000000002</v>
      </c>
      <c r="AE7" s="137">
        <f t="shared" si="1"/>
        <v>1792.3400000000001</v>
      </c>
      <c r="AF7" s="137">
        <f t="shared" si="1"/>
        <v>1785.04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54</v>
      </c>
      <c r="C11" s="105">
        <v>54</v>
      </c>
      <c r="D11" s="105">
        <v>54</v>
      </c>
      <c r="E11" s="105">
        <v>54</v>
      </c>
      <c r="F11" s="105">
        <v>54</v>
      </c>
      <c r="G11" s="105">
        <v>54</v>
      </c>
      <c r="H11" s="105">
        <v>54</v>
      </c>
      <c r="I11" s="105">
        <v>54</v>
      </c>
      <c r="J11" s="105">
        <v>54</v>
      </c>
      <c r="K11" s="105">
        <v>54</v>
      </c>
      <c r="L11" s="105">
        <v>54</v>
      </c>
      <c r="M11" s="105">
        <v>53.8</v>
      </c>
      <c r="N11" s="105">
        <v>53.8</v>
      </c>
      <c r="O11" s="105">
        <v>53.8</v>
      </c>
      <c r="P11" s="105">
        <v>53.8</v>
      </c>
      <c r="Q11" s="105">
        <v>53.8</v>
      </c>
      <c r="R11" s="105">
        <v>53.8</v>
      </c>
      <c r="S11" s="105">
        <v>53.8</v>
      </c>
      <c r="T11" s="105">
        <v>53.8</v>
      </c>
      <c r="U11" s="105">
        <v>53.8</v>
      </c>
      <c r="V11" s="105">
        <v>53.8</v>
      </c>
      <c r="W11" s="105">
        <v>53.8</v>
      </c>
      <c r="X11" s="105">
        <v>53.8</v>
      </c>
      <c r="Y11" s="105">
        <v>53.8</v>
      </c>
      <c r="Z11" s="128">
        <v>53.8</v>
      </c>
      <c r="AA11" s="128">
        <v>53.8</v>
      </c>
      <c r="AB11" s="128">
        <v>53.8</v>
      </c>
      <c r="AC11" s="128">
        <v>53.8</v>
      </c>
      <c r="AD11" s="128">
        <v>53.8</v>
      </c>
      <c r="AE11" s="128">
        <v>53.8</v>
      </c>
      <c r="AF11" s="128">
        <v>53.8</v>
      </c>
      <c r="AG11" s="127">
        <v>52.4</v>
      </c>
      <c r="AH11" s="20">
        <f t="shared" ref="AH11:AH74" si="2">MAX(B11:AF11)</f>
        <v>54</v>
      </c>
      <c r="AI11" s="19">
        <f t="shared" ref="AI11:AI74" si="3">MIN(B11:AF11)</f>
        <v>53.8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50.2</v>
      </c>
      <c r="C12" s="105">
        <v>50.2</v>
      </c>
      <c r="D12" s="105">
        <v>50.2</v>
      </c>
      <c r="E12" s="105">
        <v>50.2</v>
      </c>
      <c r="F12" s="105">
        <v>50.2</v>
      </c>
      <c r="G12" s="105">
        <v>50.2</v>
      </c>
      <c r="H12" s="105">
        <v>50.2</v>
      </c>
      <c r="I12" s="105">
        <v>50.2</v>
      </c>
      <c r="J12" s="105">
        <v>50.2</v>
      </c>
      <c r="K12" s="105">
        <v>50.2</v>
      </c>
      <c r="L12" s="105">
        <v>50.2</v>
      </c>
      <c r="M12" s="105">
        <v>50.4</v>
      </c>
      <c r="N12" s="105">
        <v>50.4</v>
      </c>
      <c r="O12" s="105">
        <v>50.4</v>
      </c>
      <c r="P12" s="105">
        <v>50.4</v>
      </c>
      <c r="Q12" s="105">
        <v>50.4</v>
      </c>
      <c r="R12" s="105">
        <v>50.4</v>
      </c>
      <c r="S12" s="105">
        <v>50.4</v>
      </c>
      <c r="T12" s="105">
        <v>50.4</v>
      </c>
      <c r="U12" s="105">
        <v>50.4</v>
      </c>
      <c r="V12" s="105">
        <v>50.4</v>
      </c>
      <c r="W12" s="105">
        <v>50.4</v>
      </c>
      <c r="X12" s="105">
        <v>50.4</v>
      </c>
      <c r="Y12" s="105">
        <v>50.4</v>
      </c>
      <c r="Z12" s="105">
        <v>50.4</v>
      </c>
      <c r="AA12" s="105">
        <v>50.4</v>
      </c>
      <c r="AB12" s="105">
        <v>50.4</v>
      </c>
      <c r="AC12" s="105">
        <v>50.4</v>
      </c>
      <c r="AD12" s="105">
        <v>50.4</v>
      </c>
      <c r="AE12" s="105">
        <v>50.4</v>
      </c>
      <c r="AF12" s="105">
        <v>50.4</v>
      </c>
      <c r="AG12" s="126">
        <v>50</v>
      </c>
      <c r="AH12" s="20">
        <f t="shared" si="2"/>
        <v>50.4</v>
      </c>
      <c r="AI12" s="19">
        <f t="shared" si="3"/>
        <v>50.2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46.2</v>
      </c>
      <c r="C13" s="105">
        <v>0</v>
      </c>
      <c r="D13" s="105">
        <v>0</v>
      </c>
      <c r="E13" s="105">
        <v>0</v>
      </c>
      <c r="F13" s="105">
        <v>0</v>
      </c>
      <c r="G13" s="105">
        <v>46.2</v>
      </c>
      <c r="H13" s="105">
        <v>46.2</v>
      </c>
      <c r="I13" s="105">
        <v>46.2</v>
      </c>
      <c r="J13" s="105">
        <v>46.2</v>
      </c>
      <c r="K13" s="105">
        <v>46.2</v>
      </c>
      <c r="L13" s="105">
        <v>46.2</v>
      </c>
      <c r="M13" s="105">
        <v>46.2</v>
      </c>
      <c r="N13" s="105">
        <v>46.2</v>
      </c>
      <c r="O13" s="105">
        <v>46.2</v>
      </c>
      <c r="P13" s="105">
        <v>46.2</v>
      </c>
      <c r="Q13" s="105">
        <v>46.2</v>
      </c>
      <c r="R13" s="105">
        <v>46.2</v>
      </c>
      <c r="S13" s="105">
        <v>46.2</v>
      </c>
      <c r="T13" s="105">
        <v>46.2</v>
      </c>
      <c r="U13" s="105">
        <v>46.2</v>
      </c>
      <c r="V13" s="105">
        <v>46.2</v>
      </c>
      <c r="W13" s="105">
        <v>46.2</v>
      </c>
      <c r="X13" s="105">
        <v>46.2</v>
      </c>
      <c r="Y13" s="105">
        <v>46.2</v>
      </c>
      <c r="Z13" s="105">
        <v>46.2</v>
      </c>
      <c r="AA13" s="105">
        <v>46.2</v>
      </c>
      <c r="AB13" s="105">
        <v>46.2</v>
      </c>
      <c r="AC13" s="105">
        <v>46.2</v>
      </c>
      <c r="AD13" s="105">
        <v>46.2</v>
      </c>
      <c r="AE13" s="105">
        <v>46.2</v>
      </c>
      <c r="AF13" s="105">
        <v>46.2</v>
      </c>
      <c r="AG13" s="126">
        <v>45</v>
      </c>
      <c r="AH13" s="20">
        <f t="shared" si="2"/>
        <v>46.2</v>
      </c>
      <c r="AI13" s="19">
        <f t="shared" si="3"/>
        <v>0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28</v>
      </c>
      <c r="C14" s="105">
        <v>28</v>
      </c>
      <c r="D14" s="105">
        <v>28</v>
      </c>
      <c r="E14" s="105">
        <v>28</v>
      </c>
      <c r="F14" s="105">
        <v>28</v>
      </c>
      <c r="G14" s="105">
        <v>28</v>
      </c>
      <c r="H14" s="105">
        <v>28</v>
      </c>
      <c r="I14" s="105">
        <v>28</v>
      </c>
      <c r="J14" s="105">
        <v>28</v>
      </c>
      <c r="K14" s="105">
        <v>28</v>
      </c>
      <c r="L14" s="105">
        <v>35</v>
      </c>
      <c r="M14" s="105">
        <v>35</v>
      </c>
      <c r="N14" s="105">
        <v>35</v>
      </c>
      <c r="O14" s="105">
        <v>32</v>
      </c>
      <c r="P14" s="105">
        <v>40</v>
      </c>
      <c r="Q14" s="105">
        <v>32</v>
      </c>
      <c r="R14" s="105">
        <v>28</v>
      </c>
      <c r="S14" s="105">
        <v>40</v>
      </c>
      <c r="T14" s="105">
        <v>37</v>
      </c>
      <c r="U14" s="105">
        <v>35</v>
      </c>
      <c r="V14" s="105">
        <v>35</v>
      </c>
      <c r="W14" s="105">
        <v>35</v>
      </c>
      <c r="X14" s="105">
        <v>35</v>
      </c>
      <c r="Y14" s="105">
        <v>35</v>
      </c>
      <c r="Z14" s="105">
        <v>35</v>
      </c>
      <c r="AA14" s="105">
        <v>35</v>
      </c>
      <c r="AB14" s="105">
        <v>35</v>
      </c>
      <c r="AC14" s="105">
        <v>35</v>
      </c>
      <c r="AD14" s="105">
        <v>35</v>
      </c>
      <c r="AE14" s="105">
        <v>27</v>
      </c>
      <c r="AF14" s="105">
        <v>27</v>
      </c>
      <c r="AG14" s="126">
        <v>42</v>
      </c>
      <c r="AH14" s="20">
        <f t="shared" si="2"/>
        <v>40</v>
      </c>
      <c r="AI14" s="19">
        <f t="shared" si="3"/>
        <v>27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10</v>
      </c>
      <c r="N15" s="105">
        <v>10</v>
      </c>
      <c r="O15" s="105">
        <v>20</v>
      </c>
      <c r="P15" s="105">
        <v>15</v>
      </c>
      <c r="Q15" s="105">
        <v>0</v>
      </c>
      <c r="R15" s="105">
        <v>0</v>
      </c>
      <c r="S15" s="105">
        <v>20</v>
      </c>
      <c r="T15" s="105">
        <v>20</v>
      </c>
      <c r="U15" s="105">
        <v>20</v>
      </c>
      <c r="V15" s="105">
        <v>15</v>
      </c>
      <c r="W15" s="105">
        <v>15</v>
      </c>
      <c r="X15" s="105">
        <v>25</v>
      </c>
      <c r="Y15" s="105">
        <v>25</v>
      </c>
      <c r="Z15" s="105">
        <v>25</v>
      </c>
      <c r="AA15" s="105">
        <v>25</v>
      </c>
      <c r="AB15" s="105">
        <v>25</v>
      </c>
      <c r="AC15" s="105">
        <v>25</v>
      </c>
      <c r="AD15" s="105">
        <v>20</v>
      </c>
      <c r="AE15" s="105">
        <v>0</v>
      </c>
      <c r="AF15" s="105">
        <v>0</v>
      </c>
      <c r="AG15" s="96">
        <v>30</v>
      </c>
      <c r="AH15" s="20">
        <f t="shared" si="2"/>
        <v>25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25.2</v>
      </c>
      <c r="C16" s="105">
        <v>25.2</v>
      </c>
      <c r="D16" s="105">
        <v>25.2</v>
      </c>
      <c r="E16" s="105">
        <v>25.2</v>
      </c>
      <c r="F16" s="105">
        <v>25.2</v>
      </c>
      <c r="G16" s="105">
        <v>25.2</v>
      </c>
      <c r="H16" s="105">
        <v>25.2</v>
      </c>
      <c r="I16" s="105">
        <v>25.2</v>
      </c>
      <c r="J16" s="105">
        <v>25.2</v>
      </c>
      <c r="K16" s="105">
        <v>25.2</v>
      </c>
      <c r="L16" s="105">
        <v>25.2</v>
      </c>
      <c r="M16" s="105">
        <v>33.4</v>
      </c>
      <c r="N16" s="105">
        <v>25</v>
      </c>
      <c r="O16" s="105">
        <v>33</v>
      </c>
      <c r="P16" s="105">
        <v>33</v>
      </c>
      <c r="Q16" s="105">
        <v>33</v>
      </c>
      <c r="R16" s="105">
        <v>33</v>
      </c>
      <c r="S16" s="105">
        <v>33</v>
      </c>
      <c r="T16" s="105">
        <v>33</v>
      </c>
      <c r="U16" s="105">
        <v>33</v>
      </c>
      <c r="V16" s="105">
        <v>33</v>
      </c>
      <c r="W16" s="105">
        <v>33</v>
      </c>
      <c r="X16" s="105">
        <v>33</v>
      </c>
      <c r="Y16" s="105">
        <v>33</v>
      </c>
      <c r="Z16" s="105">
        <v>33</v>
      </c>
      <c r="AA16" s="105">
        <v>33</v>
      </c>
      <c r="AB16" s="105">
        <v>33</v>
      </c>
      <c r="AC16" s="105">
        <v>33</v>
      </c>
      <c r="AD16" s="105">
        <v>33</v>
      </c>
      <c r="AE16" s="105">
        <v>24</v>
      </c>
      <c r="AF16" s="105">
        <v>24</v>
      </c>
      <c r="AG16" s="126">
        <v>24.2</v>
      </c>
      <c r="AH16" s="20">
        <f t="shared" si="2"/>
        <v>33.4</v>
      </c>
      <c r="AI16" s="19">
        <f t="shared" si="3"/>
        <v>24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15</v>
      </c>
      <c r="C17" s="105">
        <v>15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5</v>
      </c>
      <c r="L17" s="105">
        <v>0</v>
      </c>
      <c r="M17" s="105">
        <v>20</v>
      </c>
      <c r="N17" s="105">
        <v>27</v>
      </c>
      <c r="O17" s="105">
        <v>27</v>
      </c>
      <c r="P17" s="105">
        <v>27</v>
      </c>
      <c r="Q17" s="105">
        <v>10</v>
      </c>
      <c r="R17" s="105">
        <v>10</v>
      </c>
      <c r="S17" s="105">
        <v>27</v>
      </c>
      <c r="T17" s="105">
        <v>27</v>
      </c>
      <c r="U17" s="105">
        <v>27</v>
      </c>
      <c r="V17" s="105">
        <v>27</v>
      </c>
      <c r="W17" s="105">
        <v>27</v>
      </c>
      <c r="X17" s="105">
        <v>27</v>
      </c>
      <c r="Y17" s="105">
        <v>27</v>
      </c>
      <c r="Z17" s="105">
        <v>27</v>
      </c>
      <c r="AA17" s="105">
        <v>27</v>
      </c>
      <c r="AB17" s="105">
        <v>27</v>
      </c>
      <c r="AC17" s="105">
        <v>27</v>
      </c>
      <c r="AD17" s="105">
        <v>27</v>
      </c>
      <c r="AE17" s="105">
        <v>20</v>
      </c>
      <c r="AF17" s="105">
        <v>20</v>
      </c>
      <c r="AG17" s="96">
        <v>30</v>
      </c>
      <c r="AH17" s="20">
        <f t="shared" si="2"/>
        <v>27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25.1</v>
      </c>
      <c r="C18" s="105">
        <v>25.1</v>
      </c>
      <c r="D18" s="105">
        <v>25.1</v>
      </c>
      <c r="E18" s="105">
        <v>25.1</v>
      </c>
      <c r="F18" s="105">
        <v>25.1</v>
      </c>
      <c r="G18" s="105">
        <v>25.1</v>
      </c>
      <c r="H18" s="105">
        <v>25.1</v>
      </c>
      <c r="I18" s="105">
        <v>25.1</v>
      </c>
      <c r="J18" s="105">
        <v>25.1</v>
      </c>
      <c r="K18" s="105">
        <v>25.1</v>
      </c>
      <c r="L18" s="105">
        <v>25.1</v>
      </c>
      <c r="M18" s="105">
        <v>25.2</v>
      </c>
      <c r="N18" s="105">
        <v>25.2</v>
      </c>
      <c r="O18" s="105">
        <v>25.2</v>
      </c>
      <c r="P18" s="105">
        <v>25.2</v>
      </c>
      <c r="Q18" s="105">
        <v>25.2</v>
      </c>
      <c r="R18" s="105">
        <v>25.2</v>
      </c>
      <c r="S18" s="105">
        <v>25.2</v>
      </c>
      <c r="T18" s="105">
        <v>25.2</v>
      </c>
      <c r="U18" s="105">
        <v>25.2</v>
      </c>
      <c r="V18" s="105">
        <v>25.2</v>
      </c>
      <c r="W18" s="105">
        <v>25.2</v>
      </c>
      <c r="X18" s="105">
        <v>25.2</v>
      </c>
      <c r="Y18" s="105">
        <v>25.2</v>
      </c>
      <c r="Z18" s="105">
        <v>25.2</v>
      </c>
      <c r="AA18" s="105">
        <v>25.2</v>
      </c>
      <c r="AB18" s="105">
        <v>25.2</v>
      </c>
      <c r="AC18" s="105">
        <v>25.2</v>
      </c>
      <c r="AD18" s="105">
        <v>25.2</v>
      </c>
      <c r="AE18" s="105">
        <v>25.2</v>
      </c>
      <c r="AF18" s="105">
        <v>25.2</v>
      </c>
      <c r="AG18" s="126">
        <v>25</v>
      </c>
      <c r="AH18" s="20">
        <f t="shared" si="2"/>
        <v>25.2</v>
      </c>
      <c r="AI18" s="19">
        <f t="shared" si="3"/>
        <v>25.1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25</v>
      </c>
      <c r="C19" s="105">
        <v>25</v>
      </c>
      <c r="D19" s="105">
        <v>25</v>
      </c>
      <c r="E19" s="105">
        <v>25</v>
      </c>
      <c r="F19" s="105">
        <v>25</v>
      </c>
      <c r="G19" s="105">
        <v>25</v>
      </c>
      <c r="H19" s="105">
        <v>25</v>
      </c>
      <c r="I19" s="105">
        <v>25</v>
      </c>
      <c r="J19" s="105">
        <v>0</v>
      </c>
      <c r="K19" s="105">
        <v>25</v>
      </c>
      <c r="L19" s="105">
        <v>25</v>
      </c>
      <c r="M19" s="105">
        <v>25</v>
      </c>
      <c r="N19" s="105">
        <v>25</v>
      </c>
      <c r="O19" s="105">
        <v>25</v>
      </c>
      <c r="P19" s="105">
        <v>25</v>
      </c>
      <c r="Q19" s="105">
        <v>25</v>
      </c>
      <c r="R19" s="105">
        <v>25</v>
      </c>
      <c r="S19" s="105">
        <v>25</v>
      </c>
      <c r="T19" s="105">
        <v>25</v>
      </c>
      <c r="U19" s="105">
        <v>25</v>
      </c>
      <c r="V19" s="105">
        <v>25</v>
      </c>
      <c r="W19" s="105">
        <v>25</v>
      </c>
      <c r="X19" s="105">
        <v>25</v>
      </c>
      <c r="Y19" s="105">
        <v>25</v>
      </c>
      <c r="Z19" s="105">
        <v>25</v>
      </c>
      <c r="AA19" s="105">
        <v>25</v>
      </c>
      <c r="AB19" s="105">
        <v>25</v>
      </c>
      <c r="AC19" s="105">
        <v>25</v>
      </c>
      <c r="AD19" s="105">
        <v>25</v>
      </c>
      <c r="AE19" s="105">
        <v>25</v>
      </c>
      <c r="AF19" s="105">
        <v>25</v>
      </c>
      <c r="AG19" s="126">
        <v>25</v>
      </c>
      <c r="AH19" s="20">
        <f t="shared" si="2"/>
        <v>25</v>
      </c>
      <c r="AI19" s="19">
        <f t="shared" si="3"/>
        <v>0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25</v>
      </c>
      <c r="C20" s="105">
        <v>25</v>
      </c>
      <c r="D20" s="105">
        <v>25</v>
      </c>
      <c r="E20" s="105">
        <v>25</v>
      </c>
      <c r="F20" s="105">
        <v>23</v>
      </c>
      <c r="G20" s="105">
        <v>23</v>
      </c>
      <c r="H20" s="105">
        <v>23</v>
      </c>
      <c r="I20" s="105">
        <v>23</v>
      </c>
      <c r="J20" s="105">
        <v>23</v>
      </c>
      <c r="K20" s="105">
        <v>23</v>
      </c>
      <c r="L20" s="105">
        <v>23</v>
      </c>
      <c r="M20" s="105">
        <v>25</v>
      </c>
      <c r="N20" s="105">
        <v>25</v>
      </c>
      <c r="O20" s="105">
        <v>25</v>
      </c>
      <c r="P20" s="105">
        <v>25</v>
      </c>
      <c r="Q20" s="105">
        <v>25</v>
      </c>
      <c r="R20" s="105">
        <v>25</v>
      </c>
      <c r="S20" s="105">
        <v>25</v>
      </c>
      <c r="T20" s="105">
        <v>25</v>
      </c>
      <c r="U20" s="105">
        <v>25</v>
      </c>
      <c r="V20" s="105">
        <v>25</v>
      </c>
      <c r="W20" s="105">
        <v>25</v>
      </c>
      <c r="X20" s="105">
        <v>25</v>
      </c>
      <c r="Y20" s="105">
        <v>25</v>
      </c>
      <c r="Z20" s="105">
        <v>25</v>
      </c>
      <c r="AA20" s="105">
        <v>25</v>
      </c>
      <c r="AB20" s="105">
        <v>25</v>
      </c>
      <c r="AC20" s="105">
        <v>25</v>
      </c>
      <c r="AD20" s="105">
        <v>25</v>
      </c>
      <c r="AE20" s="105">
        <v>25</v>
      </c>
      <c r="AF20" s="105">
        <v>25</v>
      </c>
      <c r="AG20" s="126">
        <v>25</v>
      </c>
      <c r="AH20" s="20">
        <f t="shared" si="2"/>
        <v>25</v>
      </c>
      <c r="AI20" s="19">
        <f t="shared" si="3"/>
        <v>23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23.2</v>
      </c>
      <c r="C21" s="105">
        <v>23.2</v>
      </c>
      <c r="D21" s="105">
        <v>23.2</v>
      </c>
      <c r="E21" s="105">
        <v>23.2</v>
      </c>
      <c r="F21" s="105">
        <v>23.2</v>
      </c>
      <c r="G21" s="105">
        <v>23.2</v>
      </c>
      <c r="H21" s="105">
        <v>23.2</v>
      </c>
      <c r="I21" s="105">
        <v>23.2</v>
      </c>
      <c r="J21" s="105">
        <v>23.2</v>
      </c>
      <c r="K21" s="105">
        <v>23.2</v>
      </c>
      <c r="L21" s="105">
        <v>23.2</v>
      </c>
      <c r="M21" s="105">
        <v>23.2</v>
      </c>
      <c r="N21" s="105">
        <v>23.2</v>
      </c>
      <c r="O21" s="105">
        <v>23.2</v>
      </c>
      <c r="P21" s="105">
        <v>23.2</v>
      </c>
      <c r="Q21" s="105">
        <v>23.2</v>
      </c>
      <c r="R21" s="105">
        <v>23.2</v>
      </c>
      <c r="S21" s="105">
        <v>23.2</v>
      </c>
      <c r="T21" s="105">
        <v>23.2</v>
      </c>
      <c r="U21" s="105">
        <v>23.2</v>
      </c>
      <c r="V21" s="105">
        <v>23.2</v>
      </c>
      <c r="W21" s="105">
        <v>23.2</v>
      </c>
      <c r="X21" s="105">
        <v>23.2</v>
      </c>
      <c r="Y21" s="105">
        <v>23.2</v>
      </c>
      <c r="Z21" s="105">
        <v>23.2</v>
      </c>
      <c r="AA21" s="105">
        <v>23.2</v>
      </c>
      <c r="AB21" s="105">
        <v>23.2</v>
      </c>
      <c r="AC21" s="105">
        <v>23.2</v>
      </c>
      <c r="AD21" s="105">
        <v>23.2</v>
      </c>
      <c r="AE21" s="105">
        <v>23.2</v>
      </c>
      <c r="AF21" s="105">
        <v>23.2</v>
      </c>
      <c r="AG21" s="126">
        <v>23.5</v>
      </c>
      <c r="AH21" s="20">
        <f t="shared" si="2"/>
        <v>23.2</v>
      </c>
      <c r="AI21" s="19">
        <f t="shared" si="3"/>
        <v>23.2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20</v>
      </c>
      <c r="C22" s="105">
        <v>20</v>
      </c>
      <c r="D22" s="105">
        <v>20</v>
      </c>
      <c r="E22" s="105">
        <v>20</v>
      </c>
      <c r="F22" s="105">
        <v>20</v>
      </c>
      <c r="G22" s="105">
        <v>20</v>
      </c>
      <c r="H22" s="105">
        <v>20</v>
      </c>
      <c r="I22" s="105">
        <v>20</v>
      </c>
      <c r="J22" s="105">
        <v>20</v>
      </c>
      <c r="K22" s="105">
        <v>20</v>
      </c>
      <c r="L22" s="105">
        <v>20</v>
      </c>
      <c r="M22" s="105">
        <v>20</v>
      </c>
      <c r="N22" s="105">
        <v>20</v>
      </c>
      <c r="O22" s="105">
        <v>20</v>
      </c>
      <c r="P22" s="105">
        <v>20</v>
      </c>
      <c r="Q22" s="105">
        <v>20</v>
      </c>
      <c r="R22" s="105">
        <v>20</v>
      </c>
      <c r="S22" s="105">
        <v>20</v>
      </c>
      <c r="T22" s="105">
        <v>20</v>
      </c>
      <c r="U22" s="105">
        <v>20</v>
      </c>
      <c r="V22" s="105">
        <v>20</v>
      </c>
      <c r="W22" s="105">
        <v>20</v>
      </c>
      <c r="X22" s="105">
        <v>20</v>
      </c>
      <c r="Y22" s="105">
        <v>20</v>
      </c>
      <c r="Z22" s="105">
        <v>20</v>
      </c>
      <c r="AA22" s="105">
        <v>20</v>
      </c>
      <c r="AB22" s="105">
        <v>20</v>
      </c>
      <c r="AC22" s="105">
        <v>20</v>
      </c>
      <c r="AD22" s="105">
        <v>20</v>
      </c>
      <c r="AE22" s="105">
        <v>20</v>
      </c>
      <c r="AF22" s="105">
        <v>20</v>
      </c>
      <c r="AG22" s="126">
        <v>22.2</v>
      </c>
      <c r="AH22" s="20">
        <f t="shared" si="2"/>
        <v>20</v>
      </c>
      <c r="AI22" s="19">
        <f t="shared" si="3"/>
        <v>20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22</v>
      </c>
      <c r="C23" s="105">
        <v>22</v>
      </c>
      <c r="D23" s="105">
        <v>22</v>
      </c>
      <c r="E23" s="105">
        <v>22</v>
      </c>
      <c r="F23" s="105">
        <v>22</v>
      </c>
      <c r="G23" s="105">
        <v>22</v>
      </c>
      <c r="H23" s="105">
        <v>22</v>
      </c>
      <c r="I23" s="105">
        <v>22</v>
      </c>
      <c r="J23" s="105">
        <v>22</v>
      </c>
      <c r="K23" s="105">
        <v>22</v>
      </c>
      <c r="L23" s="105">
        <v>22</v>
      </c>
      <c r="M23" s="105">
        <v>22</v>
      </c>
      <c r="N23" s="105">
        <v>22</v>
      </c>
      <c r="O23" s="105">
        <v>22</v>
      </c>
      <c r="P23" s="105">
        <v>22</v>
      </c>
      <c r="Q23" s="105">
        <v>22</v>
      </c>
      <c r="R23" s="105">
        <v>22</v>
      </c>
      <c r="S23" s="105">
        <v>22</v>
      </c>
      <c r="T23" s="105">
        <v>22</v>
      </c>
      <c r="U23" s="105">
        <v>22</v>
      </c>
      <c r="V23" s="105">
        <v>22</v>
      </c>
      <c r="W23" s="105">
        <v>22</v>
      </c>
      <c r="X23" s="105">
        <v>22</v>
      </c>
      <c r="Y23" s="105">
        <v>22</v>
      </c>
      <c r="Z23" s="105">
        <v>22</v>
      </c>
      <c r="AA23" s="105">
        <v>22</v>
      </c>
      <c r="AB23" s="105">
        <v>22</v>
      </c>
      <c r="AC23" s="105">
        <v>22</v>
      </c>
      <c r="AD23" s="105">
        <v>22</v>
      </c>
      <c r="AE23" s="105">
        <v>22</v>
      </c>
      <c r="AF23" s="105">
        <v>22</v>
      </c>
      <c r="AG23" s="126">
        <v>22.1</v>
      </c>
      <c r="AH23" s="20">
        <f t="shared" si="2"/>
        <v>22</v>
      </c>
      <c r="AI23" s="19">
        <f t="shared" si="3"/>
        <v>22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21</v>
      </c>
      <c r="C24" s="105">
        <v>21</v>
      </c>
      <c r="D24" s="105">
        <v>21</v>
      </c>
      <c r="E24" s="105">
        <v>21</v>
      </c>
      <c r="F24" s="105">
        <v>21</v>
      </c>
      <c r="G24" s="105">
        <v>21</v>
      </c>
      <c r="H24" s="105">
        <v>21</v>
      </c>
      <c r="I24" s="105">
        <v>21</v>
      </c>
      <c r="J24" s="105">
        <v>21</v>
      </c>
      <c r="K24" s="105">
        <v>21</v>
      </c>
      <c r="L24" s="105">
        <v>21</v>
      </c>
      <c r="M24" s="105">
        <v>21</v>
      </c>
      <c r="N24" s="105">
        <v>21</v>
      </c>
      <c r="O24" s="105">
        <v>21</v>
      </c>
      <c r="P24" s="105">
        <v>0</v>
      </c>
      <c r="Q24" s="105">
        <v>21</v>
      </c>
      <c r="R24" s="105">
        <v>21</v>
      </c>
      <c r="S24" s="105">
        <v>21</v>
      </c>
      <c r="T24" s="105">
        <v>21</v>
      </c>
      <c r="U24" s="105">
        <v>21</v>
      </c>
      <c r="V24" s="105">
        <v>21</v>
      </c>
      <c r="W24" s="105">
        <v>21</v>
      </c>
      <c r="X24" s="105">
        <v>21</v>
      </c>
      <c r="Y24" s="105">
        <v>21</v>
      </c>
      <c r="Z24" s="105">
        <v>21</v>
      </c>
      <c r="AA24" s="105">
        <v>21</v>
      </c>
      <c r="AB24" s="105">
        <v>21</v>
      </c>
      <c r="AC24" s="105">
        <v>21</v>
      </c>
      <c r="AD24" s="105">
        <v>21</v>
      </c>
      <c r="AE24" s="105">
        <v>21</v>
      </c>
      <c r="AF24" s="105">
        <v>21</v>
      </c>
      <c r="AG24" s="126">
        <v>22</v>
      </c>
      <c r="AH24" s="20">
        <f t="shared" si="2"/>
        <v>21</v>
      </c>
      <c r="AI24" s="19">
        <f t="shared" si="3"/>
        <v>0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22</v>
      </c>
      <c r="C25" s="105">
        <v>22</v>
      </c>
      <c r="D25" s="105">
        <v>22</v>
      </c>
      <c r="E25" s="105">
        <v>22</v>
      </c>
      <c r="F25" s="105">
        <v>22</v>
      </c>
      <c r="G25" s="105">
        <v>22</v>
      </c>
      <c r="H25" s="105">
        <v>22</v>
      </c>
      <c r="I25" s="105">
        <v>22</v>
      </c>
      <c r="J25" s="105">
        <v>22</v>
      </c>
      <c r="K25" s="105">
        <v>22</v>
      </c>
      <c r="L25" s="105">
        <v>22</v>
      </c>
      <c r="M25" s="105">
        <v>22</v>
      </c>
      <c r="N25" s="105">
        <v>22</v>
      </c>
      <c r="O25" s="105">
        <v>22</v>
      </c>
      <c r="P25" s="105">
        <v>22</v>
      </c>
      <c r="Q25" s="105">
        <v>22</v>
      </c>
      <c r="R25" s="105">
        <v>22</v>
      </c>
      <c r="S25" s="105">
        <v>22</v>
      </c>
      <c r="T25" s="105">
        <v>22</v>
      </c>
      <c r="U25" s="105">
        <v>22</v>
      </c>
      <c r="V25" s="105">
        <v>22</v>
      </c>
      <c r="W25" s="105">
        <v>22</v>
      </c>
      <c r="X25" s="105">
        <v>22</v>
      </c>
      <c r="Y25" s="105">
        <v>22</v>
      </c>
      <c r="Z25" s="105">
        <v>22</v>
      </c>
      <c r="AA25" s="105">
        <v>22</v>
      </c>
      <c r="AB25" s="105">
        <v>22</v>
      </c>
      <c r="AC25" s="105">
        <v>22</v>
      </c>
      <c r="AD25" s="105">
        <v>22</v>
      </c>
      <c r="AE25" s="105">
        <v>22</v>
      </c>
      <c r="AF25" s="105">
        <v>22</v>
      </c>
      <c r="AG25" s="126">
        <v>22</v>
      </c>
      <c r="AH25" s="20">
        <f t="shared" si="2"/>
        <v>22</v>
      </c>
      <c r="AI25" s="19">
        <f t="shared" si="3"/>
        <v>22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5</v>
      </c>
      <c r="L26" s="105">
        <v>5</v>
      </c>
      <c r="M26" s="105">
        <v>5</v>
      </c>
      <c r="N26" s="105">
        <v>5</v>
      </c>
      <c r="O26" s="105">
        <v>8</v>
      </c>
      <c r="P26" s="105">
        <v>8</v>
      </c>
      <c r="Q26" s="105">
        <v>5</v>
      </c>
      <c r="R26" s="105">
        <v>5</v>
      </c>
      <c r="S26" s="105">
        <v>10</v>
      </c>
      <c r="T26" s="105">
        <v>10</v>
      </c>
      <c r="U26" s="105">
        <v>10</v>
      </c>
      <c r="V26" s="105">
        <v>10</v>
      </c>
      <c r="W26" s="105">
        <v>10</v>
      </c>
      <c r="X26" s="105">
        <v>10</v>
      </c>
      <c r="Y26" s="105">
        <v>10</v>
      </c>
      <c r="Z26" s="105">
        <v>10</v>
      </c>
      <c r="AA26" s="105">
        <v>10</v>
      </c>
      <c r="AB26" s="105">
        <v>10</v>
      </c>
      <c r="AC26" s="105">
        <v>10</v>
      </c>
      <c r="AD26" s="105">
        <v>10</v>
      </c>
      <c r="AE26" s="105">
        <v>0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14.9</v>
      </c>
      <c r="C27" s="105">
        <v>14.9</v>
      </c>
      <c r="D27" s="105">
        <v>14.9</v>
      </c>
      <c r="E27" s="105">
        <v>14.9</v>
      </c>
      <c r="F27" s="105">
        <v>14.9</v>
      </c>
      <c r="G27" s="105">
        <v>14.9</v>
      </c>
      <c r="H27" s="105">
        <v>14.9</v>
      </c>
      <c r="I27" s="105">
        <v>14.9</v>
      </c>
      <c r="J27" s="105">
        <v>14.9</v>
      </c>
      <c r="K27" s="105">
        <v>14.9</v>
      </c>
      <c r="L27" s="105">
        <v>14.9</v>
      </c>
      <c r="M27" s="105">
        <v>14.9</v>
      </c>
      <c r="N27" s="105">
        <v>14.9</v>
      </c>
      <c r="O27" s="105">
        <v>14.9</v>
      </c>
      <c r="P27" s="105">
        <v>14.9</v>
      </c>
      <c r="Q27" s="105">
        <v>14.9</v>
      </c>
      <c r="R27" s="105">
        <v>14.9</v>
      </c>
      <c r="S27" s="105">
        <v>14.9</v>
      </c>
      <c r="T27" s="105">
        <v>14.9</v>
      </c>
      <c r="U27" s="105">
        <v>14.9</v>
      </c>
      <c r="V27" s="105">
        <v>14.9</v>
      </c>
      <c r="W27" s="105">
        <v>14.9</v>
      </c>
      <c r="X27" s="105">
        <v>14.9</v>
      </c>
      <c r="Y27" s="105">
        <v>14.9</v>
      </c>
      <c r="Z27" s="105">
        <v>14.9</v>
      </c>
      <c r="AA27" s="105">
        <v>14.9</v>
      </c>
      <c r="AB27" s="105">
        <v>14.9</v>
      </c>
      <c r="AC27" s="105">
        <v>14.9</v>
      </c>
      <c r="AD27" s="105">
        <v>14.9</v>
      </c>
      <c r="AE27" s="105">
        <v>14.9</v>
      </c>
      <c r="AF27" s="105">
        <v>14.9</v>
      </c>
      <c r="AG27" s="126">
        <v>14.9</v>
      </c>
      <c r="AH27" s="20">
        <f t="shared" si="2"/>
        <v>14.9</v>
      </c>
      <c r="AI27" s="19">
        <f t="shared" si="3"/>
        <v>14.9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>
        <v>6.8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>
        <v>6.8</v>
      </c>
      <c r="AE28" s="105">
        <v>6.8</v>
      </c>
      <c r="AF28" s="105">
        <v>6.8</v>
      </c>
      <c r="AG28" s="126">
        <v>13.6</v>
      </c>
      <c r="AH28" s="20">
        <f t="shared" si="2"/>
        <v>6.8</v>
      </c>
      <c r="AI28" s="19">
        <f t="shared" si="3"/>
        <v>6.8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13</v>
      </c>
      <c r="C29" s="105">
        <v>13</v>
      </c>
      <c r="D29" s="105">
        <v>13</v>
      </c>
      <c r="E29" s="105">
        <v>13</v>
      </c>
      <c r="F29" s="105">
        <v>13</v>
      </c>
      <c r="G29" s="105">
        <v>13</v>
      </c>
      <c r="H29" s="105">
        <v>13</v>
      </c>
      <c r="I29" s="105">
        <v>13</v>
      </c>
      <c r="J29" s="105">
        <v>13</v>
      </c>
      <c r="K29" s="105">
        <v>13</v>
      </c>
      <c r="L29" s="105">
        <v>13</v>
      </c>
      <c r="M29" s="105">
        <v>13</v>
      </c>
      <c r="N29" s="105">
        <v>13</v>
      </c>
      <c r="O29" s="105">
        <v>13</v>
      </c>
      <c r="P29" s="105">
        <v>13</v>
      </c>
      <c r="Q29" s="105">
        <v>13</v>
      </c>
      <c r="R29" s="105">
        <v>13</v>
      </c>
      <c r="S29" s="105">
        <v>13</v>
      </c>
      <c r="T29" s="105">
        <v>13</v>
      </c>
      <c r="U29" s="105">
        <v>13</v>
      </c>
      <c r="V29" s="105">
        <v>13</v>
      </c>
      <c r="W29" s="105">
        <v>13</v>
      </c>
      <c r="X29" s="105">
        <v>13</v>
      </c>
      <c r="Y29" s="105">
        <v>13</v>
      </c>
      <c r="Z29" s="105">
        <v>13</v>
      </c>
      <c r="AA29" s="105">
        <v>13</v>
      </c>
      <c r="AB29" s="105">
        <v>13</v>
      </c>
      <c r="AC29" s="105">
        <v>13</v>
      </c>
      <c r="AD29" s="105">
        <v>13</v>
      </c>
      <c r="AE29" s="105">
        <v>13</v>
      </c>
      <c r="AF29" s="105">
        <v>13</v>
      </c>
      <c r="AG29" s="126">
        <v>13</v>
      </c>
      <c r="AH29" s="20">
        <f t="shared" si="2"/>
        <v>13</v>
      </c>
      <c r="AI29" s="19">
        <f t="shared" si="3"/>
        <v>13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5</v>
      </c>
      <c r="C30" s="105">
        <v>5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3</v>
      </c>
      <c r="L30" s="105">
        <v>0</v>
      </c>
      <c r="M30" s="105">
        <v>10</v>
      </c>
      <c r="N30" s="105">
        <v>12</v>
      </c>
      <c r="O30" s="105">
        <v>12</v>
      </c>
      <c r="P30" s="105">
        <v>12</v>
      </c>
      <c r="Q30" s="105">
        <v>0</v>
      </c>
      <c r="R30" s="105">
        <v>0</v>
      </c>
      <c r="S30" s="105">
        <v>10</v>
      </c>
      <c r="T30" s="105">
        <v>10</v>
      </c>
      <c r="U30" s="105">
        <v>10</v>
      </c>
      <c r="V30" s="105">
        <v>10</v>
      </c>
      <c r="W30" s="105">
        <v>10</v>
      </c>
      <c r="X30" s="105">
        <v>10</v>
      </c>
      <c r="Y30" s="105">
        <v>10</v>
      </c>
      <c r="Z30" s="105">
        <v>10</v>
      </c>
      <c r="AA30" s="105">
        <v>10</v>
      </c>
      <c r="AB30" s="105">
        <v>10</v>
      </c>
      <c r="AC30" s="105">
        <v>10</v>
      </c>
      <c r="AD30" s="105">
        <v>10</v>
      </c>
      <c r="AE30" s="105">
        <v>10</v>
      </c>
      <c r="AF30" s="105">
        <v>10</v>
      </c>
      <c r="AG30" s="126">
        <v>12</v>
      </c>
      <c r="AH30" s="20">
        <f t="shared" si="2"/>
        <v>12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12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>
        <v>12</v>
      </c>
      <c r="AE31" s="105">
        <v>12</v>
      </c>
      <c r="AF31" s="105">
        <v>12</v>
      </c>
      <c r="AG31" s="126">
        <v>12</v>
      </c>
      <c r="AH31" s="20">
        <f t="shared" si="2"/>
        <v>12</v>
      </c>
      <c r="AI31" s="19">
        <f t="shared" si="3"/>
        <v>12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2</v>
      </c>
      <c r="C32" s="105">
        <v>2</v>
      </c>
      <c r="D32" s="105">
        <v>2</v>
      </c>
      <c r="E32" s="105">
        <v>2</v>
      </c>
      <c r="F32" s="105">
        <v>2</v>
      </c>
      <c r="G32" s="105">
        <v>2</v>
      </c>
      <c r="H32" s="105">
        <v>2</v>
      </c>
      <c r="I32" s="105">
        <v>2</v>
      </c>
      <c r="J32" s="105">
        <v>2</v>
      </c>
      <c r="K32" s="105">
        <v>2</v>
      </c>
      <c r="L32" s="105">
        <v>2</v>
      </c>
      <c r="M32" s="105">
        <v>2</v>
      </c>
      <c r="N32" s="105">
        <v>2</v>
      </c>
      <c r="O32" s="105">
        <v>2</v>
      </c>
      <c r="P32" s="105">
        <v>2</v>
      </c>
      <c r="Q32" s="105">
        <v>2</v>
      </c>
      <c r="R32" s="105">
        <v>2</v>
      </c>
      <c r="S32" s="105">
        <v>2</v>
      </c>
      <c r="T32" s="105">
        <v>2</v>
      </c>
      <c r="U32" s="105">
        <v>2</v>
      </c>
      <c r="V32" s="105">
        <v>2</v>
      </c>
      <c r="W32" s="105">
        <v>2</v>
      </c>
      <c r="X32" s="105">
        <v>2</v>
      </c>
      <c r="Y32" s="105">
        <v>2</v>
      </c>
      <c r="Z32" s="105">
        <v>2</v>
      </c>
      <c r="AA32" s="105">
        <v>2</v>
      </c>
      <c r="AB32" s="105">
        <v>2</v>
      </c>
      <c r="AC32" s="105">
        <v>2</v>
      </c>
      <c r="AD32" s="105">
        <v>2</v>
      </c>
      <c r="AE32" s="105">
        <v>2</v>
      </c>
      <c r="AF32" s="105">
        <v>2</v>
      </c>
      <c r="AG32" s="126">
        <v>12</v>
      </c>
      <c r="AH32" s="20">
        <f t="shared" si="2"/>
        <v>2</v>
      </c>
      <c r="AI32" s="19">
        <f t="shared" si="3"/>
        <v>2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10</v>
      </c>
      <c r="C33" s="105">
        <v>10</v>
      </c>
      <c r="D33" s="105">
        <v>10</v>
      </c>
      <c r="E33" s="105">
        <v>10</v>
      </c>
      <c r="F33" s="105">
        <v>10</v>
      </c>
      <c r="G33" s="105">
        <v>10</v>
      </c>
      <c r="H33" s="105">
        <v>10</v>
      </c>
      <c r="I33" s="105">
        <v>10</v>
      </c>
      <c r="J33" s="105">
        <v>10</v>
      </c>
      <c r="K33" s="105">
        <v>10</v>
      </c>
      <c r="L33" s="105">
        <v>10</v>
      </c>
      <c r="M33" s="105">
        <v>10</v>
      </c>
      <c r="N33" s="105">
        <v>10</v>
      </c>
      <c r="O33" s="105">
        <v>10</v>
      </c>
      <c r="P33" s="105">
        <v>10</v>
      </c>
      <c r="Q33" s="105">
        <v>10</v>
      </c>
      <c r="R33" s="105">
        <v>10</v>
      </c>
      <c r="S33" s="105">
        <v>10</v>
      </c>
      <c r="T33" s="105">
        <v>10</v>
      </c>
      <c r="U33" s="105">
        <v>10</v>
      </c>
      <c r="V33" s="105">
        <v>10</v>
      </c>
      <c r="W33" s="105">
        <v>10</v>
      </c>
      <c r="X33" s="105">
        <v>10</v>
      </c>
      <c r="Y33" s="105">
        <v>10</v>
      </c>
      <c r="Z33" s="105">
        <v>10</v>
      </c>
      <c r="AA33" s="105">
        <v>10</v>
      </c>
      <c r="AB33" s="105">
        <v>10</v>
      </c>
      <c r="AC33" s="105">
        <v>10</v>
      </c>
      <c r="AD33" s="105">
        <v>10</v>
      </c>
      <c r="AE33" s="105">
        <v>10</v>
      </c>
      <c r="AF33" s="105">
        <v>10</v>
      </c>
      <c r="AG33" s="125">
        <v>22</v>
      </c>
      <c r="AH33" s="20">
        <f t="shared" si="2"/>
        <v>10</v>
      </c>
      <c r="AI33" s="19">
        <f t="shared" si="3"/>
        <v>10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12</v>
      </c>
      <c r="C34" s="105">
        <v>12</v>
      </c>
      <c r="D34" s="105">
        <v>12</v>
      </c>
      <c r="E34" s="105">
        <v>12</v>
      </c>
      <c r="F34" s="105">
        <v>12</v>
      </c>
      <c r="G34" s="105">
        <v>12</v>
      </c>
      <c r="H34" s="105">
        <v>12</v>
      </c>
      <c r="I34" s="105">
        <v>12</v>
      </c>
      <c r="J34" s="105">
        <v>12</v>
      </c>
      <c r="K34" s="105">
        <v>12</v>
      </c>
      <c r="L34" s="105">
        <v>12</v>
      </c>
      <c r="M34" s="105">
        <v>12</v>
      </c>
      <c r="N34" s="105">
        <v>12</v>
      </c>
      <c r="O34" s="105">
        <v>12</v>
      </c>
      <c r="P34" s="105">
        <v>12</v>
      </c>
      <c r="Q34" s="105">
        <v>12</v>
      </c>
      <c r="R34" s="105">
        <v>12</v>
      </c>
      <c r="S34" s="105">
        <v>12</v>
      </c>
      <c r="T34" s="105">
        <v>12</v>
      </c>
      <c r="U34" s="105">
        <v>12</v>
      </c>
      <c r="V34" s="105">
        <v>12</v>
      </c>
      <c r="W34" s="105">
        <v>12</v>
      </c>
      <c r="X34" s="105">
        <v>12</v>
      </c>
      <c r="Y34" s="105">
        <v>12</v>
      </c>
      <c r="Z34" s="105">
        <v>12</v>
      </c>
      <c r="AA34" s="105">
        <v>12</v>
      </c>
      <c r="AB34" s="105">
        <v>12</v>
      </c>
      <c r="AC34" s="105">
        <v>12</v>
      </c>
      <c r="AD34" s="105">
        <v>12</v>
      </c>
      <c r="AE34" s="105">
        <v>12</v>
      </c>
      <c r="AF34" s="105">
        <v>12</v>
      </c>
      <c r="AG34" s="96">
        <v>11.88</v>
      </c>
      <c r="AH34" s="20">
        <f t="shared" si="2"/>
        <v>12</v>
      </c>
      <c r="AI34" s="19">
        <f t="shared" si="3"/>
        <v>12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>
        <v>11</v>
      </c>
      <c r="AG35" s="94">
        <v>11</v>
      </c>
      <c r="AH35" s="20">
        <f t="shared" si="2"/>
        <v>11</v>
      </c>
      <c r="AI35" s="19">
        <f t="shared" si="3"/>
        <v>11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>
        <v>9</v>
      </c>
      <c r="E36" s="105">
        <v>9</v>
      </c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>
        <v>9</v>
      </c>
      <c r="N36" s="105">
        <v>9</v>
      </c>
      <c r="O36" s="105">
        <v>9</v>
      </c>
      <c r="P36" s="105">
        <v>9</v>
      </c>
      <c r="Q36" s="105">
        <v>9</v>
      </c>
      <c r="R36" s="105">
        <v>9</v>
      </c>
      <c r="S36" s="105">
        <v>9</v>
      </c>
      <c r="T36" s="105">
        <v>9</v>
      </c>
      <c r="U36" s="105">
        <v>9</v>
      </c>
      <c r="V36" s="105">
        <v>9</v>
      </c>
      <c r="W36" s="105">
        <v>9</v>
      </c>
      <c r="X36" s="105">
        <v>9</v>
      </c>
      <c r="Y36" s="105">
        <v>9</v>
      </c>
      <c r="Z36" s="105">
        <v>9</v>
      </c>
      <c r="AA36" s="105">
        <v>9</v>
      </c>
      <c r="AB36" s="105">
        <v>9</v>
      </c>
      <c r="AC36" s="105">
        <v>9</v>
      </c>
      <c r="AD36" s="105">
        <v>9</v>
      </c>
      <c r="AE36" s="105">
        <v>9</v>
      </c>
      <c r="AF36" s="105">
        <v>9</v>
      </c>
      <c r="AG36" s="94">
        <v>10</v>
      </c>
      <c r="AH36" s="20">
        <f t="shared" si="2"/>
        <v>9</v>
      </c>
      <c r="AI36" s="19">
        <f t="shared" si="3"/>
        <v>9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2</v>
      </c>
      <c r="N37" s="105">
        <v>2</v>
      </c>
      <c r="O37" s="105">
        <v>2</v>
      </c>
      <c r="P37" s="105">
        <v>2</v>
      </c>
      <c r="Q37" s="105">
        <v>2</v>
      </c>
      <c r="R37" s="105">
        <v>2</v>
      </c>
      <c r="S37" s="105">
        <v>2</v>
      </c>
      <c r="T37" s="105">
        <v>2</v>
      </c>
      <c r="U37" s="105">
        <v>2</v>
      </c>
      <c r="V37" s="105">
        <v>2</v>
      </c>
      <c r="W37" s="105">
        <v>2</v>
      </c>
      <c r="X37" s="105">
        <v>2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2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v>97.4</v>
      </c>
      <c r="C39" s="119">
        <f>91.5+83.1</f>
        <v>174.6</v>
      </c>
      <c r="D39" s="119">
        <f>92.7+83.3</f>
        <v>176</v>
      </c>
      <c r="E39" s="119">
        <f>83.9+85.4</f>
        <v>169.3</v>
      </c>
      <c r="F39" s="119">
        <f>84.1+85.1</f>
        <v>169.2</v>
      </c>
      <c r="G39" s="119">
        <f>83.6+88.2</f>
        <v>171.8</v>
      </c>
      <c r="H39" s="119">
        <f>83.6+89</f>
        <v>172.6</v>
      </c>
      <c r="I39" s="119">
        <f>83.5+88.6</f>
        <v>172.1</v>
      </c>
      <c r="J39" s="119">
        <f>51+92.4</f>
        <v>143.4</v>
      </c>
      <c r="K39" s="119">
        <f>75.1+94.7</f>
        <v>169.8</v>
      </c>
      <c r="L39" s="113">
        <f>83.6+97</f>
        <v>180.6</v>
      </c>
      <c r="M39" s="113">
        <f>97.2+82.9</f>
        <v>180.10000000000002</v>
      </c>
      <c r="N39" s="113">
        <f>97.4+83.9</f>
        <v>181.3</v>
      </c>
      <c r="O39" s="113">
        <f>88.9+81.4</f>
        <v>170.3</v>
      </c>
      <c r="P39" s="113">
        <f>70.9+72.2</f>
        <v>143.10000000000002</v>
      </c>
      <c r="Q39" s="113">
        <f>87.9+83.9</f>
        <v>171.8</v>
      </c>
      <c r="R39" s="113">
        <f>97.5+83.7</f>
        <v>181.2</v>
      </c>
      <c r="S39" s="119">
        <f>98+83.5</f>
        <v>181.5</v>
      </c>
      <c r="T39" s="119">
        <f>99.4+83.8</f>
        <v>183.2</v>
      </c>
      <c r="U39" s="119">
        <f>98.8+83.6</f>
        <v>182.39999999999998</v>
      </c>
      <c r="V39" s="119">
        <f>98.5+84</f>
        <v>182.5</v>
      </c>
      <c r="W39" s="119">
        <f>83.2+98.6</f>
        <v>181.8</v>
      </c>
      <c r="X39" s="119">
        <f>82.9+91.3</f>
        <v>174.2</v>
      </c>
      <c r="Y39" s="119">
        <f>82.6+82.9</f>
        <v>165.5</v>
      </c>
      <c r="Z39" s="119">
        <v>172.4</v>
      </c>
      <c r="AA39" s="119">
        <f>96.3+83.5</f>
        <v>179.8</v>
      </c>
      <c r="AB39" s="119">
        <f>79.9+97.1</f>
        <v>177</v>
      </c>
      <c r="AC39" s="119">
        <f>81.9+97.6</f>
        <v>179.5</v>
      </c>
      <c r="AD39" s="119">
        <f>81.9+97.6</f>
        <v>179.5</v>
      </c>
      <c r="AE39" s="119">
        <v>182</v>
      </c>
      <c r="AF39" s="119">
        <v>183</v>
      </c>
      <c r="AG39" s="94">
        <v>240</v>
      </c>
      <c r="AH39" s="20">
        <f t="shared" si="2"/>
        <v>183.2</v>
      </c>
      <c r="AI39" s="19">
        <f t="shared" si="3"/>
        <v>97.4</v>
      </c>
      <c r="AK39" s="41"/>
    </row>
    <row r="40" spans="1:88" ht="15.75" thickBot="1" x14ac:dyDescent="0.3">
      <c r="A40" s="118" t="s">
        <v>195</v>
      </c>
      <c r="B40" s="86">
        <f t="shared" ref="B40:AG40" si="4">SUM(B11:B38)</f>
        <v>797.59999999999991</v>
      </c>
      <c r="C40" s="86">
        <f t="shared" si="4"/>
        <v>751.4</v>
      </c>
      <c r="D40" s="86">
        <f t="shared" si="4"/>
        <v>731.39999999999986</v>
      </c>
      <c r="E40" s="86">
        <f t="shared" si="4"/>
        <v>731.39999999999986</v>
      </c>
      <c r="F40" s="86">
        <f t="shared" si="4"/>
        <v>729.39999999999986</v>
      </c>
      <c r="G40" s="86">
        <f t="shared" si="4"/>
        <v>775.59999999999991</v>
      </c>
      <c r="H40" s="86">
        <f t="shared" si="4"/>
        <v>775.59999999999991</v>
      </c>
      <c r="I40" s="86">
        <f t="shared" si="4"/>
        <v>775.59999999999991</v>
      </c>
      <c r="J40" s="86">
        <f t="shared" si="4"/>
        <v>750.59999999999991</v>
      </c>
      <c r="K40" s="86">
        <f t="shared" si="4"/>
        <v>788.59999999999991</v>
      </c>
      <c r="L40" s="86">
        <f t="shared" si="4"/>
        <v>787.59999999999991</v>
      </c>
      <c r="M40" s="86">
        <f t="shared" si="4"/>
        <v>839.9</v>
      </c>
      <c r="N40" s="86">
        <f t="shared" si="4"/>
        <v>840.5</v>
      </c>
      <c r="O40" s="86">
        <f t="shared" si="4"/>
        <v>858.5</v>
      </c>
      <c r="P40" s="86">
        <f t="shared" si="4"/>
        <v>840.5</v>
      </c>
      <c r="Q40" s="86">
        <f t="shared" si="4"/>
        <v>806.5</v>
      </c>
      <c r="R40" s="86">
        <f t="shared" si="4"/>
        <v>802.5</v>
      </c>
      <c r="S40" s="86">
        <f t="shared" si="4"/>
        <v>866.5</v>
      </c>
      <c r="T40" s="86">
        <f t="shared" si="4"/>
        <v>863.5</v>
      </c>
      <c r="U40" s="86">
        <f t="shared" si="4"/>
        <v>861.5</v>
      </c>
      <c r="V40" s="86">
        <f t="shared" si="4"/>
        <v>856.5</v>
      </c>
      <c r="W40" s="86">
        <f t="shared" si="4"/>
        <v>856.5</v>
      </c>
      <c r="X40" s="86">
        <f t="shared" si="4"/>
        <v>866.5</v>
      </c>
      <c r="Y40" s="86">
        <f t="shared" si="4"/>
        <v>864.5</v>
      </c>
      <c r="Z40" s="86">
        <f t="shared" si="4"/>
        <v>864.5</v>
      </c>
      <c r="AA40" s="86">
        <f t="shared" si="4"/>
        <v>864.5</v>
      </c>
      <c r="AB40" s="86">
        <f t="shared" si="4"/>
        <v>864.5</v>
      </c>
      <c r="AC40" s="86">
        <f t="shared" si="4"/>
        <v>864.5</v>
      </c>
      <c r="AD40" s="86">
        <f t="shared" si="4"/>
        <v>859.5</v>
      </c>
      <c r="AE40" s="86">
        <f t="shared" si="4"/>
        <v>805.5</v>
      </c>
      <c r="AF40" s="86">
        <f t="shared" si="4"/>
        <v>805.5</v>
      </c>
      <c r="AG40" s="101">
        <f t="shared" si="4"/>
        <v>707.78000000000009</v>
      </c>
      <c r="AH40" s="20">
        <f t="shared" si="2"/>
        <v>866.5</v>
      </c>
      <c r="AI40" s="19">
        <f t="shared" si="3"/>
        <v>729.39999999999986</v>
      </c>
      <c r="AK40" s="41"/>
    </row>
    <row r="41" spans="1:88" x14ac:dyDescent="0.25">
      <c r="A41" s="117" t="s">
        <v>194</v>
      </c>
      <c r="B41" s="105">
        <v>456</v>
      </c>
      <c r="C41" s="105">
        <v>456</v>
      </c>
      <c r="D41" s="105">
        <v>456</v>
      </c>
      <c r="E41" s="105">
        <v>456</v>
      </c>
      <c r="F41" s="105">
        <v>456</v>
      </c>
      <c r="G41" s="105">
        <v>456</v>
      </c>
      <c r="H41" s="105">
        <v>456</v>
      </c>
      <c r="I41" s="105">
        <v>456</v>
      </c>
      <c r="J41" s="105">
        <v>456</v>
      </c>
      <c r="K41" s="105">
        <v>456</v>
      </c>
      <c r="L41" s="105">
        <v>456</v>
      </c>
      <c r="M41" s="105">
        <v>456</v>
      </c>
      <c r="N41" s="105">
        <v>456</v>
      </c>
      <c r="O41" s="105">
        <v>456</v>
      </c>
      <c r="P41" s="105">
        <v>456</v>
      </c>
      <c r="Q41" s="105">
        <v>456</v>
      </c>
      <c r="R41" s="105">
        <v>456</v>
      </c>
      <c r="S41" s="105">
        <v>456</v>
      </c>
      <c r="T41" s="105">
        <v>456</v>
      </c>
      <c r="U41" s="105">
        <v>456</v>
      </c>
      <c r="V41" s="105">
        <v>456</v>
      </c>
      <c r="W41" s="105">
        <v>456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456</v>
      </c>
      <c r="AD41" s="105">
        <v>456</v>
      </c>
      <c r="AE41" s="105">
        <v>456</v>
      </c>
      <c r="AF41" s="105">
        <v>456</v>
      </c>
      <c r="AG41" s="96">
        <v>456</v>
      </c>
      <c r="AH41" s="20">
        <f t="shared" si="2"/>
        <v>456</v>
      </c>
      <c r="AI41" s="19">
        <f t="shared" si="3"/>
        <v>456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>
        <v>60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>
        <v>22</v>
      </c>
      <c r="S43" s="107">
        <v>22</v>
      </c>
      <c r="T43" s="107">
        <v>22</v>
      </c>
      <c r="U43" s="107">
        <v>22</v>
      </c>
      <c r="V43" s="107">
        <v>0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>
        <v>22</v>
      </c>
      <c r="AG43" s="106">
        <v>22.1</v>
      </c>
      <c r="AH43" s="20">
        <f t="shared" si="2"/>
        <v>22</v>
      </c>
      <c r="AI43" s="19">
        <f t="shared" si="3"/>
        <v>0</v>
      </c>
      <c r="AK43" s="41"/>
    </row>
    <row r="44" spans="1:88" ht="15.75" thickBot="1" x14ac:dyDescent="0.3">
      <c r="A44" s="114" t="s">
        <v>191</v>
      </c>
      <c r="B44" s="86">
        <f t="shared" ref="B44:AG44" si="5">SUM(B41:B43)</f>
        <v>538</v>
      </c>
      <c r="C44" s="86">
        <f t="shared" si="5"/>
        <v>538</v>
      </c>
      <c r="D44" s="86">
        <f t="shared" si="5"/>
        <v>538</v>
      </c>
      <c r="E44" s="86">
        <f t="shared" si="5"/>
        <v>538</v>
      </c>
      <c r="F44" s="86">
        <f t="shared" si="5"/>
        <v>538</v>
      </c>
      <c r="G44" s="86">
        <f t="shared" si="5"/>
        <v>538</v>
      </c>
      <c r="H44" s="86">
        <f t="shared" si="5"/>
        <v>538</v>
      </c>
      <c r="I44" s="86">
        <f t="shared" si="5"/>
        <v>538</v>
      </c>
      <c r="J44" s="86">
        <f t="shared" si="5"/>
        <v>538</v>
      </c>
      <c r="K44" s="86">
        <f t="shared" si="5"/>
        <v>538</v>
      </c>
      <c r="L44" s="86">
        <f t="shared" si="5"/>
        <v>538</v>
      </c>
      <c r="M44" s="86">
        <f t="shared" si="5"/>
        <v>538</v>
      </c>
      <c r="N44" s="86">
        <f t="shared" si="5"/>
        <v>538</v>
      </c>
      <c r="O44" s="86">
        <f t="shared" si="5"/>
        <v>538</v>
      </c>
      <c r="P44" s="86">
        <f t="shared" si="5"/>
        <v>538</v>
      </c>
      <c r="Q44" s="86">
        <f t="shared" si="5"/>
        <v>538</v>
      </c>
      <c r="R44" s="86">
        <f t="shared" si="5"/>
        <v>538</v>
      </c>
      <c r="S44" s="86">
        <f t="shared" si="5"/>
        <v>538</v>
      </c>
      <c r="T44" s="86">
        <f t="shared" si="5"/>
        <v>538</v>
      </c>
      <c r="U44" s="86">
        <f t="shared" si="5"/>
        <v>538</v>
      </c>
      <c r="V44" s="86">
        <f t="shared" si="5"/>
        <v>516</v>
      </c>
      <c r="W44" s="86">
        <f t="shared" si="5"/>
        <v>538</v>
      </c>
      <c r="X44" s="86">
        <f t="shared" si="5"/>
        <v>538</v>
      </c>
      <c r="Y44" s="86">
        <f t="shared" si="5"/>
        <v>538</v>
      </c>
      <c r="Z44" s="86">
        <f t="shared" si="5"/>
        <v>538</v>
      </c>
      <c r="AA44" s="86">
        <f t="shared" si="5"/>
        <v>538</v>
      </c>
      <c r="AB44" s="86">
        <f t="shared" si="5"/>
        <v>538</v>
      </c>
      <c r="AC44" s="86">
        <f t="shared" si="5"/>
        <v>538</v>
      </c>
      <c r="AD44" s="86">
        <f t="shared" si="5"/>
        <v>538</v>
      </c>
      <c r="AE44" s="86">
        <f t="shared" si="5"/>
        <v>538</v>
      </c>
      <c r="AF44" s="86">
        <f t="shared" si="5"/>
        <v>538</v>
      </c>
      <c r="AG44" s="101">
        <f t="shared" si="5"/>
        <v>538.1</v>
      </c>
      <c r="AH44" s="20">
        <f t="shared" si="2"/>
        <v>538</v>
      </c>
      <c r="AI44" s="19">
        <f t="shared" si="3"/>
        <v>516</v>
      </c>
      <c r="AK44" s="41"/>
    </row>
    <row r="45" spans="1:88" x14ac:dyDescent="0.25">
      <c r="A45" s="97" t="s">
        <v>190</v>
      </c>
      <c r="B45" s="105">
        <v>143.80000000000001</v>
      </c>
      <c r="C45" s="105">
        <v>143.80000000000001</v>
      </c>
      <c r="D45" s="105">
        <v>143.80000000000001</v>
      </c>
      <c r="E45" s="105">
        <v>143.69999999999999</v>
      </c>
      <c r="F45" s="105">
        <v>143.80000000000001</v>
      </c>
      <c r="G45" s="105">
        <v>143.80000000000001</v>
      </c>
      <c r="H45" s="105">
        <v>143.80000000000001</v>
      </c>
      <c r="I45" s="105">
        <v>143.80000000000001</v>
      </c>
      <c r="J45" s="105">
        <v>143.80000000000001</v>
      </c>
      <c r="K45" s="105">
        <v>143.80000000000001</v>
      </c>
      <c r="L45" s="105">
        <v>143.9</v>
      </c>
      <c r="M45" s="105">
        <v>144</v>
      </c>
      <c r="N45" s="105">
        <v>144</v>
      </c>
      <c r="O45" s="105">
        <v>144</v>
      </c>
      <c r="P45" s="105">
        <v>144.5</v>
      </c>
      <c r="Q45" s="105">
        <v>144.5</v>
      </c>
      <c r="R45" s="105">
        <v>144.1</v>
      </c>
      <c r="S45" s="105">
        <v>144.1</v>
      </c>
      <c r="T45" s="105">
        <v>144.1</v>
      </c>
      <c r="U45" s="105">
        <v>144.1</v>
      </c>
      <c r="V45" s="105">
        <v>144.1</v>
      </c>
      <c r="W45" s="105">
        <v>144.1</v>
      </c>
      <c r="X45" s="105">
        <v>144.1</v>
      </c>
      <c r="Y45" s="105">
        <v>144.1</v>
      </c>
      <c r="Z45" s="105">
        <v>144.1</v>
      </c>
      <c r="AA45" s="105">
        <v>144.1</v>
      </c>
      <c r="AB45" s="105">
        <v>144.30000000000001</v>
      </c>
      <c r="AC45" s="105">
        <v>144.19999999999999</v>
      </c>
      <c r="AD45" s="105">
        <v>144.19999999999999</v>
      </c>
      <c r="AE45" s="105">
        <v>144.19999999999999</v>
      </c>
      <c r="AF45" s="105">
        <v>144</v>
      </c>
      <c r="AG45" s="96">
        <v>144</v>
      </c>
      <c r="AH45" s="20">
        <f t="shared" si="2"/>
        <v>144.5</v>
      </c>
      <c r="AI45" s="19">
        <f t="shared" si="3"/>
        <v>143.69999999999999</v>
      </c>
      <c r="AK45" s="41"/>
    </row>
    <row r="46" spans="1:88" x14ac:dyDescent="0.25">
      <c r="A46" s="95" t="s">
        <v>189</v>
      </c>
      <c r="B46" s="80">
        <v>72.2</v>
      </c>
      <c r="C46" s="80">
        <v>72.2</v>
      </c>
      <c r="D46" s="80">
        <v>72.2</v>
      </c>
      <c r="E46" s="80">
        <v>50.9</v>
      </c>
      <c r="F46" s="80">
        <v>72.7</v>
      </c>
      <c r="G46" s="80">
        <v>55.4</v>
      </c>
      <c r="H46" s="80">
        <v>55.3</v>
      </c>
      <c r="I46" s="80">
        <v>55.3</v>
      </c>
      <c r="J46" s="80">
        <v>72.599999999999994</v>
      </c>
      <c r="K46" s="80">
        <v>72.599999999999994</v>
      </c>
      <c r="L46" s="80">
        <v>29.7</v>
      </c>
      <c r="M46" s="80">
        <v>54.8</v>
      </c>
      <c r="N46" s="105">
        <v>70</v>
      </c>
      <c r="O46" s="105">
        <v>71.400000000000006</v>
      </c>
      <c r="P46" s="105">
        <v>71</v>
      </c>
      <c r="Q46" s="105">
        <v>65</v>
      </c>
      <c r="R46" s="105">
        <v>61.6</v>
      </c>
      <c r="S46" s="105">
        <v>70.900000000000006</v>
      </c>
      <c r="T46" s="105">
        <v>70.900000000000006</v>
      </c>
      <c r="U46" s="105">
        <v>69.900000000000006</v>
      </c>
      <c r="V46" s="105">
        <v>69.900000000000006</v>
      </c>
      <c r="W46" s="105">
        <v>69.900000000000006</v>
      </c>
      <c r="X46" s="105">
        <v>69.900000000000006</v>
      </c>
      <c r="Y46" s="105">
        <v>69.900000000000006</v>
      </c>
      <c r="Z46" s="105">
        <v>69.900000000000006</v>
      </c>
      <c r="AA46" s="105">
        <v>69.900000000000006</v>
      </c>
      <c r="AB46" s="105">
        <v>71.7</v>
      </c>
      <c r="AC46" s="105">
        <v>65</v>
      </c>
      <c r="AD46" s="105">
        <v>70</v>
      </c>
      <c r="AE46" s="105">
        <v>70</v>
      </c>
      <c r="AF46" s="80">
        <v>70.400000000000006</v>
      </c>
      <c r="AG46" s="94">
        <v>70</v>
      </c>
      <c r="AH46" s="20">
        <f t="shared" si="2"/>
        <v>72.7</v>
      </c>
      <c r="AI46" s="19">
        <f t="shared" si="3"/>
        <v>29.7</v>
      </c>
      <c r="AK46" s="41"/>
    </row>
    <row r="47" spans="1:88" x14ac:dyDescent="0.25">
      <c r="A47" s="95" t="s">
        <v>188</v>
      </c>
      <c r="B47" s="80">
        <v>61.5</v>
      </c>
      <c r="C47" s="80">
        <v>61.5</v>
      </c>
      <c r="D47" s="80">
        <v>61.5</v>
      </c>
      <c r="E47" s="80">
        <v>62</v>
      </c>
      <c r="F47" s="80">
        <v>61.6</v>
      </c>
      <c r="G47" s="80">
        <v>50.1</v>
      </c>
      <c r="H47" s="80">
        <v>61.3</v>
      </c>
      <c r="I47" s="80">
        <v>61.3</v>
      </c>
      <c r="J47" s="80">
        <v>61.5</v>
      </c>
      <c r="K47" s="80">
        <v>61.5</v>
      </c>
      <c r="L47" s="80">
        <v>50.6</v>
      </c>
      <c r="M47" s="80">
        <v>61.4</v>
      </c>
      <c r="N47" s="105">
        <v>60.9</v>
      </c>
      <c r="O47" s="105">
        <v>61.4</v>
      </c>
      <c r="P47" s="105">
        <v>61.4</v>
      </c>
      <c r="Q47" s="105">
        <v>55</v>
      </c>
      <c r="R47" s="105">
        <v>54.9</v>
      </c>
      <c r="S47" s="105">
        <v>61.5</v>
      </c>
      <c r="T47" s="105">
        <v>61.5</v>
      </c>
      <c r="U47" s="105">
        <v>61.5</v>
      </c>
      <c r="V47" s="105">
        <v>61.5</v>
      </c>
      <c r="W47" s="105">
        <v>61.5</v>
      </c>
      <c r="X47" s="105">
        <v>61.5</v>
      </c>
      <c r="Y47" s="105">
        <v>61.5</v>
      </c>
      <c r="Z47" s="105">
        <v>61.5</v>
      </c>
      <c r="AA47" s="105">
        <v>61.5</v>
      </c>
      <c r="AB47" s="105">
        <v>61.5</v>
      </c>
      <c r="AC47" s="105">
        <v>62.1</v>
      </c>
      <c r="AD47" s="105">
        <v>62.1</v>
      </c>
      <c r="AE47" s="105">
        <v>62.1</v>
      </c>
      <c r="AF47" s="80">
        <v>61.5</v>
      </c>
      <c r="AG47" s="94">
        <v>69</v>
      </c>
      <c r="AH47" s="20">
        <f t="shared" si="2"/>
        <v>62.1</v>
      </c>
      <c r="AI47" s="19">
        <f t="shared" si="3"/>
        <v>50.1</v>
      </c>
      <c r="AK47" s="41"/>
    </row>
    <row r="48" spans="1:88" x14ac:dyDescent="0.25">
      <c r="A48" s="95" t="s">
        <v>187</v>
      </c>
      <c r="B48" s="113">
        <v>60.2</v>
      </c>
      <c r="C48" s="113">
        <v>60.2</v>
      </c>
      <c r="D48" s="113">
        <v>60.2</v>
      </c>
      <c r="E48" s="113">
        <v>45.8</v>
      </c>
      <c r="F48" s="113">
        <v>61.2</v>
      </c>
      <c r="G48" s="113">
        <v>46.1</v>
      </c>
      <c r="H48" s="113">
        <v>46.1</v>
      </c>
      <c r="I48" s="113">
        <v>46.1</v>
      </c>
      <c r="J48" s="113">
        <v>60.9</v>
      </c>
      <c r="K48" s="113">
        <v>60.9</v>
      </c>
      <c r="L48" s="113">
        <v>60.9</v>
      </c>
      <c r="M48" s="113">
        <v>60.9</v>
      </c>
      <c r="N48" s="113">
        <v>60.9</v>
      </c>
      <c r="O48" s="105">
        <v>61.2</v>
      </c>
      <c r="P48" s="105">
        <v>61.2</v>
      </c>
      <c r="Q48" s="105">
        <v>60.9</v>
      </c>
      <c r="R48" s="105">
        <v>60.9</v>
      </c>
      <c r="S48" s="105">
        <v>60.9</v>
      </c>
      <c r="T48" s="105">
        <v>60.9</v>
      </c>
      <c r="U48" s="105">
        <v>60.9</v>
      </c>
      <c r="V48" s="105">
        <v>60.9</v>
      </c>
      <c r="W48" s="105">
        <v>60.9</v>
      </c>
      <c r="X48" s="105">
        <v>60.9</v>
      </c>
      <c r="Y48" s="105">
        <v>60.9</v>
      </c>
      <c r="Z48" s="105">
        <v>60.9</v>
      </c>
      <c r="AA48" s="105">
        <v>60.9</v>
      </c>
      <c r="AB48" s="105">
        <v>60.9</v>
      </c>
      <c r="AC48" s="105">
        <v>61.3</v>
      </c>
      <c r="AD48" s="105">
        <v>61.3</v>
      </c>
      <c r="AE48" s="105">
        <v>61.3</v>
      </c>
      <c r="AF48" s="113">
        <v>61.4</v>
      </c>
      <c r="AG48" s="94">
        <v>60</v>
      </c>
      <c r="AH48" s="20">
        <f t="shared" si="2"/>
        <v>61.4</v>
      </c>
      <c r="AI48" s="19">
        <f t="shared" si="3"/>
        <v>45.8</v>
      </c>
      <c r="AK48" s="41"/>
    </row>
    <row r="49" spans="1:41" x14ac:dyDescent="0.25">
      <c r="A49" s="95" t="s">
        <v>186</v>
      </c>
      <c r="B49" s="113">
        <v>29.2</v>
      </c>
      <c r="C49" s="113">
        <v>29.2</v>
      </c>
      <c r="D49" s="113">
        <v>29.2</v>
      </c>
      <c r="E49" s="113">
        <v>29.2</v>
      </c>
      <c r="F49" s="113">
        <v>29.2</v>
      </c>
      <c r="G49" s="113">
        <v>29.2</v>
      </c>
      <c r="H49" s="113">
        <v>29.2</v>
      </c>
      <c r="I49" s="113">
        <v>29.2</v>
      </c>
      <c r="J49" s="113">
        <v>29.2</v>
      </c>
      <c r="K49" s="113">
        <v>29.2</v>
      </c>
      <c r="L49" s="113">
        <v>29.3</v>
      </c>
      <c r="M49" s="113">
        <v>29.3</v>
      </c>
      <c r="N49" s="113">
        <v>29.3</v>
      </c>
      <c r="O49" s="113">
        <v>29.3</v>
      </c>
      <c r="P49" s="113">
        <v>29.3</v>
      </c>
      <c r="Q49" s="113">
        <v>29.3</v>
      </c>
      <c r="R49" s="113">
        <v>29.3</v>
      </c>
      <c r="S49" s="113">
        <v>29.3</v>
      </c>
      <c r="T49" s="113">
        <v>29.3</v>
      </c>
      <c r="U49" s="113">
        <v>29.3</v>
      </c>
      <c r="V49" s="113">
        <v>29.3</v>
      </c>
      <c r="W49" s="113">
        <v>29.3</v>
      </c>
      <c r="X49" s="113">
        <v>29.3</v>
      </c>
      <c r="Y49" s="113">
        <v>29.3</v>
      </c>
      <c r="Z49" s="113">
        <v>29.3</v>
      </c>
      <c r="AA49" s="113">
        <v>29.3</v>
      </c>
      <c r="AB49" s="113">
        <v>29.3</v>
      </c>
      <c r="AC49" s="113">
        <v>29.3</v>
      </c>
      <c r="AD49" s="113">
        <v>29.3</v>
      </c>
      <c r="AE49" s="113">
        <v>29.3</v>
      </c>
      <c r="AF49" s="113">
        <v>29.3</v>
      </c>
      <c r="AG49" s="94">
        <v>30</v>
      </c>
      <c r="AH49" s="20">
        <f t="shared" si="2"/>
        <v>29.3</v>
      </c>
      <c r="AI49" s="19">
        <f t="shared" si="3"/>
        <v>29.2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5</v>
      </c>
      <c r="N50" s="80">
        <v>7</v>
      </c>
      <c r="O50" s="80">
        <v>7</v>
      </c>
      <c r="P50" s="80">
        <v>7</v>
      </c>
      <c r="Q50" s="80">
        <v>7</v>
      </c>
      <c r="R50" s="80">
        <v>7</v>
      </c>
      <c r="S50" s="80">
        <v>7</v>
      </c>
      <c r="T50" s="80">
        <v>7</v>
      </c>
      <c r="U50" s="80">
        <v>7</v>
      </c>
      <c r="V50" s="80">
        <v>7</v>
      </c>
      <c r="W50" s="80">
        <v>7</v>
      </c>
      <c r="X50" s="80">
        <v>7</v>
      </c>
      <c r="Y50" s="80">
        <v>0</v>
      </c>
      <c r="Z50" s="80">
        <v>0</v>
      </c>
      <c r="AA50" s="80">
        <v>0</v>
      </c>
      <c r="AB50" s="80">
        <v>0</v>
      </c>
      <c r="AC50" s="80">
        <v>0</v>
      </c>
      <c r="AD50" s="80">
        <v>0</v>
      </c>
      <c r="AE50" s="80">
        <v>0</v>
      </c>
      <c r="AF50" s="80">
        <v>0</v>
      </c>
      <c r="AG50" s="94">
        <v>25</v>
      </c>
      <c r="AH50" s="20">
        <f t="shared" si="2"/>
        <v>7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17</v>
      </c>
      <c r="C51" s="80">
        <v>17</v>
      </c>
      <c r="D51" s="80">
        <v>17</v>
      </c>
      <c r="E51" s="80">
        <v>17</v>
      </c>
      <c r="F51" s="80">
        <v>17</v>
      </c>
      <c r="G51" s="80">
        <v>17</v>
      </c>
      <c r="H51" s="80">
        <v>17</v>
      </c>
      <c r="I51" s="80">
        <v>17</v>
      </c>
      <c r="J51" s="80">
        <v>17</v>
      </c>
      <c r="K51" s="80">
        <v>17</v>
      </c>
      <c r="L51" s="80">
        <v>17</v>
      </c>
      <c r="M51" s="80">
        <v>17</v>
      </c>
      <c r="N51" s="80">
        <v>17</v>
      </c>
      <c r="O51" s="80">
        <v>17</v>
      </c>
      <c r="P51" s="80">
        <v>17</v>
      </c>
      <c r="Q51" s="80">
        <v>9</v>
      </c>
      <c r="R51" s="80">
        <v>9</v>
      </c>
      <c r="S51" s="80">
        <v>17</v>
      </c>
      <c r="T51" s="80">
        <v>17</v>
      </c>
      <c r="U51" s="80">
        <v>17</v>
      </c>
      <c r="V51" s="80">
        <v>17</v>
      </c>
      <c r="W51" s="80">
        <v>17</v>
      </c>
      <c r="X51" s="80">
        <v>17</v>
      </c>
      <c r="Y51" s="80">
        <v>17</v>
      </c>
      <c r="Z51" s="80">
        <v>17</v>
      </c>
      <c r="AA51" s="80">
        <v>17</v>
      </c>
      <c r="AB51" s="80">
        <v>17</v>
      </c>
      <c r="AC51" s="80">
        <v>17</v>
      </c>
      <c r="AD51" s="80">
        <v>17</v>
      </c>
      <c r="AE51" s="80">
        <v>17</v>
      </c>
      <c r="AF51" s="80">
        <v>17</v>
      </c>
      <c r="AG51" s="94">
        <v>24</v>
      </c>
      <c r="AH51" s="20">
        <f t="shared" si="2"/>
        <v>17</v>
      </c>
      <c r="AI51" s="19">
        <f t="shared" si="3"/>
        <v>9</v>
      </c>
      <c r="AK51" s="41"/>
    </row>
    <row r="52" spans="1:41" x14ac:dyDescent="0.25">
      <c r="A52" s="95" t="s">
        <v>183</v>
      </c>
      <c r="B52" s="80">
        <v>3.5</v>
      </c>
      <c r="C52" s="80">
        <v>3.5</v>
      </c>
      <c r="D52" s="80">
        <v>3.5</v>
      </c>
      <c r="E52" s="80">
        <v>3.5</v>
      </c>
      <c r="F52" s="80">
        <v>3.5</v>
      </c>
      <c r="G52" s="80">
        <v>3.5</v>
      </c>
      <c r="H52" s="80">
        <v>3.5</v>
      </c>
      <c r="I52" s="80">
        <v>3.5</v>
      </c>
      <c r="J52" s="80">
        <v>3.5</v>
      </c>
      <c r="K52" s="80">
        <v>3.5</v>
      </c>
      <c r="L52" s="80">
        <v>3.5</v>
      </c>
      <c r="M52" s="80">
        <v>3.5</v>
      </c>
      <c r="N52" s="80">
        <v>3.5</v>
      </c>
      <c r="O52" s="80">
        <v>3.5</v>
      </c>
      <c r="P52" s="80">
        <v>3.5</v>
      </c>
      <c r="Q52" s="80">
        <v>3.5</v>
      </c>
      <c r="R52" s="80">
        <v>3.5</v>
      </c>
      <c r="S52" s="80">
        <v>3.5</v>
      </c>
      <c r="T52" s="80">
        <v>3.5</v>
      </c>
      <c r="U52" s="80">
        <v>3.5</v>
      </c>
      <c r="V52" s="80">
        <v>3.5</v>
      </c>
      <c r="W52" s="80">
        <v>3.5</v>
      </c>
      <c r="X52" s="80">
        <v>3.5</v>
      </c>
      <c r="Y52" s="80">
        <v>3.5</v>
      </c>
      <c r="Z52" s="80">
        <v>3.5</v>
      </c>
      <c r="AA52" s="80">
        <v>3.5</v>
      </c>
      <c r="AB52" s="80">
        <v>3.5</v>
      </c>
      <c r="AC52" s="80">
        <v>3.5</v>
      </c>
      <c r="AD52" s="80">
        <v>3.5</v>
      </c>
      <c r="AE52" s="80">
        <v>3.5</v>
      </c>
      <c r="AF52" s="80">
        <v>3.5</v>
      </c>
      <c r="AG52" s="94">
        <v>15</v>
      </c>
      <c r="AH52" s="20">
        <f t="shared" si="2"/>
        <v>3.5</v>
      </c>
      <c r="AI52" s="19">
        <f t="shared" si="3"/>
        <v>3.5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9.6999999999999993</v>
      </c>
      <c r="C53" s="80">
        <v>9.6999999999999993</v>
      </c>
      <c r="D53" s="80">
        <v>9.6999999999999993</v>
      </c>
      <c r="E53" s="80">
        <v>9.6999999999999993</v>
      </c>
      <c r="F53" s="80">
        <v>9.6999999999999993</v>
      </c>
      <c r="G53" s="80">
        <v>9.6999999999999993</v>
      </c>
      <c r="H53" s="80">
        <v>9.6999999999999993</v>
      </c>
      <c r="I53" s="80">
        <v>9.6999999999999993</v>
      </c>
      <c r="J53" s="80">
        <v>9.6999999999999993</v>
      </c>
      <c r="K53" s="80">
        <v>9.6999999999999993</v>
      </c>
      <c r="L53" s="80">
        <v>9.6999999999999993</v>
      </c>
      <c r="M53" s="80">
        <v>9.6999999999999993</v>
      </c>
      <c r="N53" s="80">
        <v>9.6999999999999993</v>
      </c>
      <c r="O53" s="80">
        <v>9.6999999999999993</v>
      </c>
      <c r="P53" s="80">
        <v>9.6999999999999993</v>
      </c>
      <c r="Q53" s="80">
        <v>9.6999999999999993</v>
      </c>
      <c r="R53" s="80">
        <v>9.6999999999999993</v>
      </c>
      <c r="S53" s="80">
        <v>9.6999999999999993</v>
      </c>
      <c r="T53" s="80">
        <v>9.6999999999999993</v>
      </c>
      <c r="U53" s="80">
        <v>9.6999999999999993</v>
      </c>
      <c r="V53" s="80">
        <v>9.6999999999999993</v>
      </c>
      <c r="W53" s="80">
        <v>9.6999999999999993</v>
      </c>
      <c r="X53" s="80">
        <v>9.6999999999999993</v>
      </c>
      <c r="Y53" s="80">
        <v>9.6999999999999993</v>
      </c>
      <c r="Z53" s="80">
        <v>9.6999999999999993</v>
      </c>
      <c r="AA53" s="80">
        <v>9.6999999999999993</v>
      </c>
      <c r="AB53" s="80">
        <v>9.6999999999999993</v>
      </c>
      <c r="AC53" s="80">
        <v>9.6999999999999993</v>
      </c>
      <c r="AD53" s="80">
        <v>9.6999999999999993</v>
      </c>
      <c r="AE53" s="80">
        <v>9.6999999999999993</v>
      </c>
      <c r="AF53" s="80">
        <v>9.6999999999999993</v>
      </c>
      <c r="AG53" s="94">
        <v>14.1</v>
      </c>
      <c r="AH53" s="20">
        <f t="shared" si="2"/>
        <v>9.6999999999999993</v>
      </c>
      <c r="AI53" s="19">
        <f t="shared" si="3"/>
        <v>9.6999999999999993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10</v>
      </c>
      <c r="C54" s="80">
        <v>10</v>
      </c>
      <c r="D54" s="80">
        <v>10</v>
      </c>
      <c r="E54" s="80">
        <v>10</v>
      </c>
      <c r="F54" s="80">
        <v>10</v>
      </c>
      <c r="G54" s="80">
        <v>10</v>
      </c>
      <c r="H54" s="80">
        <v>10</v>
      </c>
      <c r="I54" s="80">
        <v>10</v>
      </c>
      <c r="J54" s="80">
        <v>10</v>
      </c>
      <c r="K54" s="80">
        <v>10</v>
      </c>
      <c r="L54" s="80">
        <v>10</v>
      </c>
      <c r="M54" s="80">
        <v>13.1</v>
      </c>
      <c r="N54" s="80">
        <v>13.1</v>
      </c>
      <c r="O54" s="80">
        <v>13.1</v>
      </c>
      <c r="P54" s="80">
        <v>13.1</v>
      </c>
      <c r="Q54" s="80">
        <v>13.1</v>
      </c>
      <c r="R54" s="80">
        <v>13.1</v>
      </c>
      <c r="S54" s="80">
        <v>13.1</v>
      </c>
      <c r="T54" s="80">
        <v>13.1</v>
      </c>
      <c r="U54" s="80">
        <v>13.1</v>
      </c>
      <c r="V54" s="80">
        <v>13.1</v>
      </c>
      <c r="W54" s="80">
        <v>13.1</v>
      </c>
      <c r="X54" s="80">
        <v>13.1</v>
      </c>
      <c r="Y54" s="80">
        <v>13.1</v>
      </c>
      <c r="Z54" s="80">
        <v>13.1</v>
      </c>
      <c r="AA54" s="80">
        <v>13.1</v>
      </c>
      <c r="AB54" s="80">
        <v>13.1</v>
      </c>
      <c r="AC54" s="80">
        <v>13.1</v>
      </c>
      <c r="AD54" s="80">
        <v>14</v>
      </c>
      <c r="AE54" s="80">
        <v>14</v>
      </c>
      <c r="AF54" s="80">
        <v>14</v>
      </c>
      <c r="AG54" s="94">
        <v>14</v>
      </c>
      <c r="AH54" s="20">
        <f t="shared" si="2"/>
        <v>14</v>
      </c>
      <c r="AI54" s="19">
        <f t="shared" si="3"/>
        <v>10</v>
      </c>
      <c r="AK54" s="41"/>
    </row>
    <row r="55" spans="1:41" x14ac:dyDescent="0.25">
      <c r="A55" s="95" t="s">
        <v>180</v>
      </c>
      <c r="B55" s="80">
        <v>9</v>
      </c>
      <c r="C55" s="80">
        <v>9</v>
      </c>
      <c r="D55" s="80">
        <v>9</v>
      </c>
      <c r="E55" s="80">
        <v>9</v>
      </c>
      <c r="F55" s="80">
        <v>9</v>
      </c>
      <c r="G55" s="80">
        <v>9</v>
      </c>
      <c r="H55" s="80">
        <v>9</v>
      </c>
      <c r="I55" s="80">
        <v>9</v>
      </c>
      <c r="J55" s="80">
        <v>9</v>
      </c>
      <c r="K55" s="80">
        <v>9</v>
      </c>
      <c r="L55" s="80">
        <v>9</v>
      </c>
      <c r="M55" s="80">
        <v>9</v>
      </c>
      <c r="N55" s="80">
        <v>9</v>
      </c>
      <c r="O55" s="80">
        <v>9</v>
      </c>
      <c r="P55" s="80">
        <v>9</v>
      </c>
      <c r="Q55" s="80">
        <v>9</v>
      </c>
      <c r="R55" s="80">
        <v>9</v>
      </c>
      <c r="S55" s="80">
        <v>9</v>
      </c>
      <c r="T55" s="80">
        <v>9</v>
      </c>
      <c r="U55" s="80">
        <v>9</v>
      </c>
      <c r="V55" s="80">
        <v>9</v>
      </c>
      <c r="W55" s="80">
        <v>9</v>
      </c>
      <c r="X55" s="80">
        <v>9</v>
      </c>
      <c r="Y55" s="80">
        <v>9</v>
      </c>
      <c r="Z55" s="80">
        <v>9</v>
      </c>
      <c r="AA55" s="80">
        <v>9</v>
      </c>
      <c r="AB55" s="80">
        <v>9</v>
      </c>
      <c r="AC55" s="80">
        <v>9</v>
      </c>
      <c r="AD55" s="80">
        <v>9</v>
      </c>
      <c r="AE55" s="80">
        <v>9</v>
      </c>
      <c r="AF55" s="80">
        <v>9</v>
      </c>
      <c r="AG55" s="94">
        <v>10.050000000000001</v>
      </c>
      <c r="AH55" s="20">
        <f t="shared" si="2"/>
        <v>9</v>
      </c>
      <c r="AI55" s="19">
        <f t="shared" si="3"/>
        <v>9</v>
      </c>
      <c r="AK55" s="41"/>
    </row>
    <row r="56" spans="1:41" x14ac:dyDescent="0.25">
      <c r="A56" s="95" t="s">
        <v>179</v>
      </c>
      <c r="B56" s="80">
        <v>6.2</v>
      </c>
      <c r="C56" s="80">
        <v>6.2</v>
      </c>
      <c r="D56" s="80">
        <v>3</v>
      </c>
      <c r="E56" s="80">
        <v>3</v>
      </c>
      <c r="F56" s="80">
        <v>3</v>
      </c>
      <c r="G56" s="80">
        <v>3</v>
      </c>
      <c r="H56" s="80">
        <v>3</v>
      </c>
      <c r="I56" s="80">
        <v>3</v>
      </c>
      <c r="J56" s="80">
        <v>6.2</v>
      </c>
      <c r="K56" s="80">
        <v>6.2</v>
      </c>
      <c r="L56" s="80">
        <v>6.2</v>
      </c>
      <c r="M56" s="80">
        <v>6.2</v>
      </c>
      <c r="N56" s="80">
        <v>6.2</v>
      </c>
      <c r="O56" s="80">
        <v>6.2</v>
      </c>
      <c r="P56" s="80">
        <v>6.2</v>
      </c>
      <c r="Q56" s="80">
        <v>6.2</v>
      </c>
      <c r="R56" s="80">
        <v>6.2</v>
      </c>
      <c r="S56" s="80">
        <v>6.2</v>
      </c>
      <c r="T56" s="80">
        <v>6.2</v>
      </c>
      <c r="U56" s="80">
        <v>6.2</v>
      </c>
      <c r="V56" s="80">
        <v>6.2</v>
      </c>
      <c r="W56" s="80">
        <v>6.2</v>
      </c>
      <c r="X56" s="80">
        <v>6.2</v>
      </c>
      <c r="Y56" s="80">
        <v>6.2</v>
      </c>
      <c r="Z56" s="80">
        <v>6.2</v>
      </c>
      <c r="AA56" s="80">
        <v>6.2</v>
      </c>
      <c r="AB56" s="80">
        <v>6.2</v>
      </c>
      <c r="AC56" s="80">
        <v>6.2</v>
      </c>
      <c r="AD56" s="80">
        <v>6.2</v>
      </c>
      <c r="AE56" s="80">
        <v>6.2</v>
      </c>
      <c r="AF56" s="80">
        <v>6.2</v>
      </c>
      <c r="AG56" s="94">
        <v>6.2</v>
      </c>
      <c r="AH56" s="20">
        <f t="shared" si="2"/>
        <v>6.2</v>
      </c>
      <c r="AI56" s="19">
        <f t="shared" si="3"/>
        <v>3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6">SUM(B45:B57)</f>
        <v>425.84</v>
      </c>
      <c r="C58" s="86">
        <f t="shared" si="6"/>
        <v>425.84</v>
      </c>
      <c r="D58" s="86">
        <f t="shared" si="6"/>
        <v>422.64</v>
      </c>
      <c r="E58" s="86">
        <f t="shared" si="6"/>
        <v>387.34000000000003</v>
      </c>
      <c r="F58" s="86">
        <f t="shared" si="6"/>
        <v>424.24</v>
      </c>
      <c r="G58" s="86">
        <f t="shared" si="6"/>
        <v>380.34000000000003</v>
      </c>
      <c r="H58" s="86">
        <f t="shared" si="6"/>
        <v>391.44000000000005</v>
      </c>
      <c r="I58" s="86">
        <f t="shared" si="6"/>
        <v>391.44000000000005</v>
      </c>
      <c r="J58" s="86">
        <f t="shared" si="6"/>
        <v>426.93999999999994</v>
      </c>
      <c r="K58" s="86">
        <f t="shared" si="6"/>
        <v>426.93999999999994</v>
      </c>
      <c r="L58" s="86">
        <f t="shared" si="6"/>
        <v>373.34</v>
      </c>
      <c r="M58" s="86">
        <f t="shared" si="6"/>
        <v>417.44</v>
      </c>
      <c r="N58" s="86">
        <f t="shared" si="6"/>
        <v>434.14</v>
      </c>
      <c r="O58" s="86">
        <f t="shared" si="6"/>
        <v>436.34000000000003</v>
      </c>
      <c r="P58" s="86">
        <f t="shared" si="6"/>
        <v>436.44</v>
      </c>
      <c r="Q58" s="86">
        <f t="shared" si="6"/>
        <v>415.74</v>
      </c>
      <c r="R58" s="86">
        <f t="shared" si="6"/>
        <v>411.84</v>
      </c>
      <c r="S58" s="86">
        <f t="shared" si="6"/>
        <v>435.74</v>
      </c>
      <c r="T58" s="86">
        <f t="shared" si="6"/>
        <v>435.74</v>
      </c>
      <c r="U58" s="86">
        <f t="shared" si="6"/>
        <v>434.74</v>
      </c>
      <c r="V58" s="86">
        <f t="shared" si="6"/>
        <v>434.74</v>
      </c>
      <c r="W58" s="86">
        <f t="shared" si="6"/>
        <v>434.74</v>
      </c>
      <c r="X58" s="86">
        <f t="shared" si="6"/>
        <v>434.74</v>
      </c>
      <c r="Y58" s="86">
        <f t="shared" si="6"/>
        <v>427.74</v>
      </c>
      <c r="Z58" s="86">
        <f t="shared" si="6"/>
        <v>427.74</v>
      </c>
      <c r="AA58" s="86">
        <f t="shared" si="6"/>
        <v>427.74</v>
      </c>
      <c r="AB58" s="86">
        <f t="shared" si="6"/>
        <v>429.74</v>
      </c>
      <c r="AC58" s="86">
        <f t="shared" si="6"/>
        <v>423.94000000000005</v>
      </c>
      <c r="AD58" s="86">
        <f t="shared" si="6"/>
        <v>429.84000000000003</v>
      </c>
      <c r="AE58" s="86">
        <f t="shared" si="6"/>
        <v>429.84000000000003</v>
      </c>
      <c r="AF58" s="86">
        <f t="shared" si="6"/>
        <v>429.53999999999996</v>
      </c>
      <c r="AG58" s="101">
        <f t="shared" si="6"/>
        <v>489.91</v>
      </c>
      <c r="AH58" s="20">
        <f t="shared" si="2"/>
        <v>436.44</v>
      </c>
      <c r="AI58" s="19">
        <f t="shared" si="3"/>
        <v>373.34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>
        <v>0</v>
      </c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>
        <v>0</v>
      </c>
      <c r="Z59" s="105">
        <v>0</v>
      </c>
      <c r="AA59" s="105">
        <v>0</v>
      </c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07">
        <v>0</v>
      </c>
      <c r="Y61" s="107">
        <v>0</v>
      </c>
      <c r="Z61" s="107">
        <v>0</v>
      </c>
      <c r="AA61" s="107">
        <v>0</v>
      </c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7">SUM(B59:B61)</f>
        <v>0</v>
      </c>
      <c r="C62" s="86">
        <f t="shared" si="7"/>
        <v>0</v>
      </c>
      <c r="D62" s="86">
        <f t="shared" si="7"/>
        <v>0</v>
      </c>
      <c r="E62" s="86">
        <f t="shared" si="7"/>
        <v>0</v>
      </c>
      <c r="F62" s="86">
        <f t="shared" si="7"/>
        <v>0</v>
      </c>
      <c r="G62" s="86">
        <f t="shared" si="7"/>
        <v>0</v>
      </c>
      <c r="H62" s="86">
        <f t="shared" si="7"/>
        <v>0</v>
      </c>
      <c r="I62" s="86">
        <f t="shared" si="7"/>
        <v>0</v>
      </c>
      <c r="J62" s="86">
        <f t="shared" si="7"/>
        <v>0</v>
      </c>
      <c r="K62" s="86">
        <f t="shared" si="7"/>
        <v>0</v>
      </c>
      <c r="L62" s="86">
        <f t="shared" si="7"/>
        <v>0</v>
      </c>
      <c r="M62" s="86">
        <f t="shared" si="7"/>
        <v>0</v>
      </c>
      <c r="N62" s="86">
        <f t="shared" si="7"/>
        <v>0</v>
      </c>
      <c r="O62" s="86">
        <f t="shared" si="7"/>
        <v>0</v>
      </c>
      <c r="P62" s="86">
        <f t="shared" si="7"/>
        <v>0</v>
      </c>
      <c r="Q62" s="86">
        <f t="shared" si="7"/>
        <v>0</v>
      </c>
      <c r="R62" s="86">
        <f t="shared" si="7"/>
        <v>0</v>
      </c>
      <c r="S62" s="86">
        <f t="shared" si="7"/>
        <v>0</v>
      </c>
      <c r="T62" s="86">
        <f t="shared" si="7"/>
        <v>0</v>
      </c>
      <c r="U62" s="86">
        <f t="shared" si="7"/>
        <v>0</v>
      </c>
      <c r="V62" s="86">
        <f t="shared" si="7"/>
        <v>0</v>
      </c>
      <c r="W62" s="86">
        <f t="shared" si="7"/>
        <v>0</v>
      </c>
      <c r="X62" s="86">
        <f t="shared" si="7"/>
        <v>0</v>
      </c>
      <c r="Y62" s="86">
        <f t="shared" si="7"/>
        <v>0</v>
      </c>
      <c r="Z62" s="86">
        <f t="shared" si="7"/>
        <v>0</v>
      </c>
      <c r="AA62" s="86">
        <f t="shared" si="7"/>
        <v>0</v>
      </c>
      <c r="AB62" s="86">
        <f t="shared" si="7"/>
        <v>0</v>
      </c>
      <c r="AC62" s="86">
        <f t="shared" si="7"/>
        <v>0</v>
      </c>
      <c r="AD62" s="86">
        <f t="shared" si="7"/>
        <v>0</v>
      </c>
      <c r="AE62" s="86">
        <f t="shared" si="7"/>
        <v>0</v>
      </c>
      <c r="AF62" s="86">
        <f t="shared" si="7"/>
        <v>0</v>
      </c>
      <c r="AG62" s="101">
        <f t="shared" si="7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6</v>
      </c>
      <c r="C63" s="105">
        <v>13.3</v>
      </c>
      <c r="D63" s="105">
        <v>15.7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19.8</v>
      </c>
      <c r="M63" s="105">
        <v>6.5</v>
      </c>
      <c r="N63" s="105">
        <v>10.199999999999999</v>
      </c>
      <c r="O63" s="105">
        <v>12.7</v>
      </c>
      <c r="P63" s="105">
        <v>18.7</v>
      </c>
      <c r="Q63" s="105">
        <v>50.7</v>
      </c>
      <c r="R63" s="105">
        <v>48.8</v>
      </c>
      <c r="S63" s="105">
        <v>51.9</v>
      </c>
      <c r="T63" s="105">
        <v>53.3</v>
      </c>
      <c r="U63" s="105">
        <v>48.3</v>
      </c>
      <c r="V63" s="105">
        <v>44.3</v>
      </c>
      <c r="W63" s="105">
        <v>44.3</v>
      </c>
      <c r="X63" s="105">
        <v>9.6999999999999993</v>
      </c>
      <c r="Y63" s="105">
        <v>62.4</v>
      </c>
      <c r="Z63" s="105">
        <v>65</v>
      </c>
      <c r="AA63" s="105">
        <v>65.7</v>
      </c>
      <c r="AB63" s="105">
        <v>60.7</v>
      </c>
      <c r="AC63" s="105">
        <v>66.7</v>
      </c>
      <c r="AD63" s="105">
        <v>31.2</v>
      </c>
      <c r="AE63" s="105">
        <v>14</v>
      </c>
      <c r="AF63" s="105">
        <v>12</v>
      </c>
      <c r="AG63" s="96"/>
      <c r="AH63" s="20">
        <f t="shared" si="2"/>
        <v>66.7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-462</v>
      </c>
      <c r="C65" s="80">
        <v>-429</v>
      </c>
      <c r="D65" s="80">
        <v>-461</v>
      </c>
      <c r="E65" s="80">
        <v>-426.8</v>
      </c>
      <c r="F65" s="80">
        <v>-427.5</v>
      </c>
      <c r="G65" s="80">
        <v>-440.2</v>
      </c>
      <c r="H65" s="80">
        <v>-431.1</v>
      </c>
      <c r="I65" s="80">
        <v>-447</v>
      </c>
      <c r="J65" s="80">
        <v>-442</v>
      </c>
      <c r="K65" s="80">
        <v>-457.8</v>
      </c>
      <c r="L65" s="80">
        <v>-358</v>
      </c>
      <c r="M65" s="80">
        <v>-396.5</v>
      </c>
      <c r="N65" s="80">
        <v>-419.9</v>
      </c>
      <c r="O65" s="80">
        <v>-390.8</v>
      </c>
      <c r="P65" s="80">
        <v>-350.2</v>
      </c>
      <c r="Q65" s="80">
        <v>-324.7</v>
      </c>
      <c r="R65" s="80">
        <v>-340</v>
      </c>
      <c r="S65" s="80">
        <v>-361</v>
      </c>
      <c r="T65" s="80">
        <v>-373</v>
      </c>
      <c r="U65" s="80">
        <v>-381</v>
      </c>
      <c r="V65" s="80">
        <v>-347</v>
      </c>
      <c r="W65" s="80">
        <v>-347</v>
      </c>
      <c r="X65" s="80">
        <v>-267</v>
      </c>
      <c r="Y65" s="80">
        <v>-195</v>
      </c>
      <c r="Z65" s="80">
        <v>-289</v>
      </c>
      <c r="AA65" s="80">
        <v>-298</v>
      </c>
      <c r="AB65" s="80">
        <v>-298</v>
      </c>
      <c r="AC65" s="80">
        <v>-314.60000000000002</v>
      </c>
      <c r="AD65" s="80">
        <v>-355.7</v>
      </c>
      <c r="AE65" s="80">
        <v>-398</v>
      </c>
      <c r="AF65" s="80">
        <v>-396.6</v>
      </c>
      <c r="AG65" s="102"/>
      <c r="AH65" s="20">
        <f t="shared" si="2"/>
        <v>-195</v>
      </c>
      <c r="AI65" s="19">
        <f t="shared" si="3"/>
        <v>-462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10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10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5</v>
      </c>
      <c r="C68" s="103">
        <v>5</v>
      </c>
      <c r="D68" s="103">
        <v>5</v>
      </c>
      <c r="E68" s="103">
        <v>5</v>
      </c>
      <c r="F68" s="103">
        <v>5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5</v>
      </c>
      <c r="AB68" s="103">
        <v>5</v>
      </c>
      <c r="AC68" s="103">
        <v>5</v>
      </c>
      <c r="AD68" s="103">
        <v>5</v>
      </c>
      <c r="AE68" s="103">
        <v>5</v>
      </c>
      <c r="AF68" s="103">
        <v>0</v>
      </c>
      <c r="AG68" s="102"/>
      <c r="AH68" s="20">
        <f t="shared" si="2"/>
        <v>5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10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10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103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103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8">SUMIF(B63:B73,"&gt;0")</f>
        <v>11</v>
      </c>
      <c r="C74" s="86">
        <f t="shared" si="8"/>
        <v>18.3</v>
      </c>
      <c r="D74" s="86">
        <f t="shared" si="8"/>
        <v>20.7</v>
      </c>
      <c r="E74" s="86">
        <f t="shared" si="8"/>
        <v>5</v>
      </c>
      <c r="F74" s="86">
        <f t="shared" si="8"/>
        <v>5</v>
      </c>
      <c r="G74" s="86">
        <f t="shared" si="8"/>
        <v>0</v>
      </c>
      <c r="H74" s="86">
        <f t="shared" si="8"/>
        <v>0</v>
      </c>
      <c r="I74" s="86">
        <f t="shared" si="8"/>
        <v>0</v>
      </c>
      <c r="J74" s="86">
        <f t="shared" si="8"/>
        <v>0</v>
      </c>
      <c r="K74" s="86">
        <f t="shared" si="8"/>
        <v>0</v>
      </c>
      <c r="L74" s="86">
        <f t="shared" si="8"/>
        <v>19.8</v>
      </c>
      <c r="M74" s="86">
        <f t="shared" si="8"/>
        <v>6.5</v>
      </c>
      <c r="N74" s="86">
        <f t="shared" si="8"/>
        <v>10.199999999999999</v>
      </c>
      <c r="O74" s="86">
        <f t="shared" si="8"/>
        <v>12.7</v>
      </c>
      <c r="P74" s="86">
        <f t="shared" si="8"/>
        <v>18.7</v>
      </c>
      <c r="Q74" s="86">
        <f t="shared" si="8"/>
        <v>50.7</v>
      </c>
      <c r="R74" s="86">
        <f t="shared" si="8"/>
        <v>48.8</v>
      </c>
      <c r="S74" s="86">
        <f t="shared" si="8"/>
        <v>51.9</v>
      </c>
      <c r="T74" s="86">
        <f t="shared" si="8"/>
        <v>53.3</v>
      </c>
      <c r="U74" s="86">
        <f t="shared" si="8"/>
        <v>58.3</v>
      </c>
      <c r="V74" s="86">
        <f t="shared" si="8"/>
        <v>44.3</v>
      </c>
      <c r="W74" s="86">
        <f t="shared" si="8"/>
        <v>44.3</v>
      </c>
      <c r="X74" s="86">
        <f t="shared" si="8"/>
        <v>9.6999999999999993</v>
      </c>
      <c r="Y74" s="86">
        <f t="shared" si="8"/>
        <v>62.4</v>
      </c>
      <c r="Z74" s="86">
        <f t="shared" si="8"/>
        <v>65</v>
      </c>
      <c r="AA74" s="86">
        <f t="shared" si="8"/>
        <v>70.7</v>
      </c>
      <c r="AB74" s="86">
        <f t="shared" si="8"/>
        <v>65.7</v>
      </c>
      <c r="AC74" s="86">
        <f t="shared" si="8"/>
        <v>71.7</v>
      </c>
      <c r="AD74" s="86">
        <f t="shared" si="8"/>
        <v>36.200000000000003</v>
      </c>
      <c r="AE74" s="86">
        <f t="shared" si="8"/>
        <v>19</v>
      </c>
      <c r="AF74" s="86">
        <f t="shared" si="8"/>
        <v>12</v>
      </c>
      <c r="AG74" s="85">
        <f>SUM(AG63:AG73)</f>
        <v>0</v>
      </c>
      <c r="AH74" s="20">
        <f t="shared" si="2"/>
        <v>71.7</v>
      </c>
      <c r="AI74" s="19">
        <f t="shared" si="3"/>
        <v>0</v>
      </c>
      <c r="AK74" s="41"/>
    </row>
    <row r="75" spans="1:37" x14ac:dyDescent="0.25">
      <c r="A75" s="97" t="s">
        <v>164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104">
        <v>39</v>
      </c>
      <c r="AH75" s="20">
        <f t="shared" ref="AH75:AH109" si="9">MAX(B75:AF75)</f>
        <v>0</v>
      </c>
      <c r="AI75" s="19">
        <f t="shared" ref="AI75:AI109" si="10">MIN(B75:AF75)</f>
        <v>0</v>
      </c>
      <c r="AK75" s="41"/>
    </row>
    <row r="76" spans="1:37" x14ac:dyDescent="0.25">
      <c r="A76" s="95" t="s">
        <v>163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2">
        <v>14.4</v>
      </c>
      <c r="AH76" s="20">
        <f t="shared" si="9"/>
        <v>0</v>
      </c>
      <c r="AI76" s="19">
        <f t="shared" si="10"/>
        <v>0</v>
      </c>
      <c r="AK76" s="41"/>
    </row>
    <row r="77" spans="1:37" ht="15.75" thickBot="1" x14ac:dyDescent="0.3">
      <c r="A77" s="91" t="s">
        <v>162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89">
        <v>2</v>
      </c>
      <c r="AH77" s="20">
        <f t="shared" si="9"/>
        <v>0</v>
      </c>
      <c r="AI77" s="19">
        <f t="shared" si="10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9"/>
        <v>0</v>
      </c>
      <c r="AI78" s="19">
        <f t="shared" si="10"/>
        <v>0</v>
      </c>
    </row>
    <row r="79" spans="1:37" ht="15.75" thickBot="1" x14ac:dyDescent="0.3">
      <c r="A79" s="87" t="s">
        <v>160</v>
      </c>
      <c r="B79" s="98">
        <f t="shared" ref="B79:AG79" si="11">B40+B44+B62+B58+B74+B78</f>
        <v>1772.4399999999998</v>
      </c>
      <c r="C79" s="98">
        <f t="shared" si="11"/>
        <v>1733.54</v>
      </c>
      <c r="D79" s="98">
        <f t="shared" si="11"/>
        <v>1712.74</v>
      </c>
      <c r="E79" s="98">
        <f t="shared" si="11"/>
        <v>1661.7399999999998</v>
      </c>
      <c r="F79" s="98">
        <f t="shared" si="11"/>
        <v>1696.6399999999999</v>
      </c>
      <c r="G79" s="98">
        <f t="shared" si="11"/>
        <v>1693.94</v>
      </c>
      <c r="H79" s="98">
        <f t="shared" si="11"/>
        <v>1705.04</v>
      </c>
      <c r="I79" s="98">
        <f t="shared" si="11"/>
        <v>1705.04</v>
      </c>
      <c r="J79" s="98">
        <f t="shared" si="11"/>
        <v>1715.54</v>
      </c>
      <c r="K79" s="98">
        <f t="shared" si="11"/>
        <v>1753.54</v>
      </c>
      <c r="L79" s="98">
        <f t="shared" si="11"/>
        <v>1718.7399999999998</v>
      </c>
      <c r="M79" s="98">
        <f t="shared" si="11"/>
        <v>1801.8400000000001</v>
      </c>
      <c r="N79" s="98">
        <f t="shared" si="11"/>
        <v>1822.84</v>
      </c>
      <c r="O79" s="98">
        <f t="shared" si="11"/>
        <v>1845.5400000000002</v>
      </c>
      <c r="P79" s="98">
        <f t="shared" si="11"/>
        <v>1833.64</v>
      </c>
      <c r="Q79" s="98">
        <f t="shared" si="11"/>
        <v>1810.94</v>
      </c>
      <c r="R79" s="98">
        <f t="shared" si="11"/>
        <v>1801.1399999999999</v>
      </c>
      <c r="S79" s="98">
        <f t="shared" si="11"/>
        <v>1892.14</v>
      </c>
      <c r="T79" s="98">
        <f t="shared" si="11"/>
        <v>1890.54</v>
      </c>
      <c r="U79" s="98">
        <f t="shared" si="11"/>
        <v>1892.54</v>
      </c>
      <c r="V79" s="98">
        <f t="shared" si="11"/>
        <v>1851.54</v>
      </c>
      <c r="W79" s="98">
        <f t="shared" si="11"/>
        <v>1873.54</v>
      </c>
      <c r="X79" s="98">
        <f t="shared" si="11"/>
        <v>1848.94</v>
      </c>
      <c r="Y79" s="98">
        <f t="shared" si="11"/>
        <v>1892.64</v>
      </c>
      <c r="Z79" s="98">
        <f t="shared" si="11"/>
        <v>1895.24</v>
      </c>
      <c r="AA79" s="98">
        <f t="shared" si="11"/>
        <v>1900.94</v>
      </c>
      <c r="AB79" s="98">
        <f t="shared" si="11"/>
        <v>1897.94</v>
      </c>
      <c r="AC79" s="98">
        <f t="shared" si="11"/>
        <v>1898.14</v>
      </c>
      <c r="AD79" s="98">
        <f t="shared" si="11"/>
        <v>1863.5400000000002</v>
      </c>
      <c r="AE79" s="98">
        <f t="shared" si="11"/>
        <v>1792.3400000000001</v>
      </c>
      <c r="AF79" s="98">
        <f t="shared" si="11"/>
        <v>1785.04</v>
      </c>
      <c r="AG79" s="101">
        <f t="shared" si="11"/>
        <v>1897.1900000000003</v>
      </c>
      <c r="AH79" s="20">
        <f t="shared" si="9"/>
        <v>1900.94</v>
      </c>
      <c r="AI79" s="19">
        <f t="shared" si="10"/>
        <v>1661.7399999999998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9"/>
        <v>0</v>
      </c>
      <c r="AI80" s="19">
        <f t="shared" si="10"/>
        <v>0</v>
      </c>
    </row>
    <row r="81" spans="1:37" ht="15.75" thickBot="1" x14ac:dyDescent="0.3">
      <c r="A81" s="87" t="s">
        <v>158</v>
      </c>
      <c r="B81" s="98">
        <f t="shared" ref="B81:AF81" si="12">B79+B80</f>
        <v>1772.4399999999998</v>
      </c>
      <c r="C81" s="98">
        <f t="shared" si="12"/>
        <v>1733.54</v>
      </c>
      <c r="D81" s="98">
        <f t="shared" si="12"/>
        <v>1712.74</v>
      </c>
      <c r="E81" s="98">
        <f t="shared" si="12"/>
        <v>1661.7399999999998</v>
      </c>
      <c r="F81" s="98">
        <f t="shared" si="12"/>
        <v>1696.6399999999999</v>
      </c>
      <c r="G81" s="98">
        <f t="shared" si="12"/>
        <v>1693.94</v>
      </c>
      <c r="H81" s="98">
        <f t="shared" si="12"/>
        <v>1705.04</v>
      </c>
      <c r="I81" s="98">
        <f t="shared" si="12"/>
        <v>1705.04</v>
      </c>
      <c r="J81" s="98">
        <f t="shared" si="12"/>
        <v>1715.54</v>
      </c>
      <c r="K81" s="98">
        <f t="shared" si="12"/>
        <v>1753.54</v>
      </c>
      <c r="L81" s="98">
        <f t="shared" si="12"/>
        <v>1718.7399999999998</v>
      </c>
      <c r="M81" s="98">
        <f t="shared" si="12"/>
        <v>1801.8400000000001</v>
      </c>
      <c r="N81" s="98">
        <f t="shared" si="12"/>
        <v>1822.84</v>
      </c>
      <c r="O81" s="98">
        <f t="shared" si="12"/>
        <v>1845.5400000000002</v>
      </c>
      <c r="P81" s="98">
        <f t="shared" si="12"/>
        <v>1833.64</v>
      </c>
      <c r="Q81" s="98">
        <f t="shared" si="12"/>
        <v>1810.94</v>
      </c>
      <c r="R81" s="98">
        <f t="shared" si="12"/>
        <v>1801.1399999999999</v>
      </c>
      <c r="S81" s="98">
        <f t="shared" si="12"/>
        <v>1892.14</v>
      </c>
      <c r="T81" s="98">
        <f t="shared" si="12"/>
        <v>1890.54</v>
      </c>
      <c r="U81" s="98">
        <f t="shared" si="12"/>
        <v>1892.54</v>
      </c>
      <c r="V81" s="98">
        <f t="shared" si="12"/>
        <v>1851.54</v>
      </c>
      <c r="W81" s="98">
        <f t="shared" si="12"/>
        <v>1873.54</v>
      </c>
      <c r="X81" s="98">
        <f t="shared" si="12"/>
        <v>1848.94</v>
      </c>
      <c r="Y81" s="98">
        <f t="shared" si="12"/>
        <v>1892.64</v>
      </c>
      <c r="Z81" s="98">
        <f t="shared" si="12"/>
        <v>1895.24</v>
      </c>
      <c r="AA81" s="98">
        <f t="shared" si="12"/>
        <v>1900.94</v>
      </c>
      <c r="AB81" s="98">
        <f t="shared" si="12"/>
        <v>1897.94</v>
      </c>
      <c r="AC81" s="98">
        <f t="shared" si="12"/>
        <v>1898.14</v>
      </c>
      <c r="AD81" s="98">
        <f t="shared" si="12"/>
        <v>1863.5400000000002</v>
      </c>
      <c r="AE81" s="98">
        <f t="shared" si="12"/>
        <v>1792.3400000000001</v>
      </c>
      <c r="AF81" s="98">
        <f t="shared" si="12"/>
        <v>1785.04</v>
      </c>
      <c r="AG81" s="85">
        <f>AG78+AG74+AG62+AG58+AG40+AG80</f>
        <v>1359.0900000000001</v>
      </c>
      <c r="AH81" s="20">
        <f t="shared" si="9"/>
        <v>1900.94</v>
      </c>
      <c r="AI81" s="19">
        <f t="shared" si="10"/>
        <v>1661.7399999999998</v>
      </c>
    </row>
    <row r="82" spans="1:37" ht="15.75" thickBot="1" x14ac:dyDescent="0.3">
      <c r="A82" s="87" t="s">
        <v>157</v>
      </c>
      <c r="B82" s="98">
        <f t="shared" ref="B82:AF82" si="13">B81-B89</f>
        <v>1310.4399999999998</v>
      </c>
      <c r="C82" s="98">
        <f t="shared" si="13"/>
        <v>1304.54</v>
      </c>
      <c r="D82" s="98">
        <f t="shared" si="13"/>
        <v>1251.74</v>
      </c>
      <c r="E82" s="98">
        <f t="shared" si="13"/>
        <v>1234.9399999999998</v>
      </c>
      <c r="F82" s="98">
        <f t="shared" si="13"/>
        <v>1269.1399999999999</v>
      </c>
      <c r="G82" s="98">
        <f t="shared" si="13"/>
        <v>1253.74</v>
      </c>
      <c r="H82" s="98">
        <f t="shared" si="13"/>
        <v>1273.94</v>
      </c>
      <c r="I82" s="98">
        <f t="shared" si="13"/>
        <v>1258.04</v>
      </c>
      <c r="J82" s="98">
        <f t="shared" si="13"/>
        <v>1273.54</v>
      </c>
      <c r="K82" s="98">
        <f t="shared" si="13"/>
        <v>1295.74</v>
      </c>
      <c r="L82" s="98">
        <f t="shared" si="13"/>
        <v>1360.7399999999998</v>
      </c>
      <c r="M82" s="98">
        <f t="shared" si="13"/>
        <v>1405.3400000000001</v>
      </c>
      <c r="N82" s="98">
        <f t="shared" si="13"/>
        <v>1402.94</v>
      </c>
      <c r="O82" s="98">
        <f t="shared" si="13"/>
        <v>1454.7400000000002</v>
      </c>
      <c r="P82" s="98">
        <f t="shared" si="13"/>
        <v>1483.44</v>
      </c>
      <c r="Q82" s="98">
        <f t="shared" si="13"/>
        <v>1486.24</v>
      </c>
      <c r="R82" s="98">
        <f t="shared" si="13"/>
        <v>1461.1399999999999</v>
      </c>
      <c r="S82" s="98">
        <f t="shared" si="13"/>
        <v>1531.14</v>
      </c>
      <c r="T82" s="98">
        <f t="shared" si="13"/>
        <v>1517.54</v>
      </c>
      <c r="U82" s="98">
        <f t="shared" si="13"/>
        <v>1511.54</v>
      </c>
      <c r="V82" s="98">
        <f t="shared" si="13"/>
        <v>1504.54</v>
      </c>
      <c r="W82" s="98">
        <f t="shared" si="13"/>
        <v>1526.54</v>
      </c>
      <c r="X82" s="98">
        <f t="shared" si="13"/>
        <v>1581.94</v>
      </c>
      <c r="Y82" s="98">
        <f t="shared" si="13"/>
        <v>1697.64</v>
      </c>
      <c r="Z82" s="98">
        <f t="shared" si="13"/>
        <v>1606.24</v>
      </c>
      <c r="AA82" s="98">
        <f t="shared" si="13"/>
        <v>1602.94</v>
      </c>
      <c r="AB82" s="98">
        <f t="shared" si="13"/>
        <v>1599.94</v>
      </c>
      <c r="AC82" s="98">
        <f t="shared" si="13"/>
        <v>1583.54</v>
      </c>
      <c r="AD82" s="98">
        <f t="shared" si="13"/>
        <v>1507.8400000000001</v>
      </c>
      <c r="AE82" s="98">
        <f t="shared" si="13"/>
        <v>1394.3400000000001</v>
      </c>
      <c r="AF82" s="98">
        <f t="shared" si="13"/>
        <v>1388.44</v>
      </c>
      <c r="AG82" s="85"/>
      <c r="AH82" s="20">
        <f t="shared" si="9"/>
        <v>1697.64</v>
      </c>
      <c r="AI82" s="19">
        <f t="shared" si="10"/>
        <v>1234.9399999999998</v>
      </c>
    </row>
    <row r="83" spans="1:37" x14ac:dyDescent="0.25">
      <c r="A83" s="97" t="s">
        <v>156</v>
      </c>
      <c r="B83" s="93">
        <f t="shared" ref="B83:AF83" si="14">IF(B66&lt;0,B66*-1,0)</f>
        <v>0</v>
      </c>
      <c r="C83" s="93">
        <f t="shared" si="14"/>
        <v>0</v>
      </c>
      <c r="D83" s="93">
        <f t="shared" si="14"/>
        <v>0</v>
      </c>
      <c r="E83" s="93">
        <f t="shared" si="14"/>
        <v>0</v>
      </c>
      <c r="F83" s="93">
        <f t="shared" si="14"/>
        <v>0</v>
      </c>
      <c r="G83" s="93">
        <f t="shared" si="14"/>
        <v>0</v>
      </c>
      <c r="H83" s="93">
        <f t="shared" si="14"/>
        <v>0</v>
      </c>
      <c r="I83" s="93">
        <f t="shared" si="14"/>
        <v>0</v>
      </c>
      <c r="J83" s="93">
        <f t="shared" si="14"/>
        <v>0</v>
      </c>
      <c r="K83" s="93">
        <f t="shared" si="14"/>
        <v>0</v>
      </c>
      <c r="L83" s="93">
        <f t="shared" si="14"/>
        <v>0</v>
      </c>
      <c r="M83" s="93">
        <f t="shared" si="14"/>
        <v>0</v>
      </c>
      <c r="N83" s="93">
        <f t="shared" si="14"/>
        <v>0</v>
      </c>
      <c r="O83" s="93">
        <f t="shared" si="14"/>
        <v>0</v>
      </c>
      <c r="P83" s="93">
        <f t="shared" si="14"/>
        <v>0</v>
      </c>
      <c r="Q83" s="93">
        <f t="shared" si="14"/>
        <v>0</v>
      </c>
      <c r="R83" s="93">
        <f t="shared" si="14"/>
        <v>0</v>
      </c>
      <c r="S83" s="93">
        <f t="shared" si="14"/>
        <v>0</v>
      </c>
      <c r="T83" s="93">
        <f t="shared" si="14"/>
        <v>0</v>
      </c>
      <c r="U83" s="93">
        <f t="shared" si="14"/>
        <v>0</v>
      </c>
      <c r="V83" s="93">
        <f t="shared" si="14"/>
        <v>0</v>
      </c>
      <c r="W83" s="93">
        <f t="shared" si="14"/>
        <v>0</v>
      </c>
      <c r="X83" s="93">
        <f t="shared" si="14"/>
        <v>0</v>
      </c>
      <c r="Y83" s="93">
        <f t="shared" si="14"/>
        <v>0</v>
      </c>
      <c r="Z83" s="93">
        <f t="shared" si="14"/>
        <v>0</v>
      </c>
      <c r="AA83" s="93">
        <f t="shared" si="14"/>
        <v>0</v>
      </c>
      <c r="AB83" s="93">
        <f t="shared" si="14"/>
        <v>0</v>
      </c>
      <c r="AC83" s="93">
        <f t="shared" si="14"/>
        <v>0</v>
      </c>
      <c r="AD83" s="93">
        <f t="shared" si="14"/>
        <v>0</v>
      </c>
      <c r="AE83" s="93">
        <f t="shared" si="14"/>
        <v>0</v>
      </c>
      <c r="AF83" s="93">
        <f t="shared" si="14"/>
        <v>0</v>
      </c>
      <c r="AG83" s="96"/>
      <c r="AH83" s="20">
        <f t="shared" si="9"/>
        <v>0</v>
      </c>
      <c r="AI83" s="19">
        <f t="shared" si="10"/>
        <v>0</v>
      </c>
    </row>
    <row r="84" spans="1:37" x14ac:dyDescent="0.25">
      <c r="A84" s="95" t="s">
        <v>155</v>
      </c>
      <c r="B84" s="93">
        <f t="shared" ref="B84:AF84" si="15">IF(B64&lt;0,B64*-1,0)</f>
        <v>0</v>
      </c>
      <c r="C84" s="93">
        <f t="shared" si="15"/>
        <v>0</v>
      </c>
      <c r="D84" s="93">
        <f t="shared" si="15"/>
        <v>0</v>
      </c>
      <c r="E84" s="93">
        <f t="shared" si="15"/>
        <v>0</v>
      </c>
      <c r="F84" s="93">
        <f t="shared" si="15"/>
        <v>0</v>
      </c>
      <c r="G84" s="93">
        <f t="shared" si="15"/>
        <v>0</v>
      </c>
      <c r="H84" s="93">
        <f t="shared" si="15"/>
        <v>0</v>
      </c>
      <c r="I84" s="93">
        <f t="shared" si="15"/>
        <v>0</v>
      </c>
      <c r="J84" s="93">
        <f t="shared" si="15"/>
        <v>0</v>
      </c>
      <c r="K84" s="93">
        <f t="shared" si="15"/>
        <v>0</v>
      </c>
      <c r="L84" s="93">
        <f t="shared" si="15"/>
        <v>0</v>
      </c>
      <c r="M84" s="93">
        <f t="shared" si="15"/>
        <v>0</v>
      </c>
      <c r="N84" s="93">
        <f t="shared" si="15"/>
        <v>0</v>
      </c>
      <c r="O84" s="93">
        <f t="shared" si="15"/>
        <v>0</v>
      </c>
      <c r="P84" s="93">
        <f t="shared" si="15"/>
        <v>0</v>
      </c>
      <c r="Q84" s="93">
        <f t="shared" si="15"/>
        <v>0</v>
      </c>
      <c r="R84" s="93">
        <f t="shared" si="15"/>
        <v>0</v>
      </c>
      <c r="S84" s="93">
        <f t="shared" si="15"/>
        <v>0</v>
      </c>
      <c r="T84" s="93">
        <f t="shared" si="15"/>
        <v>0</v>
      </c>
      <c r="U84" s="93">
        <f t="shared" si="15"/>
        <v>0</v>
      </c>
      <c r="V84" s="93">
        <f t="shared" si="15"/>
        <v>0</v>
      </c>
      <c r="W84" s="93">
        <f t="shared" si="15"/>
        <v>0</v>
      </c>
      <c r="X84" s="93">
        <f t="shared" si="15"/>
        <v>0</v>
      </c>
      <c r="Y84" s="93">
        <f t="shared" si="15"/>
        <v>0</v>
      </c>
      <c r="Z84" s="93">
        <f t="shared" si="15"/>
        <v>0</v>
      </c>
      <c r="AA84" s="93">
        <f t="shared" si="15"/>
        <v>0</v>
      </c>
      <c r="AB84" s="93">
        <f t="shared" si="15"/>
        <v>0</v>
      </c>
      <c r="AC84" s="93">
        <f t="shared" si="15"/>
        <v>0</v>
      </c>
      <c r="AD84" s="93">
        <f t="shared" si="15"/>
        <v>0</v>
      </c>
      <c r="AE84" s="93">
        <f t="shared" si="15"/>
        <v>0</v>
      </c>
      <c r="AF84" s="93">
        <f t="shared" si="15"/>
        <v>0</v>
      </c>
      <c r="AG84" s="94"/>
      <c r="AH84" s="20">
        <f t="shared" si="9"/>
        <v>0</v>
      </c>
      <c r="AI84" s="19">
        <f t="shared" si="10"/>
        <v>0</v>
      </c>
    </row>
    <row r="85" spans="1:37" x14ac:dyDescent="0.25">
      <c r="A85" s="91" t="s">
        <v>154</v>
      </c>
      <c r="B85" s="93">
        <f t="shared" ref="B85:AF85" si="16">IF(B67&lt;0,B67*-1,0)</f>
        <v>0</v>
      </c>
      <c r="C85" s="93">
        <f t="shared" si="16"/>
        <v>0</v>
      </c>
      <c r="D85" s="93">
        <f t="shared" si="16"/>
        <v>0</v>
      </c>
      <c r="E85" s="93">
        <f t="shared" si="16"/>
        <v>0</v>
      </c>
      <c r="F85" s="93">
        <f t="shared" si="16"/>
        <v>0</v>
      </c>
      <c r="G85" s="93">
        <f t="shared" si="16"/>
        <v>0</v>
      </c>
      <c r="H85" s="93">
        <f t="shared" si="16"/>
        <v>0</v>
      </c>
      <c r="I85" s="93">
        <f t="shared" si="16"/>
        <v>0</v>
      </c>
      <c r="J85" s="93">
        <f t="shared" si="16"/>
        <v>0</v>
      </c>
      <c r="K85" s="93">
        <f t="shared" si="16"/>
        <v>0</v>
      </c>
      <c r="L85" s="93">
        <f t="shared" si="16"/>
        <v>0</v>
      </c>
      <c r="M85" s="93">
        <f t="shared" si="16"/>
        <v>0</v>
      </c>
      <c r="N85" s="93">
        <f t="shared" si="16"/>
        <v>0</v>
      </c>
      <c r="O85" s="93">
        <f t="shared" si="16"/>
        <v>0</v>
      </c>
      <c r="P85" s="93">
        <f t="shared" si="16"/>
        <v>0</v>
      </c>
      <c r="Q85" s="93">
        <f t="shared" si="16"/>
        <v>0</v>
      </c>
      <c r="R85" s="93">
        <f t="shared" si="16"/>
        <v>0</v>
      </c>
      <c r="S85" s="93">
        <f t="shared" si="16"/>
        <v>0</v>
      </c>
      <c r="T85" s="93">
        <f t="shared" si="16"/>
        <v>0</v>
      </c>
      <c r="U85" s="93">
        <f t="shared" si="16"/>
        <v>0</v>
      </c>
      <c r="V85" s="93">
        <f t="shared" si="16"/>
        <v>0</v>
      </c>
      <c r="W85" s="93">
        <f t="shared" si="16"/>
        <v>0</v>
      </c>
      <c r="X85" s="93">
        <f t="shared" si="16"/>
        <v>0</v>
      </c>
      <c r="Y85" s="93">
        <f t="shared" si="16"/>
        <v>0</v>
      </c>
      <c r="Z85" s="93">
        <f t="shared" si="16"/>
        <v>0</v>
      </c>
      <c r="AA85" s="93">
        <f t="shared" si="16"/>
        <v>0</v>
      </c>
      <c r="AB85" s="93">
        <f t="shared" si="16"/>
        <v>0</v>
      </c>
      <c r="AC85" s="93">
        <f t="shared" si="16"/>
        <v>0</v>
      </c>
      <c r="AD85" s="93">
        <f t="shared" si="16"/>
        <v>0</v>
      </c>
      <c r="AE85" s="93">
        <f t="shared" si="16"/>
        <v>0</v>
      </c>
      <c r="AF85" s="93">
        <f t="shared" si="16"/>
        <v>0</v>
      </c>
      <c r="AG85" s="92"/>
      <c r="AH85" s="20">
        <f t="shared" si="9"/>
        <v>0</v>
      </c>
      <c r="AI85" s="19">
        <f t="shared" si="10"/>
        <v>0</v>
      </c>
    </row>
    <row r="86" spans="1:37" x14ac:dyDescent="0.25">
      <c r="A86" s="91" t="s">
        <v>153</v>
      </c>
      <c r="B86" s="93">
        <f t="shared" ref="B86:AF86" si="17">IF(B65&lt;0,B65*-1,0)</f>
        <v>462</v>
      </c>
      <c r="C86" s="93">
        <f t="shared" si="17"/>
        <v>429</v>
      </c>
      <c r="D86" s="93">
        <f t="shared" si="17"/>
        <v>461</v>
      </c>
      <c r="E86" s="93">
        <f t="shared" si="17"/>
        <v>426.8</v>
      </c>
      <c r="F86" s="93">
        <f t="shared" si="17"/>
        <v>427.5</v>
      </c>
      <c r="G86" s="93">
        <f t="shared" si="17"/>
        <v>440.2</v>
      </c>
      <c r="H86" s="93">
        <f t="shared" si="17"/>
        <v>431.1</v>
      </c>
      <c r="I86" s="93">
        <f t="shared" si="17"/>
        <v>447</v>
      </c>
      <c r="J86" s="93">
        <f t="shared" si="17"/>
        <v>442</v>
      </c>
      <c r="K86" s="93">
        <f t="shared" si="17"/>
        <v>457.8</v>
      </c>
      <c r="L86" s="93">
        <f t="shared" si="17"/>
        <v>358</v>
      </c>
      <c r="M86" s="93">
        <f t="shared" si="17"/>
        <v>396.5</v>
      </c>
      <c r="N86" s="93">
        <f t="shared" si="17"/>
        <v>419.9</v>
      </c>
      <c r="O86" s="93">
        <f t="shared" si="17"/>
        <v>390.8</v>
      </c>
      <c r="P86" s="93">
        <f t="shared" si="17"/>
        <v>350.2</v>
      </c>
      <c r="Q86" s="93">
        <f t="shared" si="17"/>
        <v>324.7</v>
      </c>
      <c r="R86" s="93">
        <f t="shared" si="17"/>
        <v>340</v>
      </c>
      <c r="S86" s="93">
        <f t="shared" si="17"/>
        <v>361</v>
      </c>
      <c r="T86" s="93">
        <f t="shared" si="17"/>
        <v>373</v>
      </c>
      <c r="U86" s="93">
        <f t="shared" si="17"/>
        <v>381</v>
      </c>
      <c r="V86" s="93">
        <f t="shared" si="17"/>
        <v>347</v>
      </c>
      <c r="W86" s="93">
        <f t="shared" si="17"/>
        <v>347</v>
      </c>
      <c r="X86" s="93">
        <f t="shared" si="17"/>
        <v>267</v>
      </c>
      <c r="Y86" s="93">
        <f t="shared" si="17"/>
        <v>195</v>
      </c>
      <c r="Z86" s="93">
        <f t="shared" si="17"/>
        <v>289</v>
      </c>
      <c r="AA86" s="93">
        <f t="shared" si="17"/>
        <v>298</v>
      </c>
      <c r="AB86" s="93">
        <f t="shared" si="17"/>
        <v>298</v>
      </c>
      <c r="AC86" s="93">
        <f t="shared" si="17"/>
        <v>314.60000000000002</v>
      </c>
      <c r="AD86" s="93">
        <f t="shared" si="17"/>
        <v>355.7</v>
      </c>
      <c r="AE86" s="93">
        <f t="shared" si="17"/>
        <v>398</v>
      </c>
      <c r="AF86" s="93">
        <f t="shared" si="17"/>
        <v>396.6</v>
      </c>
      <c r="AG86" s="92"/>
      <c r="AH86" s="20">
        <f t="shared" si="9"/>
        <v>462</v>
      </c>
      <c r="AI86" s="19">
        <f t="shared" si="10"/>
        <v>195</v>
      </c>
    </row>
    <row r="87" spans="1:37" x14ac:dyDescent="0.25">
      <c r="A87" s="91" t="s">
        <v>152</v>
      </c>
      <c r="B87" s="93">
        <f t="shared" ref="B87:AF87" si="18">IF(B63&lt;0,B63*-1,0)</f>
        <v>0</v>
      </c>
      <c r="C87" s="93">
        <f t="shared" si="18"/>
        <v>0</v>
      </c>
      <c r="D87" s="93">
        <f t="shared" si="18"/>
        <v>0</v>
      </c>
      <c r="E87" s="93">
        <f t="shared" si="18"/>
        <v>0</v>
      </c>
      <c r="F87" s="93">
        <f t="shared" si="18"/>
        <v>0</v>
      </c>
      <c r="G87" s="93">
        <f t="shared" si="18"/>
        <v>0</v>
      </c>
      <c r="H87" s="93">
        <f t="shared" si="18"/>
        <v>0</v>
      </c>
      <c r="I87" s="93">
        <f t="shared" si="18"/>
        <v>0</v>
      </c>
      <c r="J87" s="93">
        <f t="shared" si="18"/>
        <v>0</v>
      </c>
      <c r="K87" s="93">
        <f t="shared" si="18"/>
        <v>0</v>
      </c>
      <c r="L87" s="93">
        <f t="shared" si="18"/>
        <v>0</v>
      </c>
      <c r="M87" s="93">
        <f t="shared" si="18"/>
        <v>0</v>
      </c>
      <c r="N87" s="93">
        <f t="shared" si="18"/>
        <v>0</v>
      </c>
      <c r="O87" s="93">
        <f t="shared" si="18"/>
        <v>0</v>
      </c>
      <c r="P87" s="93">
        <f t="shared" si="18"/>
        <v>0</v>
      </c>
      <c r="Q87" s="93">
        <f t="shared" si="18"/>
        <v>0</v>
      </c>
      <c r="R87" s="93">
        <f t="shared" si="18"/>
        <v>0</v>
      </c>
      <c r="S87" s="93">
        <f t="shared" si="18"/>
        <v>0</v>
      </c>
      <c r="T87" s="93">
        <f t="shared" si="18"/>
        <v>0</v>
      </c>
      <c r="U87" s="93">
        <f t="shared" si="18"/>
        <v>0</v>
      </c>
      <c r="V87" s="93">
        <f t="shared" si="18"/>
        <v>0</v>
      </c>
      <c r="W87" s="93">
        <f t="shared" si="18"/>
        <v>0</v>
      </c>
      <c r="X87" s="93">
        <f t="shared" si="18"/>
        <v>0</v>
      </c>
      <c r="Y87" s="93">
        <f t="shared" si="18"/>
        <v>0</v>
      </c>
      <c r="Z87" s="93">
        <f t="shared" si="18"/>
        <v>0</v>
      </c>
      <c r="AA87" s="93">
        <f t="shared" si="18"/>
        <v>0</v>
      </c>
      <c r="AB87" s="93">
        <f t="shared" si="18"/>
        <v>0</v>
      </c>
      <c r="AC87" s="93">
        <f t="shared" si="18"/>
        <v>0</v>
      </c>
      <c r="AD87" s="93">
        <f t="shared" si="18"/>
        <v>0</v>
      </c>
      <c r="AE87" s="93">
        <f t="shared" si="18"/>
        <v>0</v>
      </c>
      <c r="AF87" s="93">
        <f t="shared" si="18"/>
        <v>0</v>
      </c>
      <c r="AG87" s="92"/>
      <c r="AH87" s="20">
        <f t="shared" si="9"/>
        <v>0</v>
      </c>
      <c r="AI87" s="19">
        <f t="shared" si="10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9"/>
        <v>0</v>
      </c>
      <c r="AI88" s="19">
        <f t="shared" si="10"/>
        <v>0</v>
      </c>
    </row>
    <row r="89" spans="1:37" ht="15.75" thickBot="1" x14ac:dyDescent="0.3">
      <c r="A89" s="88" t="s">
        <v>150</v>
      </c>
      <c r="B89" s="86">
        <f t="shared" ref="B89:AF89" si="19">SUM(B83:B88)</f>
        <v>462</v>
      </c>
      <c r="C89" s="86">
        <f t="shared" si="19"/>
        <v>429</v>
      </c>
      <c r="D89" s="86">
        <f t="shared" si="19"/>
        <v>461</v>
      </c>
      <c r="E89" s="86">
        <f t="shared" si="19"/>
        <v>426.8</v>
      </c>
      <c r="F89" s="86">
        <f t="shared" si="19"/>
        <v>427.5</v>
      </c>
      <c r="G89" s="86">
        <f t="shared" si="19"/>
        <v>440.2</v>
      </c>
      <c r="H89" s="86">
        <f t="shared" si="19"/>
        <v>431.1</v>
      </c>
      <c r="I89" s="86">
        <f t="shared" si="19"/>
        <v>447</v>
      </c>
      <c r="J89" s="86">
        <f t="shared" si="19"/>
        <v>442</v>
      </c>
      <c r="K89" s="86">
        <f t="shared" si="19"/>
        <v>457.8</v>
      </c>
      <c r="L89" s="86">
        <f t="shared" si="19"/>
        <v>358</v>
      </c>
      <c r="M89" s="86">
        <f t="shared" si="19"/>
        <v>396.5</v>
      </c>
      <c r="N89" s="86">
        <f t="shared" si="19"/>
        <v>419.9</v>
      </c>
      <c r="O89" s="86">
        <f t="shared" si="19"/>
        <v>390.8</v>
      </c>
      <c r="P89" s="86">
        <f t="shared" si="19"/>
        <v>350.2</v>
      </c>
      <c r="Q89" s="86">
        <f t="shared" si="19"/>
        <v>324.7</v>
      </c>
      <c r="R89" s="86">
        <f t="shared" si="19"/>
        <v>340</v>
      </c>
      <c r="S89" s="86">
        <f t="shared" si="19"/>
        <v>361</v>
      </c>
      <c r="T89" s="86">
        <f t="shared" si="19"/>
        <v>373</v>
      </c>
      <c r="U89" s="86">
        <f t="shared" si="19"/>
        <v>381</v>
      </c>
      <c r="V89" s="86">
        <f t="shared" si="19"/>
        <v>347</v>
      </c>
      <c r="W89" s="86">
        <f t="shared" si="19"/>
        <v>347</v>
      </c>
      <c r="X89" s="86">
        <f t="shared" si="19"/>
        <v>267</v>
      </c>
      <c r="Y89" s="86">
        <f t="shared" si="19"/>
        <v>195</v>
      </c>
      <c r="Z89" s="86">
        <f t="shared" si="19"/>
        <v>289</v>
      </c>
      <c r="AA89" s="86">
        <f t="shared" si="19"/>
        <v>298</v>
      </c>
      <c r="AB89" s="86">
        <f t="shared" si="19"/>
        <v>298</v>
      </c>
      <c r="AC89" s="86">
        <f t="shared" si="19"/>
        <v>314.60000000000002</v>
      </c>
      <c r="AD89" s="86">
        <f t="shared" si="19"/>
        <v>355.7</v>
      </c>
      <c r="AE89" s="86">
        <f t="shared" si="19"/>
        <v>398</v>
      </c>
      <c r="AF89" s="86">
        <f t="shared" si="19"/>
        <v>396.6</v>
      </c>
      <c r="AG89" s="85"/>
      <c r="AH89" s="20">
        <f t="shared" si="9"/>
        <v>462</v>
      </c>
      <c r="AI89" s="19">
        <f t="shared" si="10"/>
        <v>195</v>
      </c>
      <c r="AK89" s="41"/>
    </row>
    <row r="90" spans="1:37" ht="15.75" thickBot="1" x14ac:dyDescent="0.3">
      <c r="A90" s="87" t="s">
        <v>149</v>
      </c>
      <c r="B90" s="86">
        <f t="shared" ref="B90:AF90" si="20">B74-B89</f>
        <v>-451</v>
      </c>
      <c r="C90" s="86">
        <f t="shared" si="20"/>
        <v>-410.7</v>
      </c>
      <c r="D90" s="86">
        <f t="shared" si="20"/>
        <v>-440.3</v>
      </c>
      <c r="E90" s="86">
        <f t="shared" si="20"/>
        <v>-421.8</v>
      </c>
      <c r="F90" s="86">
        <f t="shared" si="20"/>
        <v>-422.5</v>
      </c>
      <c r="G90" s="86">
        <f t="shared" si="20"/>
        <v>-440.2</v>
      </c>
      <c r="H90" s="86">
        <f t="shared" si="20"/>
        <v>-431.1</v>
      </c>
      <c r="I90" s="86">
        <f t="shared" si="20"/>
        <v>-447</v>
      </c>
      <c r="J90" s="86">
        <f t="shared" si="20"/>
        <v>-442</v>
      </c>
      <c r="K90" s="86">
        <f t="shared" si="20"/>
        <v>-457.8</v>
      </c>
      <c r="L90" s="86">
        <f t="shared" si="20"/>
        <v>-338.2</v>
      </c>
      <c r="M90" s="86">
        <f t="shared" si="20"/>
        <v>-390</v>
      </c>
      <c r="N90" s="86">
        <f t="shared" si="20"/>
        <v>-409.7</v>
      </c>
      <c r="O90" s="86">
        <f t="shared" si="20"/>
        <v>-378.1</v>
      </c>
      <c r="P90" s="86">
        <f t="shared" si="20"/>
        <v>-331.5</v>
      </c>
      <c r="Q90" s="86">
        <f t="shared" si="20"/>
        <v>-274</v>
      </c>
      <c r="R90" s="86">
        <f t="shared" si="20"/>
        <v>-291.2</v>
      </c>
      <c r="S90" s="86">
        <f t="shared" si="20"/>
        <v>-309.10000000000002</v>
      </c>
      <c r="T90" s="86">
        <f t="shared" si="20"/>
        <v>-319.7</v>
      </c>
      <c r="U90" s="86">
        <f t="shared" si="20"/>
        <v>-322.7</v>
      </c>
      <c r="V90" s="86">
        <f t="shared" si="20"/>
        <v>-302.7</v>
      </c>
      <c r="W90" s="86">
        <f t="shared" si="20"/>
        <v>-302.7</v>
      </c>
      <c r="X90" s="86">
        <f t="shared" si="20"/>
        <v>-257.3</v>
      </c>
      <c r="Y90" s="86">
        <f t="shared" si="20"/>
        <v>-132.6</v>
      </c>
      <c r="Z90" s="86">
        <f t="shared" si="20"/>
        <v>-224</v>
      </c>
      <c r="AA90" s="86">
        <f t="shared" si="20"/>
        <v>-227.3</v>
      </c>
      <c r="AB90" s="86">
        <f t="shared" si="20"/>
        <v>-232.3</v>
      </c>
      <c r="AC90" s="86">
        <f t="shared" si="20"/>
        <v>-242.90000000000003</v>
      </c>
      <c r="AD90" s="86">
        <f t="shared" si="20"/>
        <v>-319.5</v>
      </c>
      <c r="AE90" s="86">
        <f t="shared" si="20"/>
        <v>-379</v>
      </c>
      <c r="AF90" s="86">
        <f t="shared" si="20"/>
        <v>-384.6</v>
      </c>
      <c r="AG90" s="85"/>
      <c r="AH90" s="20">
        <f t="shared" si="9"/>
        <v>-132.6</v>
      </c>
      <c r="AI90" s="19">
        <f t="shared" si="10"/>
        <v>-457.8</v>
      </c>
    </row>
    <row r="91" spans="1:37" x14ac:dyDescent="0.25">
      <c r="A91" s="47" t="s">
        <v>148</v>
      </c>
      <c r="B91" s="84">
        <v>50.042000000000002</v>
      </c>
      <c r="C91" s="84">
        <v>50.015999999999998</v>
      </c>
      <c r="D91" s="84">
        <v>49.966000000000001</v>
      </c>
      <c r="E91" s="84">
        <v>50.014000000000003</v>
      </c>
      <c r="F91" s="84">
        <v>50.04</v>
      </c>
      <c r="G91" s="84">
        <v>50.023000000000003</v>
      </c>
      <c r="H91" s="84">
        <v>50.052999999999997</v>
      </c>
      <c r="I91" s="84">
        <v>50.029000000000003</v>
      </c>
      <c r="J91" s="84">
        <v>49.95</v>
      </c>
      <c r="K91" s="84">
        <v>49.993000000000002</v>
      </c>
      <c r="L91" s="84">
        <v>49.994999999999997</v>
      </c>
      <c r="M91" s="84">
        <v>50.06</v>
      </c>
      <c r="N91" s="84">
        <v>49.993000000000002</v>
      </c>
      <c r="O91" s="84">
        <v>49.962000000000003</v>
      </c>
      <c r="P91" s="84">
        <v>49.982999999999997</v>
      </c>
      <c r="Q91" s="84">
        <v>49.970999999999997</v>
      </c>
      <c r="R91" s="84">
        <v>49.972999999999999</v>
      </c>
      <c r="S91" s="84">
        <v>50.048000000000002</v>
      </c>
      <c r="T91" s="84">
        <v>49.966000000000001</v>
      </c>
      <c r="U91" s="84">
        <v>49.985999999999997</v>
      </c>
      <c r="V91" s="84">
        <v>50.012999999999998</v>
      </c>
      <c r="W91" s="84">
        <v>50.031999999999996</v>
      </c>
      <c r="X91" s="84">
        <v>49.9</v>
      </c>
      <c r="Y91" s="84">
        <v>49.844000000000001</v>
      </c>
      <c r="Z91" s="84">
        <v>49.912999999999997</v>
      </c>
      <c r="AA91" s="84">
        <v>49.996000000000002</v>
      </c>
      <c r="AB91" s="84">
        <v>50.03</v>
      </c>
      <c r="AC91" s="84">
        <v>50.02</v>
      </c>
      <c r="AD91" s="84">
        <v>50.052999999999997</v>
      </c>
      <c r="AE91" s="84">
        <v>50.029000000000003</v>
      </c>
      <c r="AF91" s="84">
        <v>49.906999999999996</v>
      </c>
      <c r="AG91" s="83"/>
      <c r="AH91" s="20">
        <f t="shared" si="9"/>
        <v>50.06</v>
      </c>
      <c r="AI91" s="19">
        <f t="shared" si="10"/>
        <v>49.844000000000001</v>
      </c>
    </row>
    <row r="92" spans="1:37" x14ac:dyDescent="0.25">
      <c r="A92" s="44" t="s">
        <v>147</v>
      </c>
      <c r="B92" s="80">
        <v>124.9</v>
      </c>
      <c r="C92" s="80">
        <v>126</v>
      </c>
      <c r="D92" s="80">
        <v>124.7</v>
      </c>
      <c r="E92" s="80">
        <v>126.8</v>
      </c>
      <c r="F92" s="80">
        <v>125.8</v>
      </c>
      <c r="G92" s="80">
        <v>126.1</v>
      </c>
      <c r="H92" s="80">
        <v>125.4</v>
      </c>
      <c r="I92" s="80">
        <v>125.2</v>
      </c>
      <c r="J92" s="80">
        <v>124.4</v>
      </c>
      <c r="K92" s="80">
        <v>124</v>
      </c>
      <c r="L92" s="80">
        <v>121.5</v>
      </c>
      <c r="M92" s="80">
        <v>121.7</v>
      </c>
      <c r="N92" s="80">
        <v>122.2</v>
      </c>
      <c r="O92" s="80">
        <v>120.8</v>
      </c>
      <c r="P92" s="80">
        <v>120.8</v>
      </c>
      <c r="Q92" s="80">
        <v>118.2</v>
      </c>
      <c r="R92" s="80">
        <v>117.2</v>
      </c>
      <c r="S92" s="80">
        <v>121.3</v>
      </c>
      <c r="T92" s="80">
        <v>120.6</v>
      </c>
      <c r="U92" s="80">
        <v>119.7</v>
      </c>
      <c r="V92" s="80">
        <v>122.5</v>
      </c>
      <c r="W92" s="80">
        <v>124.5</v>
      </c>
      <c r="X92" s="80">
        <v>124.1</v>
      </c>
      <c r="Y92" s="80">
        <v>122.5</v>
      </c>
      <c r="Z92" s="80">
        <v>124.5</v>
      </c>
      <c r="AA92" s="80">
        <v>124.7</v>
      </c>
      <c r="AB92" s="80">
        <v>125.7</v>
      </c>
      <c r="AC92" s="80">
        <v>124.7</v>
      </c>
      <c r="AD92" s="80">
        <v>124.9</v>
      </c>
      <c r="AE92" s="80">
        <v>124.9</v>
      </c>
      <c r="AF92" s="80">
        <v>125</v>
      </c>
      <c r="AG92" s="79"/>
      <c r="AH92" s="20">
        <f t="shared" si="9"/>
        <v>126.8</v>
      </c>
      <c r="AI92" s="19">
        <f t="shared" si="10"/>
        <v>117.2</v>
      </c>
    </row>
    <row r="93" spans="1:37" x14ac:dyDescent="0.25">
      <c r="A93" s="44" t="s">
        <v>146</v>
      </c>
      <c r="B93" s="80">
        <v>129.5</v>
      </c>
      <c r="C93" s="80">
        <v>130.19999999999999</v>
      </c>
      <c r="D93" s="80">
        <v>129.5</v>
      </c>
      <c r="E93" s="80">
        <v>131.1</v>
      </c>
      <c r="F93" s="80">
        <v>130.30000000000001</v>
      </c>
      <c r="G93" s="80">
        <v>130</v>
      </c>
      <c r="H93" s="80">
        <v>129.5</v>
      </c>
      <c r="I93" s="80">
        <v>129</v>
      </c>
      <c r="J93" s="80">
        <v>127.5</v>
      </c>
      <c r="K93" s="80">
        <v>127.6</v>
      </c>
      <c r="L93" s="80">
        <v>125.9</v>
      </c>
      <c r="M93" s="80">
        <v>126</v>
      </c>
      <c r="N93" s="80">
        <v>125.9</v>
      </c>
      <c r="O93" s="80">
        <v>124.8</v>
      </c>
      <c r="P93" s="80">
        <v>125.3</v>
      </c>
      <c r="Q93" s="80">
        <v>128.19999999999999</v>
      </c>
      <c r="R93" s="80">
        <v>128</v>
      </c>
      <c r="S93" s="80">
        <v>125.8</v>
      </c>
      <c r="T93" s="80">
        <v>125.2</v>
      </c>
      <c r="U93" s="80">
        <v>124.4</v>
      </c>
      <c r="V93" s="80">
        <v>126.7</v>
      </c>
      <c r="W93" s="80">
        <v>127.8</v>
      </c>
      <c r="X93" s="80">
        <v>127.5</v>
      </c>
      <c r="Y93" s="80">
        <v>126.2</v>
      </c>
      <c r="Z93" s="80">
        <v>128</v>
      </c>
      <c r="AA93" s="80">
        <v>128.4</v>
      </c>
      <c r="AB93" s="80">
        <v>129</v>
      </c>
      <c r="AC93" s="80">
        <v>128.5</v>
      </c>
      <c r="AD93" s="80">
        <v>128.69999999999999</v>
      </c>
      <c r="AE93" s="80">
        <v>128.69999999999999</v>
      </c>
      <c r="AF93" s="80">
        <v>129.80000000000001</v>
      </c>
      <c r="AG93" s="79"/>
      <c r="AH93" s="20">
        <f t="shared" si="9"/>
        <v>131.1</v>
      </c>
      <c r="AI93" s="19">
        <f t="shared" si="10"/>
        <v>124.4</v>
      </c>
    </row>
    <row r="94" spans="1:37" x14ac:dyDescent="0.25">
      <c r="A94" s="44" t="s">
        <v>145</v>
      </c>
      <c r="B94" s="80">
        <v>129.30000000000001</v>
      </c>
      <c r="C94" s="80">
        <v>128.69999999999999</v>
      </c>
      <c r="D94" s="80">
        <v>130</v>
      </c>
      <c r="E94" s="80">
        <v>130.5</v>
      </c>
      <c r="F94" s="80">
        <v>131.1</v>
      </c>
      <c r="G94" s="80">
        <v>129.80000000000001</v>
      </c>
      <c r="H94" s="80">
        <v>129.9</v>
      </c>
      <c r="I94" s="80">
        <v>130.69999999999999</v>
      </c>
      <c r="J94" s="80">
        <v>130.19999999999999</v>
      </c>
      <c r="K94" s="80">
        <v>128</v>
      </c>
      <c r="L94" s="80">
        <v>127.3</v>
      </c>
      <c r="M94" s="80">
        <v>126.5</v>
      </c>
      <c r="N94" s="80">
        <v>126.1</v>
      </c>
      <c r="O94" s="80">
        <v>126.5</v>
      </c>
      <c r="P94" s="80">
        <v>126.5</v>
      </c>
      <c r="Q94" s="80">
        <v>127.5</v>
      </c>
      <c r="R94" s="80">
        <v>127.3</v>
      </c>
      <c r="S94" s="80">
        <v>127.7</v>
      </c>
      <c r="T94" s="80">
        <v>128.4</v>
      </c>
      <c r="U94" s="80">
        <v>128.4</v>
      </c>
      <c r="V94" s="80">
        <v>128.4</v>
      </c>
      <c r="W94" s="80">
        <v>128.80000000000001</v>
      </c>
      <c r="X94" s="80">
        <v>130.80000000000001</v>
      </c>
      <c r="Y94" s="80">
        <v>128.4</v>
      </c>
      <c r="Z94" s="80">
        <v>128.5</v>
      </c>
      <c r="AA94" s="80">
        <v>127.3</v>
      </c>
      <c r="AB94" s="80">
        <v>129.4</v>
      </c>
      <c r="AC94" s="80">
        <v>128.69999999999999</v>
      </c>
      <c r="AD94" s="80">
        <v>128</v>
      </c>
      <c r="AE94" s="80">
        <v>128</v>
      </c>
      <c r="AF94" s="80">
        <v>127</v>
      </c>
      <c r="AG94" s="79"/>
      <c r="AH94" s="20">
        <f t="shared" si="9"/>
        <v>131.1</v>
      </c>
      <c r="AI94" s="19">
        <f t="shared" si="10"/>
        <v>126.1</v>
      </c>
    </row>
    <row r="95" spans="1:37" x14ac:dyDescent="0.25">
      <c r="A95" s="82" t="s">
        <v>144</v>
      </c>
      <c r="B95" s="80">
        <v>132.30000000000001</v>
      </c>
      <c r="C95" s="80">
        <v>132.30000000000001</v>
      </c>
      <c r="D95" s="80">
        <v>133.80000000000001</v>
      </c>
      <c r="E95" s="80">
        <v>134.5</v>
      </c>
      <c r="F95" s="80">
        <v>135.1</v>
      </c>
      <c r="G95" s="80">
        <v>133.80000000000001</v>
      </c>
      <c r="H95" s="80">
        <v>133.69999999999999</v>
      </c>
      <c r="I95" s="80">
        <v>134.30000000000001</v>
      </c>
      <c r="J95" s="80">
        <v>134.19999999999999</v>
      </c>
      <c r="K95" s="80">
        <v>131.80000000000001</v>
      </c>
      <c r="L95" s="80">
        <v>128.80000000000001</v>
      </c>
      <c r="M95" s="80">
        <v>129.30000000000001</v>
      </c>
      <c r="N95" s="80">
        <v>128.6</v>
      </c>
      <c r="O95" s="80">
        <v>128.1</v>
      </c>
      <c r="P95" s="80">
        <v>127.1</v>
      </c>
      <c r="Q95" s="80">
        <v>129.5</v>
      </c>
      <c r="R95" s="80">
        <v>130</v>
      </c>
      <c r="S95" s="80">
        <v>129.4</v>
      </c>
      <c r="T95" s="80">
        <v>130</v>
      </c>
      <c r="U95" s="80">
        <v>129.80000000000001</v>
      </c>
      <c r="V95" s="80">
        <v>130.19999999999999</v>
      </c>
      <c r="W95" s="80">
        <v>130.80000000000001</v>
      </c>
      <c r="X95" s="80">
        <v>131.6</v>
      </c>
      <c r="Y95" s="80">
        <v>129.80000000000001</v>
      </c>
      <c r="Z95" s="80">
        <v>130.80000000000001</v>
      </c>
      <c r="AA95" s="80">
        <v>130.19999999999999</v>
      </c>
      <c r="AB95" s="80">
        <v>131.69999999999999</v>
      </c>
      <c r="AC95" s="80">
        <v>131.19999999999999</v>
      </c>
      <c r="AD95" s="80">
        <v>131</v>
      </c>
      <c r="AE95" s="80">
        <v>131</v>
      </c>
      <c r="AF95" s="80">
        <v>131.69999999999999</v>
      </c>
      <c r="AG95" s="79"/>
      <c r="AH95" s="20">
        <f t="shared" si="9"/>
        <v>135.1</v>
      </c>
      <c r="AI95" s="19">
        <f t="shared" si="10"/>
        <v>127.1</v>
      </c>
    </row>
    <row r="96" spans="1:37" x14ac:dyDescent="0.25">
      <c r="A96" s="82" t="s">
        <v>143</v>
      </c>
      <c r="B96" s="66">
        <v>132.30000000000001</v>
      </c>
      <c r="C96" s="66">
        <v>130.5</v>
      </c>
      <c r="D96" s="66">
        <v>132.69999999999999</v>
      </c>
      <c r="E96" s="66">
        <v>133</v>
      </c>
      <c r="F96" s="66">
        <v>132.9</v>
      </c>
      <c r="G96" s="66">
        <v>128.9</v>
      </c>
      <c r="H96" s="66">
        <v>132.30000000000001</v>
      </c>
      <c r="I96" s="66">
        <v>130.9</v>
      </c>
      <c r="J96" s="66">
        <v>130</v>
      </c>
      <c r="K96" s="66">
        <v>132.5</v>
      </c>
      <c r="L96" s="66">
        <v>131.69999999999999</v>
      </c>
      <c r="M96" s="66">
        <v>132.4</v>
      </c>
      <c r="N96" s="66">
        <v>132.19999999999999</v>
      </c>
      <c r="O96" s="66">
        <v>130.69999999999999</v>
      </c>
      <c r="P96" s="66">
        <v>132.6</v>
      </c>
      <c r="Q96" s="66">
        <v>132.19999999999999</v>
      </c>
      <c r="R96" s="66">
        <v>132.69999999999999</v>
      </c>
      <c r="S96" s="66">
        <v>132</v>
      </c>
      <c r="T96" s="66">
        <v>131</v>
      </c>
      <c r="U96" s="66">
        <v>131.6</v>
      </c>
      <c r="V96" s="66">
        <v>132.9</v>
      </c>
      <c r="W96" s="66">
        <v>130</v>
      </c>
      <c r="X96" s="66">
        <v>132.1</v>
      </c>
      <c r="Y96" s="66">
        <v>131.19999999999999</v>
      </c>
      <c r="Z96" s="66">
        <v>131.6</v>
      </c>
      <c r="AA96" s="66">
        <v>133</v>
      </c>
      <c r="AB96" s="66">
        <v>134.19999999999999</v>
      </c>
      <c r="AC96" s="66">
        <v>130.19999999999999</v>
      </c>
      <c r="AD96" s="66">
        <v>131.69999999999999</v>
      </c>
      <c r="AE96" s="66">
        <v>131.69999999999999</v>
      </c>
      <c r="AF96" s="66">
        <v>132</v>
      </c>
      <c r="AG96" s="81"/>
      <c r="AH96" s="20">
        <f t="shared" si="9"/>
        <v>134.19999999999999</v>
      </c>
      <c r="AI96" s="19">
        <f t="shared" si="10"/>
        <v>128.9</v>
      </c>
    </row>
    <row r="97" spans="1:37" x14ac:dyDescent="0.25">
      <c r="A97" s="44" t="s">
        <v>142</v>
      </c>
      <c r="B97" s="80">
        <v>131.6</v>
      </c>
      <c r="C97" s="80">
        <v>133.1</v>
      </c>
      <c r="D97" s="80">
        <v>133.19999999999999</v>
      </c>
      <c r="E97" s="80">
        <v>134.30000000000001</v>
      </c>
      <c r="F97" s="80">
        <v>134.80000000000001</v>
      </c>
      <c r="G97" s="80">
        <v>125.7</v>
      </c>
      <c r="H97" s="80">
        <v>132</v>
      </c>
      <c r="I97" s="80">
        <v>127.9</v>
      </c>
      <c r="J97" s="80">
        <v>126.6</v>
      </c>
      <c r="K97" s="80">
        <v>131.6</v>
      </c>
      <c r="L97" s="80">
        <v>132</v>
      </c>
      <c r="M97" s="80">
        <v>130.9</v>
      </c>
      <c r="N97" s="80">
        <v>129.5</v>
      </c>
      <c r="O97" s="80">
        <v>123.5</v>
      </c>
      <c r="P97" s="80">
        <v>130.6</v>
      </c>
      <c r="Q97" s="80">
        <v>129.6</v>
      </c>
      <c r="R97" s="80">
        <v>130.4</v>
      </c>
      <c r="S97" s="80">
        <v>128.5</v>
      </c>
      <c r="T97" s="80">
        <v>126</v>
      </c>
      <c r="U97" s="80">
        <v>128.4</v>
      </c>
      <c r="V97" s="80">
        <v>129.19999999999999</v>
      </c>
      <c r="W97" s="80">
        <v>126.1</v>
      </c>
      <c r="X97" s="80">
        <v>128</v>
      </c>
      <c r="Y97" s="80">
        <v>127</v>
      </c>
      <c r="Z97" s="80">
        <v>127.2</v>
      </c>
      <c r="AA97" s="80">
        <v>132</v>
      </c>
      <c r="AB97" s="80">
        <v>127.9</v>
      </c>
      <c r="AC97" s="80">
        <v>128.80000000000001</v>
      </c>
      <c r="AD97" s="80">
        <v>130.4</v>
      </c>
      <c r="AE97" s="80">
        <v>130.4</v>
      </c>
      <c r="AF97" s="80">
        <v>130</v>
      </c>
      <c r="AG97" s="79"/>
      <c r="AH97" s="20">
        <f t="shared" si="9"/>
        <v>134.80000000000001</v>
      </c>
      <c r="AI97" s="19">
        <f t="shared" si="10"/>
        <v>123.5</v>
      </c>
    </row>
    <row r="98" spans="1:37" ht="15.75" thickBot="1" x14ac:dyDescent="0.3">
      <c r="A98" s="44" t="s">
        <v>141</v>
      </c>
      <c r="B98" s="77">
        <v>65.400000000000006</v>
      </c>
      <c r="C98" s="77">
        <v>65.7</v>
      </c>
      <c r="D98" s="77">
        <v>65.599999999999994</v>
      </c>
      <c r="E98" s="77">
        <v>66.2</v>
      </c>
      <c r="F98" s="77">
        <v>65.8</v>
      </c>
      <c r="G98" s="77">
        <v>65.5</v>
      </c>
      <c r="H98" s="77">
        <v>65</v>
      </c>
      <c r="I98" s="77">
        <v>65.099999999999994</v>
      </c>
      <c r="J98" s="77">
        <v>64</v>
      </c>
      <c r="K98" s="77">
        <v>64.400000000000006</v>
      </c>
      <c r="L98" s="77">
        <v>63.6</v>
      </c>
      <c r="M98" s="77">
        <v>63.7</v>
      </c>
      <c r="N98" s="77">
        <v>63.4</v>
      </c>
      <c r="O98" s="77">
        <v>62.8</v>
      </c>
      <c r="P98" s="77">
        <v>63</v>
      </c>
      <c r="Q98" s="77">
        <v>64.7</v>
      </c>
      <c r="R98" s="77">
        <v>64.2</v>
      </c>
      <c r="S98" s="77">
        <v>63.2</v>
      </c>
      <c r="T98" s="77">
        <v>63</v>
      </c>
      <c r="U98" s="77">
        <v>62.5</v>
      </c>
      <c r="V98" s="77">
        <v>63.8</v>
      </c>
      <c r="W98" s="77">
        <v>64.3</v>
      </c>
      <c r="X98" s="77">
        <v>64.3</v>
      </c>
      <c r="Y98" s="77">
        <v>63.7</v>
      </c>
      <c r="Z98" s="77">
        <v>64.5</v>
      </c>
      <c r="AA98" s="77">
        <v>64.8</v>
      </c>
      <c r="AB98" s="77">
        <v>64.8</v>
      </c>
      <c r="AC98" s="77">
        <v>64.400000000000006</v>
      </c>
      <c r="AD98" s="77">
        <v>64.599999999999994</v>
      </c>
      <c r="AE98" s="77">
        <v>64.599999999999994</v>
      </c>
      <c r="AF98" s="77">
        <v>65</v>
      </c>
      <c r="AG98" s="76"/>
      <c r="AH98" s="20">
        <f t="shared" si="9"/>
        <v>66.2</v>
      </c>
      <c r="AI98" s="19">
        <f t="shared" si="10"/>
        <v>62.5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9"/>
        <v>0</v>
      </c>
      <c r="AI99" s="19">
        <f t="shared" si="10"/>
        <v>0</v>
      </c>
    </row>
    <row r="100" spans="1:37" ht="15.75" thickBot="1" x14ac:dyDescent="0.3">
      <c r="A100" s="75" t="s">
        <v>140</v>
      </c>
      <c r="B100" s="74">
        <f t="shared" ref="B100:AF100" si="21">SUM(B15,B20,B22:B23,B48,B50:B51,B53,B55,B101:B105,B127,B133,B139,B148,B150,B162,B169,B172:B173,B180,B182,B184,B188:B190,B192:B194,B199,B205:B206,B208:B210,B218,B223)</f>
        <v>47.499999999999972</v>
      </c>
      <c r="C100" s="74">
        <f t="shared" si="21"/>
        <v>93.539999999999964</v>
      </c>
      <c r="D100" s="74">
        <f t="shared" si="21"/>
        <v>76.84</v>
      </c>
      <c r="E100" s="74">
        <f t="shared" si="21"/>
        <v>75.539999999999992</v>
      </c>
      <c r="F100" s="74">
        <f t="shared" si="21"/>
        <v>76.639999999999972</v>
      </c>
      <c r="G100" s="74">
        <f t="shared" si="21"/>
        <v>51.34</v>
      </c>
      <c r="H100" s="74">
        <f t="shared" si="21"/>
        <v>68.039999999999949</v>
      </c>
      <c r="I100" s="74">
        <f t="shared" si="21"/>
        <v>92.84</v>
      </c>
      <c r="J100" s="74">
        <f t="shared" si="21"/>
        <v>128.04</v>
      </c>
      <c r="K100" s="74">
        <f t="shared" si="21"/>
        <v>153.54</v>
      </c>
      <c r="L100" s="74">
        <f t="shared" si="21"/>
        <v>182.14</v>
      </c>
      <c r="M100" s="74">
        <f t="shared" si="21"/>
        <v>211.74000000000004</v>
      </c>
      <c r="N100" s="74">
        <f t="shared" si="21"/>
        <v>196.84</v>
      </c>
      <c r="O100" s="74">
        <f t="shared" si="21"/>
        <v>242.93999999999997</v>
      </c>
      <c r="P100" s="74">
        <f t="shared" si="21"/>
        <v>195.03999999999996</v>
      </c>
      <c r="Q100" s="74">
        <f t="shared" si="21"/>
        <v>184.4</v>
      </c>
      <c r="R100" s="74">
        <f t="shared" si="21"/>
        <v>170.6</v>
      </c>
      <c r="S100" s="74">
        <f t="shared" si="21"/>
        <v>200.8</v>
      </c>
      <c r="T100" s="74">
        <f t="shared" si="21"/>
        <v>219.7</v>
      </c>
      <c r="U100" s="74">
        <f t="shared" si="21"/>
        <v>204.89999999999998</v>
      </c>
      <c r="V100" s="74">
        <f t="shared" si="21"/>
        <v>223.5</v>
      </c>
      <c r="W100" s="74">
        <f t="shared" si="21"/>
        <v>215.2</v>
      </c>
      <c r="X100" s="74">
        <f t="shared" si="21"/>
        <v>265.00000000000006</v>
      </c>
      <c r="Y100" s="74">
        <f t="shared" si="21"/>
        <v>291.7</v>
      </c>
      <c r="Z100" s="74">
        <f t="shared" si="21"/>
        <v>264.60000000000002</v>
      </c>
      <c r="AA100" s="74">
        <f t="shared" si="21"/>
        <v>248.29999999999998</v>
      </c>
      <c r="AB100" s="74">
        <f t="shared" si="21"/>
        <v>204.20000000000005</v>
      </c>
      <c r="AC100" s="74">
        <f t="shared" si="21"/>
        <v>200.3</v>
      </c>
      <c r="AD100" s="74">
        <f t="shared" si="21"/>
        <v>163.60000000000002</v>
      </c>
      <c r="AE100" s="74">
        <f t="shared" si="21"/>
        <v>106.4</v>
      </c>
      <c r="AF100" s="74">
        <f t="shared" si="21"/>
        <v>74.499999999999986</v>
      </c>
      <c r="AG100" s="73"/>
      <c r="AH100" s="20">
        <f t="shared" si="9"/>
        <v>291.7</v>
      </c>
      <c r="AI100" s="19">
        <f t="shared" si="10"/>
        <v>47.499999999999972</v>
      </c>
    </row>
    <row r="101" spans="1:37" x14ac:dyDescent="0.25">
      <c r="A101" s="47" t="s">
        <v>139</v>
      </c>
      <c r="B101" s="72">
        <v>11</v>
      </c>
      <c r="C101" s="72">
        <v>17.5</v>
      </c>
      <c r="D101" s="72">
        <v>9.4</v>
      </c>
      <c r="E101" s="72">
        <v>4</v>
      </c>
      <c r="F101" s="72">
        <v>11.9</v>
      </c>
      <c r="G101" s="72">
        <v>0.9</v>
      </c>
      <c r="H101" s="72">
        <v>7.2</v>
      </c>
      <c r="I101" s="72">
        <v>8.3000000000000007</v>
      </c>
      <c r="J101" s="72">
        <v>14</v>
      </c>
      <c r="K101" s="72">
        <v>26.3</v>
      </c>
      <c r="L101" s="72">
        <v>26.9</v>
      </c>
      <c r="M101" s="72">
        <v>29.8</v>
      </c>
      <c r="N101" s="72">
        <v>36.5</v>
      </c>
      <c r="O101" s="72">
        <v>61.6</v>
      </c>
      <c r="P101" s="72">
        <v>35.799999999999997</v>
      </c>
      <c r="Q101" s="72">
        <v>8.4</v>
      </c>
      <c r="R101" s="72">
        <v>4</v>
      </c>
      <c r="S101" s="72">
        <v>36.5</v>
      </c>
      <c r="T101" s="72">
        <v>38</v>
      </c>
      <c r="U101" s="72">
        <v>38.9</v>
      </c>
      <c r="V101" s="72">
        <v>38.299999999999997</v>
      </c>
      <c r="W101" s="72">
        <v>34</v>
      </c>
      <c r="X101" s="72">
        <v>32.4</v>
      </c>
      <c r="Y101" s="72">
        <v>35.6</v>
      </c>
      <c r="Z101" s="72">
        <v>35.4</v>
      </c>
      <c r="AA101" s="72">
        <v>37</v>
      </c>
      <c r="AB101" s="72">
        <v>24.3</v>
      </c>
      <c r="AC101" s="72">
        <v>28.4</v>
      </c>
      <c r="AD101" s="72">
        <v>34.6</v>
      </c>
      <c r="AE101" s="72">
        <v>29</v>
      </c>
      <c r="AF101" s="72">
        <v>17.5</v>
      </c>
      <c r="AG101" s="70">
        <v>75</v>
      </c>
      <c r="AH101" s="20">
        <f t="shared" si="9"/>
        <v>61.6</v>
      </c>
      <c r="AI101" s="19">
        <f t="shared" si="10"/>
        <v>0.9</v>
      </c>
    </row>
    <row r="102" spans="1:37" x14ac:dyDescent="0.25">
      <c r="A102" s="44" t="s">
        <v>138</v>
      </c>
      <c r="B102" s="71">
        <v>30.1</v>
      </c>
      <c r="C102" s="71">
        <v>37.200000000000003</v>
      </c>
      <c r="D102" s="71">
        <v>24.8</v>
      </c>
      <c r="E102" s="71">
        <v>15.6</v>
      </c>
      <c r="F102" s="71">
        <v>27.6</v>
      </c>
      <c r="G102" s="71">
        <v>13.3</v>
      </c>
      <c r="H102" s="71">
        <v>20.2</v>
      </c>
      <c r="I102" s="71">
        <v>21.9</v>
      </c>
      <c r="J102" s="71">
        <v>28.4</v>
      </c>
      <c r="K102" s="71">
        <v>42.8</v>
      </c>
      <c r="L102" s="71">
        <v>35.200000000000003</v>
      </c>
      <c r="M102" s="71">
        <v>48.2</v>
      </c>
      <c r="N102" s="71">
        <v>57.7</v>
      </c>
      <c r="O102" s="71">
        <v>66.900000000000006</v>
      </c>
      <c r="P102" s="71">
        <v>58.2</v>
      </c>
      <c r="Q102" s="71">
        <v>15.8</v>
      </c>
      <c r="R102" s="71">
        <v>10</v>
      </c>
      <c r="S102" s="71">
        <v>60.4</v>
      </c>
      <c r="T102" s="71">
        <v>61.1</v>
      </c>
      <c r="U102" s="71">
        <v>62.2</v>
      </c>
      <c r="V102" s="71">
        <v>57.6</v>
      </c>
      <c r="W102" s="71">
        <v>53.1</v>
      </c>
      <c r="X102" s="71">
        <v>52.6</v>
      </c>
      <c r="Y102" s="71">
        <v>53.3</v>
      </c>
      <c r="Z102" s="71">
        <v>59</v>
      </c>
      <c r="AA102" s="71">
        <v>59.3</v>
      </c>
      <c r="AB102" s="71">
        <v>41.7</v>
      </c>
      <c r="AC102" s="71">
        <v>47.4</v>
      </c>
      <c r="AD102" s="71">
        <v>56.5</v>
      </c>
      <c r="AE102" s="71">
        <v>49</v>
      </c>
      <c r="AF102" s="71">
        <v>34.6</v>
      </c>
      <c r="AG102" s="70">
        <v>240</v>
      </c>
      <c r="AH102" s="20">
        <f t="shared" si="9"/>
        <v>66.900000000000006</v>
      </c>
      <c r="AI102" s="19">
        <f t="shared" si="10"/>
        <v>10</v>
      </c>
    </row>
    <row r="103" spans="1:37" x14ac:dyDescent="0.25">
      <c r="A103" s="44" t="s">
        <v>137</v>
      </c>
      <c r="B103" s="71">
        <f>-75-78</f>
        <v>-153</v>
      </c>
      <c r="C103" s="71">
        <f>-61-64</f>
        <v>-125</v>
      </c>
      <c r="D103" s="71">
        <f>-58.3-61.9</f>
        <v>-120.19999999999999</v>
      </c>
      <c r="E103" s="71">
        <f>-46.4-49.5</f>
        <v>-95.9</v>
      </c>
      <c r="F103" s="71">
        <f>-60.5-65</f>
        <v>-125.5</v>
      </c>
      <c r="G103" s="71">
        <f>-55-57.8</f>
        <v>-112.8</v>
      </c>
      <c r="H103" s="71">
        <f>-53.1-56.8</f>
        <v>-109.9</v>
      </c>
      <c r="I103" s="71">
        <f>-43.8-47</f>
        <v>-90.8</v>
      </c>
      <c r="J103" s="71">
        <f>-40-44.1</f>
        <v>-84.1</v>
      </c>
      <c r="K103" s="71">
        <f>-41.7-45.9</f>
        <v>-87.6</v>
      </c>
      <c r="L103" s="71">
        <f>-50-53.6</f>
        <v>-103.6</v>
      </c>
      <c r="M103" s="71">
        <f>-56.9-59.7</f>
        <v>-116.6</v>
      </c>
      <c r="N103" s="71">
        <f>-43-47</f>
        <v>-90</v>
      </c>
      <c r="O103" s="71">
        <f>-43-46.4</f>
        <v>-89.4</v>
      </c>
      <c r="P103" s="71">
        <f>-47-50</f>
        <v>-97</v>
      </c>
      <c r="Q103" s="71">
        <v>0</v>
      </c>
      <c r="R103" s="71">
        <v>0</v>
      </c>
      <c r="S103" s="71">
        <f>-47-50</f>
        <v>-97</v>
      </c>
      <c r="T103" s="71">
        <f>-40-42</f>
        <v>-82</v>
      </c>
      <c r="U103" s="71">
        <f>-47-50</f>
        <v>-97</v>
      </c>
      <c r="V103" s="71">
        <f>-35-38</f>
        <v>-73</v>
      </c>
      <c r="W103" s="71">
        <f>-34-37</f>
        <v>-71</v>
      </c>
      <c r="X103" s="71">
        <f>-42.6-46</f>
        <v>-88.6</v>
      </c>
      <c r="Y103" s="71">
        <f>-29.5-32.9</f>
        <v>-62.4</v>
      </c>
      <c r="Z103" s="71">
        <f>-43-48.4</f>
        <v>-91.4</v>
      </c>
      <c r="AA103" s="71">
        <f>-52-56</f>
        <v>-108</v>
      </c>
      <c r="AB103" s="71">
        <f>-57.4-61.1</f>
        <v>-118.5</v>
      </c>
      <c r="AC103" s="71">
        <f>-63.3-67.7</f>
        <v>-131</v>
      </c>
      <c r="AD103" s="71">
        <v>-116</v>
      </c>
      <c r="AE103" s="71">
        <v>-136</v>
      </c>
      <c r="AF103" s="71">
        <v>-141</v>
      </c>
      <c r="AG103" s="70">
        <v>240</v>
      </c>
      <c r="AH103" s="20">
        <f t="shared" si="9"/>
        <v>0</v>
      </c>
      <c r="AI103" s="19">
        <f t="shared" si="10"/>
        <v>-153</v>
      </c>
    </row>
    <row r="104" spans="1:37" x14ac:dyDescent="0.25">
      <c r="A104" s="44" t="s">
        <v>136</v>
      </c>
      <c r="B104" s="71">
        <v>-3.5</v>
      </c>
      <c r="C104" s="71">
        <v>0</v>
      </c>
      <c r="D104" s="71">
        <v>-1</v>
      </c>
      <c r="E104" s="71">
        <v>2.4</v>
      </c>
      <c r="F104" s="71">
        <v>-0.2</v>
      </c>
      <c r="G104" s="71">
        <v>2.2000000000000002</v>
      </c>
      <c r="H104" s="71">
        <v>2.8</v>
      </c>
      <c r="I104" s="71">
        <v>5.7</v>
      </c>
      <c r="J104" s="71">
        <v>7.2</v>
      </c>
      <c r="K104" s="71">
        <v>9.5</v>
      </c>
      <c r="L104" s="71">
        <v>7</v>
      </c>
      <c r="M104" s="71">
        <v>7.4</v>
      </c>
      <c r="N104" s="71">
        <v>11.1</v>
      </c>
      <c r="O104" s="71">
        <v>12</v>
      </c>
      <c r="P104" s="71">
        <v>11.2</v>
      </c>
      <c r="Q104" s="71">
        <v>-2.4</v>
      </c>
      <c r="R104" s="71">
        <v>-6</v>
      </c>
      <c r="S104" s="71">
        <v>10.3</v>
      </c>
      <c r="T104" s="71">
        <v>12</v>
      </c>
      <c r="U104" s="71">
        <v>10.199999999999999</v>
      </c>
      <c r="V104" s="71">
        <v>15</v>
      </c>
      <c r="W104" s="71">
        <v>13.5</v>
      </c>
      <c r="X104" s="71">
        <v>11.4</v>
      </c>
      <c r="Y104" s="71">
        <v>13.2</v>
      </c>
      <c r="Z104" s="71">
        <v>10</v>
      </c>
      <c r="AA104" s="71">
        <v>7.9</v>
      </c>
      <c r="AB104" s="71">
        <v>4.3</v>
      </c>
      <c r="AC104" s="71">
        <v>2.7</v>
      </c>
      <c r="AD104" s="71">
        <v>4.5</v>
      </c>
      <c r="AE104" s="71">
        <v>0.4</v>
      </c>
      <c r="AF104" s="71">
        <v>-0.7</v>
      </c>
      <c r="AG104" s="70">
        <v>60</v>
      </c>
      <c r="AH104" s="20">
        <f t="shared" si="9"/>
        <v>15</v>
      </c>
      <c r="AI104" s="19">
        <f t="shared" si="10"/>
        <v>-6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54.1</v>
      </c>
      <c r="M105" s="68">
        <v>63.4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61.6</v>
      </c>
      <c r="Y105" s="68">
        <v>63.4</v>
      </c>
      <c r="Z105" s="68">
        <v>63</v>
      </c>
      <c r="AA105" s="68">
        <v>63.5</v>
      </c>
      <c r="AB105" s="68">
        <v>63.8</v>
      </c>
      <c r="AC105" s="68">
        <v>63.8</v>
      </c>
      <c r="AD105" s="68">
        <v>0</v>
      </c>
      <c r="AE105" s="68">
        <v>0</v>
      </c>
      <c r="AF105" s="68">
        <v>0</v>
      </c>
      <c r="AG105" s="69">
        <v>120</v>
      </c>
      <c r="AH105" s="20">
        <f t="shared" si="9"/>
        <v>63.8</v>
      </c>
      <c r="AI105" s="19">
        <f t="shared" si="10"/>
        <v>0</v>
      </c>
    </row>
    <row r="106" spans="1:37" x14ac:dyDescent="0.25">
      <c r="A106" s="40" t="s">
        <v>134</v>
      </c>
      <c r="B106" s="68">
        <v>17</v>
      </c>
      <c r="C106" s="68">
        <v>32.299999999999997</v>
      </c>
      <c r="D106" s="68">
        <v>40.5</v>
      </c>
      <c r="E106" s="68">
        <v>59.3</v>
      </c>
      <c r="F106" s="68">
        <v>38.5</v>
      </c>
      <c r="G106" s="68">
        <v>41.9</v>
      </c>
      <c r="H106" s="68">
        <v>34.4</v>
      </c>
      <c r="I106" s="68">
        <v>45.8</v>
      </c>
      <c r="J106" s="68">
        <v>34.799999999999997</v>
      </c>
      <c r="K106" s="68">
        <v>39.799999999999997</v>
      </c>
      <c r="L106" s="68">
        <v>56.6</v>
      </c>
      <c r="M106" s="68">
        <v>34.1</v>
      </c>
      <c r="N106" s="68">
        <v>51.9</v>
      </c>
      <c r="O106" s="68">
        <v>64.599999999999994</v>
      </c>
      <c r="P106" s="68">
        <v>60.9</v>
      </c>
      <c r="Q106" s="68">
        <v>81.099999999999994</v>
      </c>
      <c r="R106" s="68">
        <v>80</v>
      </c>
      <c r="S106" s="68">
        <v>64</v>
      </c>
      <c r="T106" s="68">
        <v>60</v>
      </c>
      <c r="U106" s="68">
        <v>54.8</v>
      </c>
      <c r="V106" s="68">
        <v>65.599999999999994</v>
      </c>
      <c r="W106" s="68">
        <v>59</v>
      </c>
      <c r="X106" s="68">
        <v>55</v>
      </c>
      <c r="Y106" s="68">
        <v>83.2</v>
      </c>
      <c r="Z106" s="68">
        <v>47.1</v>
      </c>
      <c r="AA106" s="68">
        <v>28</v>
      </c>
      <c r="AB106" s="68">
        <v>31.7</v>
      </c>
      <c r="AC106" s="68">
        <v>28.4</v>
      </c>
      <c r="AD106" s="68">
        <v>32.200000000000003</v>
      </c>
      <c r="AE106" s="68">
        <v>23.9</v>
      </c>
      <c r="AF106" s="68">
        <v>28.4</v>
      </c>
      <c r="AG106" s="69"/>
      <c r="AH106" s="20">
        <f t="shared" si="9"/>
        <v>83.2</v>
      </c>
      <c r="AI106" s="19">
        <f t="shared" si="10"/>
        <v>17</v>
      </c>
    </row>
    <row r="107" spans="1:37" x14ac:dyDescent="0.25">
      <c r="A107" s="40" t="s">
        <v>133</v>
      </c>
      <c r="B107" s="68">
        <v>62.1</v>
      </c>
      <c r="C107" s="68">
        <v>54.2</v>
      </c>
      <c r="D107" s="68">
        <v>55.7</v>
      </c>
      <c r="E107" s="68">
        <v>58.9</v>
      </c>
      <c r="F107" s="68">
        <v>50.4</v>
      </c>
      <c r="G107" s="68">
        <v>58.6</v>
      </c>
      <c r="H107" s="68">
        <v>47.2</v>
      </c>
      <c r="I107" s="68">
        <v>47.4</v>
      </c>
      <c r="J107" s="68">
        <v>50.8</v>
      </c>
      <c r="K107" s="68">
        <v>20.8</v>
      </c>
      <c r="L107" s="68">
        <v>-15.7</v>
      </c>
      <c r="M107" s="68">
        <v>4.3</v>
      </c>
      <c r="N107" s="68">
        <v>8.3000000000000007</v>
      </c>
      <c r="O107" s="68">
        <v>10.3</v>
      </c>
      <c r="P107" s="68">
        <v>22.2</v>
      </c>
      <c r="Q107" s="68">
        <v>15.1</v>
      </c>
      <c r="R107" s="68">
        <v>8</v>
      </c>
      <c r="S107" s="68">
        <v>14.5</v>
      </c>
      <c r="T107" s="68">
        <v>15</v>
      </c>
      <c r="U107" s="68">
        <v>0</v>
      </c>
      <c r="V107" s="68">
        <v>-3.1</v>
      </c>
      <c r="W107" s="68">
        <v>31</v>
      </c>
      <c r="X107" s="68">
        <v>32.6</v>
      </c>
      <c r="Y107" s="68">
        <v>28.6</v>
      </c>
      <c r="Z107" s="68">
        <v>25.1</v>
      </c>
      <c r="AA107" s="68">
        <v>22</v>
      </c>
      <c r="AB107" s="68">
        <v>51.3</v>
      </c>
      <c r="AC107" s="68">
        <v>44</v>
      </c>
      <c r="AD107" s="68">
        <v>27.8</v>
      </c>
      <c r="AE107" s="68">
        <v>26.9</v>
      </c>
      <c r="AF107" s="68">
        <v>50.6</v>
      </c>
      <c r="AG107" s="48"/>
      <c r="AH107" s="20">
        <f t="shared" si="9"/>
        <v>62.1</v>
      </c>
      <c r="AI107" s="19">
        <f t="shared" si="10"/>
        <v>-15.7</v>
      </c>
    </row>
    <row r="108" spans="1:37" x14ac:dyDescent="0.25">
      <c r="A108" s="67" t="s">
        <v>132</v>
      </c>
      <c r="B108" s="66">
        <v>117.4</v>
      </c>
      <c r="C108" s="66">
        <v>119.3</v>
      </c>
      <c r="D108" s="66">
        <v>118.6</v>
      </c>
      <c r="E108" s="66">
        <v>116.5</v>
      </c>
      <c r="F108" s="66">
        <v>121.3</v>
      </c>
      <c r="G108" s="66">
        <v>120.2</v>
      </c>
      <c r="H108" s="66">
        <v>120.1</v>
      </c>
      <c r="I108" s="66">
        <v>121.2</v>
      </c>
      <c r="J108" s="66">
        <v>90.9</v>
      </c>
      <c r="K108" s="66">
        <v>113.4</v>
      </c>
      <c r="L108" s="66">
        <v>112.1</v>
      </c>
      <c r="M108" s="66">
        <v>110.4</v>
      </c>
      <c r="N108" s="66">
        <v>111.3</v>
      </c>
      <c r="O108" s="66">
        <v>100.3</v>
      </c>
      <c r="P108" s="66">
        <v>71.900000000000006</v>
      </c>
      <c r="Q108" s="66">
        <v>103</v>
      </c>
      <c r="R108" s="66">
        <v>108</v>
      </c>
      <c r="S108" s="66">
        <v>106.3</v>
      </c>
      <c r="T108" s="66">
        <v>109</v>
      </c>
      <c r="U108" s="66">
        <v>106</v>
      </c>
      <c r="V108" s="66">
        <v>106</v>
      </c>
      <c r="W108" s="66">
        <v>101.5</v>
      </c>
      <c r="X108" s="66">
        <v>85</v>
      </c>
      <c r="Y108" s="66">
        <v>78</v>
      </c>
      <c r="Z108" s="66">
        <v>94.5</v>
      </c>
      <c r="AA108" s="66">
        <v>97.2</v>
      </c>
      <c r="AB108" s="66">
        <v>98.3</v>
      </c>
      <c r="AC108" s="66">
        <v>98.6</v>
      </c>
      <c r="AD108" s="66">
        <v>104</v>
      </c>
      <c r="AE108" s="66">
        <v>108</v>
      </c>
      <c r="AF108" s="66">
        <v>113.9</v>
      </c>
      <c r="AG108" s="48"/>
      <c r="AH108" s="20">
        <f t="shared" si="9"/>
        <v>121.3</v>
      </c>
      <c r="AI108" s="19">
        <f t="shared" si="10"/>
        <v>71.900000000000006</v>
      </c>
    </row>
    <row r="109" spans="1:37" ht="15.75" thickBot="1" x14ac:dyDescent="0.3">
      <c r="A109" s="67" t="s">
        <v>131</v>
      </c>
      <c r="B109" s="66">
        <v>90.4</v>
      </c>
      <c r="C109" s="66">
        <v>77.099999999999994</v>
      </c>
      <c r="D109" s="66">
        <v>70</v>
      </c>
      <c r="E109" s="66">
        <v>55</v>
      </c>
      <c r="F109" s="66">
        <v>74.2</v>
      </c>
      <c r="G109" s="66">
        <v>63</v>
      </c>
      <c r="H109" s="66">
        <v>66.3</v>
      </c>
      <c r="I109" s="66">
        <v>51.7</v>
      </c>
      <c r="J109" s="66">
        <v>50.6</v>
      </c>
      <c r="K109" s="66">
        <v>58.1</v>
      </c>
      <c r="L109" s="66">
        <v>48.8</v>
      </c>
      <c r="M109" s="66">
        <v>78.900000000000006</v>
      </c>
      <c r="N109" s="66">
        <v>65.5</v>
      </c>
      <c r="O109" s="66">
        <v>61.9</v>
      </c>
      <c r="P109" s="66">
        <v>64.3</v>
      </c>
      <c r="Q109" s="66">
        <v>35.5</v>
      </c>
      <c r="R109" s="66">
        <v>44</v>
      </c>
      <c r="S109" s="66">
        <v>62.4</v>
      </c>
      <c r="T109" s="66">
        <v>52.1</v>
      </c>
      <c r="U109" s="66">
        <v>63.1</v>
      </c>
      <c r="V109" s="66">
        <v>53.2</v>
      </c>
      <c r="W109" s="66">
        <v>42.3</v>
      </c>
      <c r="X109" s="66">
        <v>51</v>
      </c>
      <c r="Y109" s="66">
        <v>36</v>
      </c>
      <c r="Z109" s="66">
        <v>62</v>
      </c>
      <c r="AA109" s="66">
        <v>73</v>
      </c>
      <c r="AB109" s="66">
        <v>73.36</v>
      </c>
      <c r="AC109" s="66">
        <v>78.8</v>
      </c>
      <c r="AD109" s="66">
        <v>75.7</v>
      </c>
      <c r="AE109" s="66">
        <v>85</v>
      </c>
      <c r="AF109" s="66">
        <v>85.7</v>
      </c>
      <c r="AG109" s="48"/>
      <c r="AH109" s="20">
        <f t="shared" si="9"/>
        <v>90.4</v>
      </c>
      <c r="AI109" s="19">
        <f t="shared" si="10"/>
        <v>35.5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2">SUM(B111:B215)</f>
        <v>0</v>
      </c>
      <c r="C216" s="36">
        <f t="shared" si="22"/>
        <v>0</v>
      </c>
      <c r="D216" s="36">
        <f t="shared" si="22"/>
        <v>0</v>
      </c>
      <c r="E216" s="36">
        <f t="shared" si="22"/>
        <v>0</v>
      </c>
      <c r="F216" s="36">
        <f t="shared" si="22"/>
        <v>0</v>
      </c>
      <c r="G216" s="36">
        <f t="shared" si="22"/>
        <v>0</v>
      </c>
      <c r="H216" s="36">
        <f t="shared" si="22"/>
        <v>0</v>
      </c>
      <c r="I216" s="36">
        <f t="shared" si="22"/>
        <v>0</v>
      </c>
      <c r="J216" s="36">
        <f t="shared" si="22"/>
        <v>0</v>
      </c>
      <c r="K216" s="36">
        <f t="shared" si="22"/>
        <v>0</v>
      </c>
      <c r="L216" s="36">
        <f t="shared" si="22"/>
        <v>0</v>
      </c>
      <c r="M216" s="36">
        <f t="shared" si="22"/>
        <v>0</v>
      </c>
      <c r="N216" s="36">
        <f t="shared" si="22"/>
        <v>0</v>
      </c>
      <c r="O216" s="36">
        <f t="shared" si="22"/>
        <v>0</v>
      </c>
      <c r="P216" s="36">
        <f t="shared" si="22"/>
        <v>0</v>
      </c>
      <c r="Q216" s="36">
        <f t="shared" si="22"/>
        <v>0</v>
      </c>
      <c r="R216" s="36">
        <f t="shared" si="22"/>
        <v>0</v>
      </c>
      <c r="S216" s="36">
        <f t="shared" si="22"/>
        <v>0</v>
      </c>
      <c r="T216" s="36">
        <f t="shared" si="22"/>
        <v>0</v>
      </c>
      <c r="U216" s="36">
        <f t="shared" si="22"/>
        <v>0</v>
      </c>
      <c r="V216" s="36">
        <f t="shared" si="22"/>
        <v>0</v>
      </c>
      <c r="W216" s="36">
        <f t="shared" si="22"/>
        <v>0</v>
      </c>
      <c r="X216" s="36">
        <f t="shared" si="22"/>
        <v>0</v>
      </c>
      <c r="Y216" s="36">
        <f t="shared" si="22"/>
        <v>0</v>
      </c>
      <c r="Z216" s="36">
        <f t="shared" si="22"/>
        <v>0</v>
      </c>
      <c r="AA216" s="36">
        <f t="shared" si="22"/>
        <v>0</v>
      </c>
      <c r="AB216" s="36">
        <f t="shared" si="22"/>
        <v>0</v>
      </c>
      <c r="AC216" s="36">
        <f t="shared" si="22"/>
        <v>0</v>
      </c>
      <c r="AD216" s="36">
        <f t="shared" si="22"/>
        <v>0</v>
      </c>
      <c r="AE216" s="36">
        <f t="shared" si="22"/>
        <v>0</v>
      </c>
      <c r="AF216" s="51">
        <f t="shared" si="22"/>
        <v>0</v>
      </c>
      <c r="AG216" s="50">
        <f t="shared" si="22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3">AF218</f>
        <v>0</v>
      </c>
      <c r="C218" s="46">
        <v>0.3</v>
      </c>
      <c r="D218" s="46">
        <f t="shared" ref="D218:P223" si="24">C218</f>
        <v>0.3</v>
      </c>
      <c r="E218" s="46">
        <f t="shared" si="24"/>
        <v>0.3</v>
      </c>
      <c r="F218" s="46">
        <f t="shared" si="24"/>
        <v>0.3</v>
      </c>
      <c r="G218" s="46">
        <f t="shared" si="24"/>
        <v>0.3</v>
      </c>
      <c r="H218" s="46">
        <f t="shared" si="24"/>
        <v>0.3</v>
      </c>
      <c r="I218" s="46">
        <f t="shared" si="24"/>
        <v>0.3</v>
      </c>
      <c r="J218" s="46">
        <f t="shared" si="24"/>
        <v>0.3</v>
      </c>
      <c r="K218" s="46">
        <f t="shared" si="24"/>
        <v>0.3</v>
      </c>
      <c r="L218" s="46">
        <f t="shared" si="24"/>
        <v>0.3</v>
      </c>
      <c r="M218" s="46">
        <f t="shared" si="24"/>
        <v>0.3</v>
      </c>
      <c r="N218" s="46">
        <f t="shared" si="24"/>
        <v>0.3</v>
      </c>
      <c r="O218" s="46">
        <f t="shared" si="24"/>
        <v>0.3</v>
      </c>
      <c r="P218" s="46">
        <f t="shared" si="24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3"/>
        <v>0</v>
      </c>
      <c r="C219" s="43">
        <v>0.4</v>
      </c>
      <c r="D219" s="43">
        <f t="shared" si="24"/>
        <v>0.4</v>
      </c>
      <c r="E219" s="43">
        <f t="shared" si="24"/>
        <v>0.4</v>
      </c>
      <c r="F219" s="43">
        <f t="shared" si="24"/>
        <v>0.4</v>
      </c>
      <c r="G219" s="43">
        <f t="shared" si="24"/>
        <v>0.4</v>
      </c>
      <c r="H219" s="43">
        <f t="shared" si="24"/>
        <v>0.4</v>
      </c>
      <c r="I219" s="43">
        <f t="shared" si="24"/>
        <v>0.4</v>
      </c>
      <c r="J219" s="43">
        <f t="shared" si="24"/>
        <v>0.4</v>
      </c>
      <c r="K219" s="43">
        <f t="shared" si="24"/>
        <v>0.4</v>
      </c>
      <c r="L219" s="43">
        <f t="shared" si="24"/>
        <v>0.4</v>
      </c>
      <c r="M219" s="43">
        <f t="shared" si="24"/>
        <v>0.4</v>
      </c>
      <c r="N219" s="43">
        <f t="shared" si="24"/>
        <v>0.4</v>
      </c>
      <c r="O219" s="43">
        <f t="shared" si="24"/>
        <v>0.4</v>
      </c>
      <c r="P219" s="43">
        <f t="shared" si="24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3"/>
        <v>0</v>
      </c>
      <c r="C220" s="43">
        <v>1.5</v>
      </c>
      <c r="D220" s="43">
        <f t="shared" si="24"/>
        <v>1.5</v>
      </c>
      <c r="E220" s="43">
        <f t="shared" si="24"/>
        <v>1.5</v>
      </c>
      <c r="F220" s="43">
        <f t="shared" si="24"/>
        <v>1.5</v>
      </c>
      <c r="G220" s="43">
        <f t="shared" si="24"/>
        <v>1.5</v>
      </c>
      <c r="H220" s="43">
        <f t="shared" si="24"/>
        <v>1.5</v>
      </c>
      <c r="I220" s="43">
        <f t="shared" si="24"/>
        <v>1.5</v>
      </c>
      <c r="J220" s="43">
        <f t="shared" si="24"/>
        <v>1.5</v>
      </c>
      <c r="K220" s="43">
        <f t="shared" si="24"/>
        <v>1.5</v>
      </c>
      <c r="L220" s="43">
        <f t="shared" si="24"/>
        <v>1.5</v>
      </c>
      <c r="M220" s="43">
        <f t="shared" si="24"/>
        <v>1.5</v>
      </c>
      <c r="N220" s="43">
        <f t="shared" si="24"/>
        <v>1.5</v>
      </c>
      <c r="O220" s="43">
        <f t="shared" si="24"/>
        <v>1.5</v>
      </c>
      <c r="P220" s="43">
        <f t="shared" si="24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3"/>
        <v>0</v>
      </c>
      <c r="C221" s="43">
        <v>0.3</v>
      </c>
      <c r="D221" s="43">
        <f t="shared" si="24"/>
        <v>0.3</v>
      </c>
      <c r="E221" s="43">
        <f t="shared" si="24"/>
        <v>0.3</v>
      </c>
      <c r="F221" s="43">
        <f t="shared" si="24"/>
        <v>0.3</v>
      </c>
      <c r="G221" s="43">
        <f t="shared" si="24"/>
        <v>0.3</v>
      </c>
      <c r="H221" s="43">
        <f t="shared" si="24"/>
        <v>0.3</v>
      </c>
      <c r="I221" s="43">
        <f t="shared" si="24"/>
        <v>0.3</v>
      </c>
      <c r="J221" s="43">
        <f t="shared" si="24"/>
        <v>0.3</v>
      </c>
      <c r="K221" s="43">
        <f t="shared" si="24"/>
        <v>0.3</v>
      </c>
      <c r="L221" s="43">
        <f t="shared" si="24"/>
        <v>0.3</v>
      </c>
      <c r="M221" s="43">
        <f t="shared" si="24"/>
        <v>0.3</v>
      </c>
      <c r="N221" s="43">
        <f t="shared" si="24"/>
        <v>0.3</v>
      </c>
      <c r="O221" s="43">
        <f t="shared" si="24"/>
        <v>0.3</v>
      </c>
      <c r="P221" s="43">
        <f t="shared" si="24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3"/>
        <v>0</v>
      </c>
      <c r="C222" s="43">
        <v>0.4</v>
      </c>
      <c r="D222" s="43">
        <f t="shared" si="24"/>
        <v>0.4</v>
      </c>
      <c r="E222" s="43">
        <f t="shared" si="24"/>
        <v>0.4</v>
      </c>
      <c r="F222" s="43">
        <f t="shared" si="24"/>
        <v>0.4</v>
      </c>
      <c r="G222" s="43">
        <f t="shared" si="24"/>
        <v>0.4</v>
      </c>
      <c r="H222" s="43">
        <f t="shared" si="24"/>
        <v>0.4</v>
      </c>
      <c r="I222" s="43">
        <f t="shared" si="24"/>
        <v>0.4</v>
      </c>
      <c r="J222" s="43">
        <f t="shared" si="24"/>
        <v>0.4</v>
      </c>
      <c r="K222" s="43">
        <f t="shared" si="24"/>
        <v>0.4</v>
      </c>
      <c r="L222" s="43">
        <f t="shared" si="24"/>
        <v>0.4</v>
      </c>
      <c r="M222" s="43">
        <f t="shared" si="24"/>
        <v>0.4</v>
      </c>
      <c r="N222" s="43">
        <f t="shared" si="24"/>
        <v>0.4</v>
      </c>
      <c r="O222" s="43">
        <f t="shared" si="24"/>
        <v>0.4</v>
      </c>
      <c r="P222" s="43">
        <f t="shared" si="24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3"/>
        <v>0</v>
      </c>
      <c r="C223" s="39">
        <v>0.64</v>
      </c>
      <c r="D223" s="39">
        <f t="shared" si="24"/>
        <v>0.64</v>
      </c>
      <c r="E223" s="39">
        <f t="shared" si="24"/>
        <v>0.64</v>
      </c>
      <c r="F223" s="39">
        <f t="shared" si="24"/>
        <v>0.64</v>
      </c>
      <c r="G223" s="39">
        <f t="shared" si="24"/>
        <v>0.64</v>
      </c>
      <c r="H223" s="39">
        <f t="shared" si="24"/>
        <v>0.64</v>
      </c>
      <c r="I223" s="39">
        <f t="shared" si="24"/>
        <v>0.64</v>
      </c>
      <c r="J223" s="39">
        <f t="shared" si="24"/>
        <v>0.64</v>
      </c>
      <c r="K223" s="39">
        <f t="shared" si="24"/>
        <v>0.64</v>
      </c>
      <c r="L223" s="39">
        <f t="shared" si="24"/>
        <v>0.64</v>
      </c>
      <c r="M223" s="39">
        <f t="shared" si="24"/>
        <v>0.64</v>
      </c>
      <c r="N223" s="39">
        <f t="shared" si="24"/>
        <v>0.64</v>
      </c>
      <c r="O223" s="39">
        <f t="shared" si="24"/>
        <v>0.64</v>
      </c>
      <c r="P223" s="39">
        <f t="shared" si="24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5">SUM(B218:B223)</f>
        <v>0</v>
      </c>
      <c r="C224" s="36">
        <f t="shared" si="25"/>
        <v>3.54</v>
      </c>
      <c r="D224" s="36">
        <f t="shared" si="25"/>
        <v>3.54</v>
      </c>
      <c r="E224" s="36">
        <f t="shared" si="25"/>
        <v>3.54</v>
      </c>
      <c r="F224" s="36">
        <f t="shared" si="25"/>
        <v>3.54</v>
      </c>
      <c r="G224" s="36">
        <f t="shared" si="25"/>
        <v>3.54</v>
      </c>
      <c r="H224" s="36">
        <f t="shared" si="25"/>
        <v>3.54</v>
      </c>
      <c r="I224" s="36">
        <f t="shared" si="25"/>
        <v>3.54</v>
      </c>
      <c r="J224" s="36">
        <f t="shared" si="25"/>
        <v>3.54</v>
      </c>
      <c r="K224" s="36">
        <f t="shared" si="25"/>
        <v>3.54</v>
      </c>
      <c r="L224" s="36">
        <f t="shared" si="25"/>
        <v>3.54</v>
      </c>
      <c r="M224" s="36">
        <f t="shared" si="25"/>
        <v>3.54</v>
      </c>
      <c r="N224" s="36">
        <f t="shared" si="25"/>
        <v>3.54</v>
      </c>
      <c r="O224" s="36">
        <f t="shared" si="25"/>
        <v>3.54</v>
      </c>
      <c r="P224" s="36">
        <f t="shared" si="25"/>
        <v>3.54</v>
      </c>
      <c r="Q224" s="36">
        <f t="shared" si="25"/>
        <v>0</v>
      </c>
      <c r="R224" s="36">
        <f t="shared" si="25"/>
        <v>0</v>
      </c>
      <c r="S224" s="36">
        <f t="shared" si="25"/>
        <v>0</v>
      </c>
      <c r="T224" s="36">
        <f t="shared" si="25"/>
        <v>0</v>
      </c>
      <c r="U224" s="36">
        <f t="shared" si="25"/>
        <v>0</v>
      </c>
      <c r="V224" s="36">
        <f t="shared" si="25"/>
        <v>0</v>
      </c>
      <c r="W224" s="36">
        <f t="shared" si="25"/>
        <v>0</v>
      </c>
      <c r="X224" s="36">
        <f t="shared" si="25"/>
        <v>0</v>
      </c>
      <c r="Y224" s="36">
        <f t="shared" si="25"/>
        <v>0</v>
      </c>
      <c r="Z224" s="36">
        <f t="shared" si="25"/>
        <v>0</v>
      </c>
      <c r="AA224" s="36">
        <f t="shared" si="25"/>
        <v>0</v>
      </c>
      <c r="AB224" s="36">
        <f t="shared" si="25"/>
        <v>0</v>
      </c>
      <c r="AC224" s="36">
        <f t="shared" si="25"/>
        <v>0</v>
      </c>
      <c r="AD224" s="36">
        <f t="shared" si="25"/>
        <v>0</v>
      </c>
      <c r="AE224" s="36">
        <f t="shared" si="25"/>
        <v>0</v>
      </c>
      <c r="AF224" s="36">
        <f t="shared" si="25"/>
        <v>0</v>
      </c>
      <c r="AG224" s="35">
        <f t="shared" si="25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1822.84</v>
      </c>
      <c r="C233" s="16">
        <f>INDEX(G9:N9,1,MATCH(MAX(G81:N81),G81:N81,0))</f>
        <v>0.375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13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2079/06/13)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2079/06/13)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6">B81</f>
        <v>1772.4399999999998</v>
      </c>
      <c r="U238" s="9">
        <f t="shared" si="26"/>
        <v>1733.54</v>
      </c>
      <c r="V238" s="9">
        <f t="shared" si="26"/>
        <v>1712.74</v>
      </c>
      <c r="W238" s="9">
        <f t="shared" si="26"/>
        <v>1661.7399999999998</v>
      </c>
      <c r="X238" s="9">
        <f t="shared" si="26"/>
        <v>1696.6399999999999</v>
      </c>
      <c r="Y238" s="9">
        <f t="shared" si="26"/>
        <v>1693.94</v>
      </c>
      <c r="Z238" s="9">
        <f t="shared" si="26"/>
        <v>1705.04</v>
      </c>
      <c r="AA238" s="9">
        <f t="shared" si="26"/>
        <v>1705.04</v>
      </c>
      <c r="AB238" s="9">
        <f t="shared" si="26"/>
        <v>1715.54</v>
      </c>
      <c r="AC238" s="9">
        <f t="shared" si="26"/>
        <v>1753.54</v>
      </c>
      <c r="AD238" s="9">
        <f t="shared" si="26"/>
        <v>1718.7399999999998</v>
      </c>
      <c r="AE238" s="9">
        <f t="shared" si="26"/>
        <v>1801.8400000000001</v>
      </c>
      <c r="AF238" s="9">
        <f t="shared" si="26"/>
        <v>1822.84</v>
      </c>
      <c r="AG238" s="9">
        <f t="shared" si="26"/>
        <v>1845.5400000000002</v>
      </c>
      <c r="AH238" s="9">
        <f t="shared" si="26"/>
        <v>1833.64</v>
      </c>
      <c r="AI238" s="9">
        <f t="shared" si="26"/>
        <v>1810.94</v>
      </c>
      <c r="AJ238" s="9">
        <f t="shared" si="26"/>
        <v>1801.1399999999999</v>
      </c>
      <c r="AK238" s="9">
        <f t="shared" si="26"/>
        <v>1892.14</v>
      </c>
      <c r="AL238" s="9">
        <f t="shared" si="26"/>
        <v>1890.54</v>
      </c>
      <c r="AM238" s="9">
        <f t="shared" si="26"/>
        <v>1892.54</v>
      </c>
      <c r="AN238" s="9">
        <f t="shared" si="26"/>
        <v>1851.54</v>
      </c>
      <c r="AO238" s="9">
        <f t="shared" si="26"/>
        <v>1873.54</v>
      </c>
      <c r="AP238" s="9">
        <f t="shared" si="26"/>
        <v>1848.94</v>
      </c>
      <c r="AQ238" s="9">
        <f t="shared" si="26"/>
        <v>1892.64</v>
      </c>
      <c r="AR238" s="9">
        <f t="shared" si="26"/>
        <v>1895.24</v>
      </c>
      <c r="AS238" s="9">
        <f t="shared" si="26"/>
        <v>1900.94</v>
      </c>
      <c r="AT238" s="9">
        <f t="shared" si="26"/>
        <v>1897.94</v>
      </c>
      <c r="AU238" s="9">
        <f t="shared" si="26"/>
        <v>1898.14</v>
      </c>
      <c r="AV238" s="9">
        <f t="shared" si="26"/>
        <v>1863.5400000000002</v>
      </c>
      <c r="AW238" s="9">
        <f t="shared" si="26"/>
        <v>1792.3400000000001</v>
      </c>
      <c r="AX238" s="9">
        <f t="shared" si="26"/>
        <v>1785.04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7">C223</f>
        <v>0.64</v>
      </c>
      <c r="C259" s="4">
        <f t="shared" si="27"/>
        <v>0.64</v>
      </c>
      <c r="D259" s="4">
        <f t="shared" si="27"/>
        <v>0.64</v>
      </c>
      <c r="E259" s="4">
        <f t="shared" si="27"/>
        <v>0.64</v>
      </c>
      <c r="F259" s="4">
        <f t="shared" si="27"/>
        <v>0.64</v>
      </c>
      <c r="G259" s="4">
        <f t="shared" si="27"/>
        <v>0.64</v>
      </c>
      <c r="H259" s="4">
        <f t="shared" si="27"/>
        <v>0.64</v>
      </c>
      <c r="I259" s="4">
        <f t="shared" si="27"/>
        <v>0.64</v>
      </c>
      <c r="J259" s="4">
        <f t="shared" si="27"/>
        <v>0.64</v>
      </c>
      <c r="K259" s="4">
        <f t="shared" si="27"/>
        <v>0.64</v>
      </c>
      <c r="L259" s="4">
        <f t="shared" si="27"/>
        <v>0.64</v>
      </c>
      <c r="M259" s="4">
        <f t="shared" si="27"/>
        <v>0.64</v>
      </c>
      <c r="N259" s="4">
        <f t="shared" si="27"/>
        <v>0.64</v>
      </c>
      <c r="O259" s="4">
        <f t="shared" si="27"/>
        <v>0.64</v>
      </c>
      <c r="P259" s="4">
        <f t="shared" si="27"/>
        <v>0</v>
      </c>
      <c r="Q259" s="4">
        <f t="shared" si="27"/>
        <v>0</v>
      </c>
      <c r="R259" s="4">
        <f t="shared" si="27"/>
        <v>0</v>
      </c>
      <c r="S259" s="4">
        <f t="shared" si="27"/>
        <v>0</v>
      </c>
      <c r="T259" s="4">
        <f t="shared" si="27"/>
        <v>0</v>
      </c>
      <c r="U259" s="4">
        <f t="shared" si="27"/>
        <v>0</v>
      </c>
      <c r="V259" s="4">
        <f t="shared" si="27"/>
        <v>0</v>
      </c>
      <c r="W259" s="4">
        <f t="shared" si="27"/>
        <v>0</v>
      </c>
      <c r="X259" s="4">
        <f t="shared" si="27"/>
        <v>0</v>
      </c>
      <c r="Y259" s="4">
        <f t="shared" si="27"/>
        <v>0</v>
      </c>
      <c r="Z259" s="4">
        <f t="shared" si="27"/>
        <v>0</v>
      </c>
      <c r="AA259" s="4">
        <f t="shared" si="27"/>
        <v>0</v>
      </c>
      <c r="AB259" s="4">
        <f t="shared" si="27"/>
        <v>0</v>
      </c>
      <c r="AC259" s="4">
        <f t="shared" si="27"/>
        <v>0</v>
      </c>
      <c r="AD259" s="4">
        <f t="shared" si="27"/>
        <v>0</v>
      </c>
      <c r="AE259" s="4">
        <f t="shared" si="27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28">IF(B227&lt;100,"",B227-520)</f>
        <v/>
      </c>
      <c r="C260" s="3" t="str">
        <f t="shared" si="28"/>
        <v/>
      </c>
      <c r="D260" s="3" t="str">
        <f t="shared" si="28"/>
        <v/>
      </c>
      <c r="E260" s="3" t="str">
        <f t="shared" si="28"/>
        <v/>
      </c>
      <c r="F260" s="3" t="str">
        <f t="shared" si="28"/>
        <v/>
      </c>
      <c r="G260" s="3" t="str">
        <f t="shared" si="28"/>
        <v/>
      </c>
      <c r="H260" s="3" t="str">
        <f t="shared" si="28"/>
        <v/>
      </c>
      <c r="I260" s="3" t="str">
        <f t="shared" si="28"/>
        <v/>
      </c>
      <c r="J260" s="3" t="str">
        <f t="shared" si="28"/>
        <v/>
      </c>
      <c r="K260" s="3" t="str">
        <f t="shared" si="28"/>
        <v/>
      </c>
      <c r="L260" s="3" t="str">
        <f t="shared" si="28"/>
        <v/>
      </c>
      <c r="M260" s="3" t="str">
        <f t="shared" si="28"/>
        <v/>
      </c>
      <c r="N260" s="3" t="str">
        <f t="shared" si="28"/>
        <v/>
      </c>
      <c r="O260" s="3" t="str">
        <f t="shared" si="28"/>
        <v/>
      </c>
      <c r="P260" s="3" t="str">
        <f t="shared" si="28"/>
        <v/>
      </c>
      <c r="Q260" s="3" t="str">
        <f t="shared" si="28"/>
        <v/>
      </c>
      <c r="R260" s="3" t="str">
        <f t="shared" si="28"/>
        <v/>
      </c>
      <c r="S260" s="3" t="str">
        <f t="shared" si="28"/>
        <v/>
      </c>
      <c r="T260" s="3" t="str">
        <f t="shared" si="28"/>
        <v/>
      </c>
      <c r="U260" s="3" t="str">
        <f t="shared" si="28"/>
        <v/>
      </c>
      <c r="V260" s="3" t="str">
        <f t="shared" si="28"/>
        <v/>
      </c>
      <c r="W260" s="3" t="str">
        <f t="shared" si="28"/>
        <v/>
      </c>
      <c r="X260" s="3" t="str">
        <f t="shared" si="28"/>
        <v/>
      </c>
      <c r="Y260" s="3" t="str">
        <f t="shared" si="28"/>
        <v/>
      </c>
      <c r="Z260" s="3" t="str">
        <f t="shared" si="28"/>
        <v/>
      </c>
      <c r="AA260" s="3" t="str">
        <f t="shared" si="28"/>
        <v/>
      </c>
      <c r="AB260" s="3" t="str">
        <f t="shared" si="28"/>
        <v/>
      </c>
      <c r="AC260" s="3" t="str">
        <f t="shared" si="28"/>
        <v/>
      </c>
      <c r="AD260" s="3" t="str">
        <f t="shared" si="28"/>
        <v/>
      </c>
      <c r="AE260" s="3" t="str">
        <f t="shared" si="28"/>
        <v/>
      </c>
      <c r="AF260" s="3" t="str">
        <f t="shared" si="28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29">IF(B228&lt;100,"",B228-620)</f>
        <v/>
      </c>
      <c r="C261" s="3" t="str">
        <f t="shared" si="29"/>
        <v/>
      </c>
      <c r="D261" s="3" t="str">
        <f t="shared" si="29"/>
        <v/>
      </c>
      <c r="E261" s="3" t="str">
        <f t="shared" si="29"/>
        <v/>
      </c>
      <c r="F261" s="3" t="str">
        <f t="shared" si="29"/>
        <v/>
      </c>
      <c r="G261" s="3" t="str">
        <f t="shared" si="29"/>
        <v/>
      </c>
      <c r="H261" s="3" t="str">
        <f t="shared" si="29"/>
        <v/>
      </c>
      <c r="I261" s="3" t="str">
        <f t="shared" si="29"/>
        <v/>
      </c>
      <c r="J261" s="3" t="str">
        <f t="shared" si="29"/>
        <v/>
      </c>
      <c r="K261" s="3" t="str">
        <f t="shared" si="29"/>
        <v/>
      </c>
      <c r="L261" s="3" t="str">
        <f t="shared" si="29"/>
        <v/>
      </c>
      <c r="M261" s="3" t="str">
        <f t="shared" si="29"/>
        <v/>
      </c>
      <c r="N261" s="3" t="str">
        <f t="shared" si="29"/>
        <v/>
      </c>
      <c r="O261" s="3" t="str">
        <f t="shared" si="29"/>
        <v/>
      </c>
      <c r="P261" s="3" t="str">
        <f t="shared" si="29"/>
        <v/>
      </c>
      <c r="Q261" s="3" t="str">
        <f t="shared" si="29"/>
        <v/>
      </c>
      <c r="R261" s="3" t="str">
        <f t="shared" si="29"/>
        <v/>
      </c>
      <c r="S261" s="3" t="str">
        <f t="shared" si="29"/>
        <v/>
      </c>
      <c r="T261" s="3" t="str">
        <f t="shared" si="29"/>
        <v/>
      </c>
      <c r="U261" s="3" t="str">
        <f t="shared" si="29"/>
        <v/>
      </c>
      <c r="V261" s="3" t="str">
        <f t="shared" si="29"/>
        <v/>
      </c>
      <c r="W261" s="3" t="str">
        <f t="shared" si="29"/>
        <v/>
      </c>
      <c r="X261" s="3" t="str">
        <f t="shared" si="29"/>
        <v/>
      </c>
      <c r="Y261" s="3" t="str">
        <f t="shared" si="29"/>
        <v/>
      </c>
      <c r="Z261" s="3" t="str">
        <f t="shared" si="29"/>
        <v/>
      </c>
      <c r="AA261" s="3" t="str">
        <f t="shared" si="29"/>
        <v/>
      </c>
      <c r="AB261" s="3" t="str">
        <f t="shared" si="29"/>
        <v/>
      </c>
      <c r="AC261" s="3" t="str">
        <f t="shared" si="29"/>
        <v/>
      </c>
      <c r="AD261" s="3" t="str">
        <f t="shared" si="29"/>
        <v/>
      </c>
      <c r="AE261" s="3" t="str">
        <f t="shared" si="29"/>
        <v/>
      </c>
      <c r="AF261" s="3" t="str">
        <f t="shared" si="29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0">IF(B229&lt;100,"",B229-330)</f>
        <v/>
      </c>
      <c r="C262" s="3" t="str">
        <f t="shared" si="30"/>
        <v/>
      </c>
      <c r="D262" s="3" t="str">
        <f t="shared" si="30"/>
        <v/>
      </c>
      <c r="E262" s="3" t="str">
        <f t="shared" si="30"/>
        <v/>
      </c>
      <c r="F262" s="3" t="str">
        <f t="shared" si="30"/>
        <v/>
      </c>
      <c r="G262" s="3" t="str">
        <f t="shared" si="30"/>
        <v/>
      </c>
      <c r="H262" s="3" t="str">
        <f t="shared" si="30"/>
        <v/>
      </c>
      <c r="I262" s="3" t="str">
        <f t="shared" si="30"/>
        <v/>
      </c>
      <c r="J262" s="3" t="str">
        <f t="shared" si="30"/>
        <v/>
      </c>
      <c r="K262" s="3" t="str">
        <f t="shared" si="30"/>
        <v/>
      </c>
      <c r="L262" s="3" t="str">
        <f t="shared" si="30"/>
        <v/>
      </c>
      <c r="M262" s="3" t="str">
        <f t="shared" si="30"/>
        <v/>
      </c>
      <c r="N262" s="3" t="str">
        <f t="shared" si="30"/>
        <v/>
      </c>
      <c r="O262" s="3" t="str">
        <f t="shared" si="30"/>
        <v/>
      </c>
      <c r="P262" s="3" t="str">
        <f t="shared" si="30"/>
        <v/>
      </c>
      <c r="Q262" s="3" t="str">
        <f t="shared" si="30"/>
        <v/>
      </c>
      <c r="R262" s="3" t="str">
        <f t="shared" si="30"/>
        <v/>
      </c>
      <c r="S262" s="3" t="str">
        <f t="shared" si="30"/>
        <v/>
      </c>
      <c r="T262" s="3" t="str">
        <f t="shared" si="30"/>
        <v/>
      </c>
      <c r="U262" s="3" t="str">
        <f t="shared" si="30"/>
        <v/>
      </c>
      <c r="V262" s="3" t="str">
        <f t="shared" si="30"/>
        <v/>
      </c>
      <c r="W262" s="3" t="str">
        <f t="shared" si="30"/>
        <v/>
      </c>
      <c r="X262" s="3" t="str">
        <f t="shared" si="30"/>
        <v/>
      </c>
      <c r="Y262" s="3" t="str">
        <f t="shared" si="30"/>
        <v/>
      </c>
      <c r="Z262" s="3" t="str">
        <f t="shared" si="30"/>
        <v/>
      </c>
      <c r="AA262" s="3" t="str">
        <f t="shared" si="30"/>
        <v/>
      </c>
      <c r="AB262" s="3" t="str">
        <f t="shared" si="30"/>
        <v/>
      </c>
      <c r="AC262" s="3" t="str">
        <f t="shared" si="30"/>
        <v/>
      </c>
      <c r="AD262" s="3" t="str">
        <f t="shared" si="30"/>
        <v/>
      </c>
      <c r="AE262" s="3" t="str">
        <f t="shared" si="30"/>
        <v/>
      </c>
      <c r="AF262" s="3" t="str">
        <f t="shared" si="30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1">IF(B230&lt;100,"",B230-1500)</f>
        <v/>
      </c>
      <c r="C263" s="3" t="str">
        <f t="shared" si="31"/>
        <v/>
      </c>
      <c r="D263" s="3" t="str">
        <f t="shared" si="31"/>
        <v/>
      </c>
      <c r="E263" s="3" t="str">
        <f t="shared" si="31"/>
        <v/>
      </c>
      <c r="F263" s="3" t="str">
        <f t="shared" si="31"/>
        <v/>
      </c>
      <c r="G263" s="3" t="str">
        <f t="shared" si="31"/>
        <v/>
      </c>
      <c r="H263" s="3" t="str">
        <f t="shared" si="31"/>
        <v/>
      </c>
      <c r="I263" s="3" t="str">
        <f t="shared" si="31"/>
        <v/>
      </c>
      <c r="J263" s="3" t="str">
        <f t="shared" si="31"/>
        <v/>
      </c>
      <c r="K263" s="3" t="str">
        <f t="shared" si="31"/>
        <v/>
      </c>
      <c r="L263" s="3" t="str">
        <f t="shared" si="31"/>
        <v/>
      </c>
      <c r="M263" s="3" t="str">
        <f t="shared" si="31"/>
        <v/>
      </c>
      <c r="N263" s="3" t="str">
        <f t="shared" si="31"/>
        <v/>
      </c>
      <c r="O263" s="3" t="str">
        <f t="shared" si="31"/>
        <v/>
      </c>
      <c r="P263" s="3" t="str">
        <f t="shared" si="31"/>
        <v/>
      </c>
      <c r="Q263" s="3" t="str">
        <f t="shared" si="31"/>
        <v/>
      </c>
      <c r="R263" s="3" t="str">
        <f t="shared" si="31"/>
        <v/>
      </c>
      <c r="S263" s="3" t="str">
        <f t="shared" si="31"/>
        <v/>
      </c>
      <c r="T263" s="3" t="str">
        <f t="shared" si="31"/>
        <v/>
      </c>
      <c r="U263" s="3" t="str">
        <f t="shared" si="31"/>
        <v/>
      </c>
      <c r="V263" s="3" t="str">
        <f t="shared" si="31"/>
        <v/>
      </c>
      <c r="W263" s="3" t="str">
        <f t="shared" si="31"/>
        <v/>
      </c>
      <c r="X263" s="3" t="str">
        <f t="shared" si="31"/>
        <v/>
      </c>
      <c r="Y263" s="3" t="str">
        <f t="shared" si="31"/>
        <v/>
      </c>
      <c r="Z263" s="3" t="str">
        <f t="shared" si="31"/>
        <v/>
      </c>
      <c r="AA263" s="3" t="str">
        <f t="shared" si="31"/>
        <v/>
      </c>
      <c r="AB263" s="3" t="str">
        <f t="shared" si="31"/>
        <v/>
      </c>
      <c r="AC263" s="3" t="str">
        <f t="shared" si="31"/>
        <v/>
      </c>
      <c r="AD263" s="3" t="str">
        <f t="shared" si="31"/>
        <v/>
      </c>
      <c r="AE263" s="3" t="str">
        <f t="shared" si="31"/>
        <v/>
      </c>
      <c r="AF263" s="3" t="str">
        <f t="shared" si="31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Z11:AF11 B16:AF16 B20:AF23">
    <cfRule type="expression" dxfId="6348" priority="243">
      <formula>B$9&gt;=20/24</formula>
    </cfRule>
    <cfRule type="expression" dxfId="6347" priority="244">
      <formula>AND(B$9&gt;=14/24,B$9&lt;20/24)</formula>
    </cfRule>
    <cfRule type="expression" dxfId="6346" priority="245">
      <formula>AND(B$9&gt;=8/24,B$9&lt;14/24)</formula>
    </cfRule>
    <cfRule type="expression" dxfId="6345" priority="246">
      <formula>B$9&lt;8/24</formula>
    </cfRule>
  </conditionalFormatting>
  <conditionalFormatting sqref="AL4:AL6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6344" priority="238">
      <formula>S$9&gt;=20/24</formula>
    </cfRule>
    <cfRule type="expression" dxfId="6343" priority="239">
      <formula>AND(S$9&gt;=14/24,S$9&lt;20/24)</formula>
    </cfRule>
    <cfRule type="expression" dxfId="6342" priority="240">
      <formula>AND(S$9&gt;=8/24,S$9&lt;14/24)</formula>
    </cfRule>
    <cfRule type="expression" dxfId="6341" priority="241">
      <formula>S$9&lt;8/24</formula>
    </cfRule>
  </conditionalFormatting>
  <conditionalFormatting sqref="AG57 B12:Y16 S39:AF39 Z11:AF16 B18:AF18 B20:AF23 B37:AF37">
    <cfRule type="expression" dxfId="6340" priority="237">
      <formula>B11&gt;$AG11</formula>
    </cfRule>
  </conditionalFormatting>
  <conditionalFormatting sqref="A91:A101 A11:A14 A51:A78 A87:A89 A194:A224 A38:A49 A110:A181 A34:A35 A83:A85 A80:A81 A103:A105 A31:A32 A18:A29 A16">
    <cfRule type="expression" dxfId="6339" priority="236">
      <formula>$AH11=0</formula>
    </cfRule>
  </conditionalFormatting>
  <conditionalFormatting sqref="A106">
    <cfRule type="expression" dxfId="6338" priority="235">
      <formula>$AH106=0</formula>
    </cfRule>
  </conditionalFormatting>
  <conditionalFormatting sqref="AL35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337" priority="233">
      <formula>$AH37=0</formula>
    </cfRule>
  </conditionalFormatting>
  <conditionalFormatting sqref="A90">
    <cfRule type="expression" dxfId="6336" priority="232">
      <formula>$AH90=0</formula>
    </cfRule>
  </conditionalFormatting>
  <conditionalFormatting sqref="A15">
    <cfRule type="expression" dxfId="6335" priority="231">
      <formula>$AH15=0</formula>
    </cfRule>
  </conditionalFormatting>
  <conditionalFormatting sqref="A188:A193">
    <cfRule type="expression" dxfId="6334" priority="230">
      <formula>$AH188=0</formula>
    </cfRule>
  </conditionalFormatting>
  <conditionalFormatting sqref="A182:A187">
    <cfRule type="expression" dxfId="6333" priority="229">
      <formula>$AH182=0</formula>
    </cfRule>
  </conditionalFormatting>
  <conditionalFormatting sqref="A50">
    <cfRule type="expression" dxfId="6332" priority="228">
      <formula>$AH50=0</formula>
    </cfRule>
  </conditionalFormatting>
  <conditionalFormatting sqref="A86">
    <cfRule type="expression" dxfId="6331" priority="227">
      <formula>$AH86=0</formula>
    </cfRule>
  </conditionalFormatting>
  <conditionalFormatting sqref="C91:AF91">
    <cfRule type="expression" dxfId="6330" priority="223">
      <formula>C$9&gt;=20/24</formula>
    </cfRule>
    <cfRule type="expression" dxfId="6329" priority="224">
      <formula>AND(C$9&gt;=14/24,C$9&lt;20/24)</formula>
    </cfRule>
    <cfRule type="expression" dxfId="6328" priority="225">
      <formula>AND(C$9&gt;=8/24,C$9&lt;14/24)</formula>
    </cfRule>
    <cfRule type="expression" dxfId="6327" priority="226">
      <formula>C$9&lt;8/24</formula>
    </cfRule>
  </conditionalFormatting>
  <conditionalFormatting sqref="AL36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326" priority="249">
      <formula>C$9&gt;=20/24</formula>
    </cfRule>
    <cfRule type="expression" dxfId="6325" priority="250">
      <formula>AND(C$9&gt;=14/24,C$9&lt;20/24)</formula>
    </cfRule>
    <cfRule type="expression" dxfId="6324" priority="251">
      <formula>AND(C$9&gt;=8/24,C$9&lt;14/24)</formula>
    </cfRule>
    <cfRule type="expression" dxfId="6323" priority="252">
      <formula>C$9&lt;8/24</formula>
    </cfRule>
  </conditionalFormatting>
  <conditionalFormatting sqref="A225">
    <cfRule type="expression" dxfId="6322" priority="253">
      <formula>$AH225=0</formula>
    </cfRule>
  </conditionalFormatting>
  <conditionalFormatting sqref="AG237">
    <cfRule type="expression" dxfId="6321" priority="254">
      <formula>B$9&gt;=20/24</formula>
    </cfRule>
    <cfRule type="expression" dxfId="6320" priority="255">
      <formula>AND(B$9&gt;=14/24,B$9&lt;20/24)</formula>
    </cfRule>
    <cfRule type="expression" dxfId="6319" priority="256">
      <formula>AND(B$9&gt;=8/24,B$9&lt;14/24)</formula>
    </cfRule>
    <cfRule type="expression" dxfId="6318" priority="257">
      <formula>B$9&lt;8/24</formula>
    </cfRule>
  </conditionalFormatting>
  <conditionalFormatting sqref="S8">
    <cfRule type="expression" dxfId="6317" priority="218">
      <formula>U$9&gt;=20/24</formula>
    </cfRule>
    <cfRule type="expression" dxfId="6316" priority="219">
      <formula>AND(U$9&gt;=14/24,U$9&lt;20/24)</formula>
    </cfRule>
    <cfRule type="expression" dxfId="6315" priority="220">
      <formula>AND(U$9&gt;=8/24,U$9&lt;14/24)</formula>
    </cfRule>
    <cfRule type="expression" dxfId="6314" priority="221">
      <formula>U$9&lt;8/24</formula>
    </cfRule>
  </conditionalFormatting>
  <conditionalFormatting sqref="AB8">
    <cfRule type="expression" dxfId="6313" priority="214">
      <formula>AD$9&gt;=20/24</formula>
    </cfRule>
    <cfRule type="expression" dxfId="6312" priority="215">
      <formula>AND(AD$9&gt;=14/24,AD$9&lt;20/24)</formula>
    </cfRule>
    <cfRule type="expression" dxfId="6311" priority="216">
      <formula>AND(AD$9&gt;=8/24,AD$9&lt;14/24)</formula>
    </cfRule>
    <cfRule type="expression" dxfId="6310" priority="217">
      <formula>AD$9&lt;8/24</formula>
    </cfRule>
  </conditionalFormatting>
  <conditionalFormatting sqref="AH237:AX237">
    <cfRule type="expression" dxfId="6309" priority="258">
      <formula>AG$9&gt;=20/24</formula>
    </cfRule>
    <cfRule type="expression" dxfId="6308" priority="259">
      <formula>AND(AG$9&gt;=14/24,AG$9&lt;20/24)</formula>
    </cfRule>
    <cfRule type="expression" dxfId="6307" priority="260">
      <formula>AND(AG$9&gt;=8/24,AG$9&lt;14/24)</formula>
    </cfRule>
    <cfRule type="expression" dxfId="6306" priority="261">
      <formula>AG$9&lt;8/24</formula>
    </cfRule>
  </conditionalFormatting>
  <conditionalFormatting sqref="T237">
    <cfRule type="expression" dxfId="6305" priority="262">
      <formula>AX$9&gt;=20/24</formula>
    </cfRule>
    <cfRule type="expression" dxfId="6304" priority="263">
      <formula>AND(AX$9&gt;=14/24,AX$9&lt;20/24)</formula>
    </cfRule>
    <cfRule type="expression" dxfId="6303" priority="264">
      <formula>AND(AX$9&gt;=8/24,AX$9&lt;14/24)</formula>
    </cfRule>
    <cfRule type="expression" dxfId="6302" priority="265">
      <formula>AX$9&lt;8/24</formula>
    </cfRule>
  </conditionalFormatting>
  <conditionalFormatting sqref="A107:A108">
    <cfRule type="expression" dxfId="6301" priority="213">
      <formula>$AH107=0</formula>
    </cfRule>
  </conditionalFormatting>
  <conditionalFormatting sqref="AF46:AF47 E46:M47 E63:AF63">
    <cfRule type="expression" dxfId="6300" priority="209">
      <formula>E$9&gt;=20/24</formula>
    </cfRule>
    <cfRule type="expression" dxfId="6299" priority="210">
      <formula>AND(E$9&gt;=14/24,E$9&lt;20/24)</formula>
    </cfRule>
    <cfRule type="expression" dxfId="6298" priority="211">
      <formula>AND(E$9&gt;=8/24,E$9&lt;14/24)</formula>
    </cfRule>
    <cfRule type="expression" dxfId="6297" priority="212">
      <formula>E$9&lt;8/24</formula>
    </cfRule>
  </conditionalFormatting>
  <conditionalFormatting sqref="AF45 E45:L45">
    <cfRule type="expression" dxfId="6296" priority="205">
      <formula>E$9&gt;=20/24</formula>
    </cfRule>
    <cfRule type="expression" dxfId="6295" priority="206">
      <formula>AND(E$9&gt;=14/24,E$9&lt;20/24)</formula>
    </cfRule>
    <cfRule type="expression" dxfId="6294" priority="207">
      <formula>AND(E$9&gt;=8/24,E$9&lt;14/24)</formula>
    </cfRule>
    <cfRule type="expression" dxfId="6293" priority="208">
      <formula>E$9&lt;8/24</formula>
    </cfRule>
  </conditionalFormatting>
  <conditionalFormatting sqref="AF45:AF47 L45 L46:M47 E45:K47">
    <cfRule type="expression" dxfId="6292" priority="204">
      <formula>E45&gt;$AG45</formula>
    </cfRule>
  </conditionalFormatting>
  <conditionalFormatting sqref="C88:AF88 C75:AF78 L39:R39 AA68:AC68 E64:AC65 D92:AF98 T38:AF38 Z25:AF27 Z29:AF29 Z12:AF14 Z18:AF18 Z31:AF34 S59:AF61 AD64:AF73">
    <cfRule type="expression" dxfId="6291" priority="200">
      <formula>C$9&gt;=20/24</formula>
    </cfRule>
    <cfRule type="expression" dxfId="6290" priority="201">
      <formula>AND(C$9&gt;=14/24,C$9&lt;20/24)</formula>
    </cfRule>
    <cfRule type="expression" dxfId="6289" priority="202">
      <formula>AND(C$9&gt;=8/24,C$9&lt;14/24)</formula>
    </cfRule>
    <cfRule type="expression" dxfId="6288" priority="203">
      <formula>C$9&lt;8/24</formula>
    </cfRule>
  </conditionalFormatting>
  <conditionalFormatting sqref="Z35:AF35">
    <cfRule type="expression" dxfId="6287" priority="196">
      <formula>Z$9&gt;=20/24</formula>
    </cfRule>
    <cfRule type="expression" dxfId="6286" priority="197">
      <formula>AND(Z$9&gt;=14/24,Z$9&lt;20/24)</formula>
    </cfRule>
    <cfRule type="expression" dxfId="6285" priority="198">
      <formula>AND(Z$9&gt;=8/24,Z$9&lt;14/24)</formula>
    </cfRule>
    <cfRule type="expression" dxfId="6284" priority="199">
      <formula>Z$9&lt;8/24</formula>
    </cfRule>
  </conditionalFormatting>
  <conditionalFormatting sqref="AF48:AF49 C57:AF57 L39:R39 E48:N48 T38:AF38 Z25:AF29 Z31:AF35 S59:AF61">
    <cfRule type="expression" dxfId="6283" priority="195">
      <formula>C25&gt;$AG25</formula>
    </cfRule>
  </conditionalFormatting>
  <conditionalFormatting sqref="Z37:AF37">
    <cfRule type="expression" dxfId="6282" priority="191">
      <formula>Z$9&gt;=20/24</formula>
    </cfRule>
    <cfRule type="expression" dxfId="6281" priority="192">
      <formula>AND(Z$9&gt;=14/24,Z$9&lt;20/24)</formula>
    </cfRule>
    <cfRule type="expression" dxfId="6280" priority="193">
      <formula>AND(Z$9&gt;=8/24,Z$9&lt;14/24)</formula>
    </cfRule>
    <cfRule type="expression" dxfId="6279" priority="194">
      <formula>Z$9&lt;8/24</formula>
    </cfRule>
  </conditionalFormatting>
  <conditionalFormatting sqref="Z15:AF15">
    <cfRule type="expression" dxfId="6278" priority="187">
      <formula>Z$9&gt;=20/24</formula>
    </cfRule>
    <cfRule type="expression" dxfId="6277" priority="188">
      <formula>AND(Z$9&gt;=14/24,Z$9&lt;20/24)</formula>
    </cfRule>
    <cfRule type="expression" dxfId="6276" priority="189">
      <formula>AND(Z$9&gt;=8/24,Z$9&lt;14/24)</formula>
    </cfRule>
    <cfRule type="expression" dxfId="6275" priority="190">
      <formula>Z$9&lt;8/24</formula>
    </cfRule>
  </conditionalFormatting>
  <conditionalFormatting sqref="Z36:AF36">
    <cfRule type="expression" dxfId="6274" priority="183">
      <formula>Z$9&gt;=20/24</formula>
    </cfRule>
    <cfRule type="expression" dxfId="6273" priority="184">
      <formula>AND(Z$9&gt;=14/24,Z$9&lt;20/24)</formula>
    </cfRule>
    <cfRule type="expression" dxfId="6272" priority="185">
      <formula>AND(Z$9&gt;=8/24,Z$9&lt;14/24)</formula>
    </cfRule>
    <cfRule type="expression" dxfId="6271" priority="186">
      <formula>Z$9&lt;8/24</formula>
    </cfRule>
  </conditionalFormatting>
  <conditionalFormatting sqref="Z36:AF36">
    <cfRule type="expression" dxfId="6270" priority="182">
      <formula>Z36&gt;$AG36</formula>
    </cfRule>
  </conditionalFormatting>
  <conditionalFormatting sqref="AF50">
    <cfRule type="expression" dxfId="6269" priority="178">
      <formula>AF$9&gt;=20/24</formula>
    </cfRule>
    <cfRule type="expression" dxfId="6268" priority="179">
      <formula>AND(AF$9&gt;=14/24,AF$9&lt;20/24)</formula>
    </cfRule>
    <cfRule type="expression" dxfId="6267" priority="180">
      <formula>AND(AF$9&gt;=8/24,AF$9&lt;14/24)</formula>
    </cfRule>
    <cfRule type="expression" dxfId="6266" priority="181">
      <formula>AF$9&lt;8/24</formula>
    </cfRule>
  </conditionalFormatting>
  <conditionalFormatting sqref="AF50">
    <cfRule type="expression" dxfId="6265" priority="177">
      <formula>AF50&gt;$AG50</formula>
    </cfRule>
  </conditionalFormatting>
  <conditionalFormatting sqref="M45:N45 N46:N47 O45:AE48">
    <cfRule type="expression" dxfId="6264" priority="173">
      <formula>M$9&gt;=20/24</formula>
    </cfRule>
    <cfRule type="expression" dxfId="6263" priority="174">
      <formula>AND(M$9&gt;=14/24,M$9&lt;20/24)</formula>
    </cfRule>
    <cfRule type="expression" dxfId="6262" priority="175">
      <formula>AND(M$9&gt;=8/24,M$9&lt;14/24)</formula>
    </cfRule>
    <cfRule type="expression" dxfId="6261" priority="176">
      <formula>M$9&lt;8/24</formula>
    </cfRule>
  </conditionalFormatting>
  <conditionalFormatting sqref="M45:N45 N46:N47 O45:AE48">
    <cfRule type="expression" dxfId="6260" priority="172">
      <formula>M45&gt;$AG45</formula>
    </cfRule>
  </conditionalFormatting>
  <conditionalFormatting sqref="Z28:AF28">
    <cfRule type="expression" dxfId="6259" priority="168">
      <formula>Z$9&gt;=20/24</formula>
    </cfRule>
    <cfRule type="expression" dxfId="6258" priority="169">
      <formula>AND(Z$9&gt;=14/24,Z$9&lt;20/24)</formula>
    </cfRule>
    <cfRule type="expression" dxfId="6257" priority="170">
      <formula>AND(Z$9&gt;=8/24,Z$9&lt;14/24)</formula>
    </cfRule>
    <cfRule type="expression" dxfId="6256" priority="171">
      <formula>Z$9&lt;8/24</formula>
    </cfRule>
  </conditionalFormatting>
  <conditionalFormatting sqref="Z19:AF19 Z24:AF24">
    <cfRule type="expression" dxfId="6255" priority="164">
      <formula>Z$9&gt;=20/24</formula>
    </cfRule>
    <cfRule type="expression" dxfId="6254" priority="165">
      <formula>AND(Z$9&gt;=14/24,Z$9&lt;20/24)</formula>
    </cfRule>
    <cfRule type="expression" dxfId="6253" priority="166">
      <formula>AND(Z$9&gt;=8/24,Z$9&lt;14/24)</formula>
    </cfRule>
    <cfRule type="expression" dxfId="6252" priority="167">
      <formula>Z$9&lt;8/24</formula>
    </cfRule>
  </conditionalFormatting>
  <conditionalFormatting sqref="Z19:AF19 Z24:AF24">
    <cfRule type="expression" dxfId="6251" priority="163">
      <formula>Z19&gt;$AG19</formula>
    </cfRule>
  </conditionalFormatting>
  <conditionalFormatting sqref="B101 B80:AF80 B89:AF89 B103:B108 B11:Y11">
    <cfRule type="expression" dxfId="6250" priority="145">
      <formula>B$9&gt;=20/24</formula>
    </cfRule>
    <cfRule type="expression" dxfId="6249" priority="146">
      <formula>AND(B$9&gt;=14/24,B$9&lt;20/24)</formula>
    </cfRule>
    <cfRule type="expression" dxfId="6248" priority="147">
      <formula>AND(B$9&gt;=8/24,B$9&lt;14/24)</formula>
    </cfRule>
    <cfRule type="expression" dxfId="6247" priority="148">
      <formula>B$9&lt;8/24</formula>
    </cfRule>
  </conditionalFormatting>
  <conditionalFormatting sqref="B39:K39">
    <cfRule type="expression" dxfId="6246" priority="141">
      <formula>B$9&gt;=20/24</formula>
    </cfRule>
    <cfRule type="expression" dxfId="6245" priority="142">
      <formula>AND(B$9&gt;=14/24,B$9&lt;20/24)</formula>
    </cfRule>
    <cfRule type="expression" dxfId="6244" priority="143">
      <formula>AND(B$9&gt;=8/24,B$9&lt;14/24)</formula>
    </cfRule>
    <cfRule type="expression" dxfId="6243" priority="144">
      <formula>B$9&lt;8/24</formula>
    </cfRule>
  </conditionalFormatting>
  <conditionalFormatting sqref="B39:K39 B11:Y11">
    <cfRule type="expression" dxfId="6242" priority="140">
      <formula>B11&gt;$AG11</formula>
    </cfRule>
  </conditionalFormatting>
  <conditionalFormatting sqref="B91">
    <cfRule type="expression" dxfId="6241" priority="136">
      <formula>B$9&gt;=20/24</formula>
    </cfRule>
    <cfRule type="expression" dxfId="6240" priority="137">
      <formula>AND(B$9&gt;=14/24,B$9&lt;20/24)</formula>
    </cfRule>
    <cfRule type="expression" dxfId="6239" priority="138">
      <formula>AND(B$9&gt;=8/24,B$9&lt;14/24)</formula>
    </cfRule>
    <cfRule type="expression" dxfId="6238" priority="139">
      <formula>B$9&lt;8/24</formula>
    </cfRule>
  </conditionalFormatting>
  <conditionalFormatting sqref="B46:D47 B63:D63 B38:S38">
    <cfRule type="expression" dxfId="6237" priority="132">
      <formula>B$9&gt;=20/24</formula>
    </cfRule>
    <cfRule type="expression" dxfId="6236" priority="133">
      <formula>AND(B$9&gt;=14/24,B$9&lt;20/24)</formula>
    </cfRule>
    <cfRule type="expression" dxfId="6235" priority="134">
      <formula>AND(B$9&gt;=8/24,B$9&lt;14/24)</formula>
    </cfRule>
    <cfRule type="expression" dxfId="6234" priority="135">
      <formula>B$9&lt;8/24</formula>
    </cfRule>
  </conditionalFormatting>
  <conditionalFormatting sqref="B45:D45">
    <cfRule type="expression" dxfId="6233" priority="128">
      <formula>B$9&gt;=20/24</formula>
    </cfRule>
    <cfRule type="expression" dxfId="6232" priority="129">
      <formula>AND(B$9&gt;=14/24,B$9&lt;20/24)</formula>
    </cfRule>
    <cfRule type="expression" dxfId="6231" priority="130">
      <formula>AND(B$9&gt;=8/24,B$9&lt;14/24)</formula>
    </cfRule>
    <cfRule type="expression" dxfId="6230" priority="131">
      <formula>B$9&lt;8/24</formula>
    </cfRule>
  </conditionalFormatting>
  <conditionalFormatting sqref="B45:D47 B38:S38">
    <cfRule type="expression" dxfId="6229" priority="127">
      <formula>B38&gt;$AG38</formula>
    </cfRule>
  </conditionalFormatting>
  <conditionalFormatting sqref="B59:B62 B75:B79 B81:AF81 B88 C62:AG62 C79:AG79 B90:AF90 B92:C98 B64:D67 E66:L67 G68:L68 B69:L73 C59:R61 B12:Y14 B18:Y18 B29:Y29 B31:Y34 B25:Y27 M66:Z73 AA66:AC67 AA69:AC73">
    <cfRule type="expression" dxfId="6228" priority="123">
      <formula>B$9&gt;=20/24</formula>
    </cfRule>
    <cfRule type="expression" dxfId="6227" priority="124">
      <formula>AND(B$9&gt;=14/24,B$9&lt;20/24)</formula>
    </cfRule>
    <cfRule type="expression" dxfId="6226" priority="125">
      <formula>AND(B$9&gt;=8/24,B$9&lt;14/24)</formula>
    </cfRule>
    <cfRule type="expression" dxfId="6225" priority="126">
      <formula>B$9&lt;8/24</formula>
    </cfRule>
  </conditionalFormatting>
  <conditionalFormatting sqref="B35:Y35">
    <cfRule type="expression" dxfId="6224" priority="119">
      <formula>B$9&gt;=20/24</formula>
    </cfRule>
    <cfRule type="expression" dxfId="6223" priority="120">
      <formula>AND(B$9&gt;=14/24,B$9&lt;20/24)</formula>
    </cfRule>
    <cfRule type="expression" dxfId="6222" priority="121">
      <formula>AND(B$9&gt;=8/24,B$9&lt;14/24)</formula>
    </cfRule>
    <cfRule type="expression" dxfId="6221" priority="122">
      <formula>B$9&lt;8/24</formula>
    </cfRule>
  </conditionalFormatting>
  <conditionalFormatting sqref="B57:B62 B40:AG40 C58:AG58 C62:AG62 B48:D49 C59:R61 B31:Y35 B25:Y29 E49:AE49">
    <cfRule type="expression" dxfId="6220" priority="118">
      <formula>B25&gt;$AG25</formula>
    </cfRule>
  </conditionalFormatting>
  <conditionalFormatting sqref="B37:Y37">
    <cfRule type="expression" dxfId="6219" priority="114">
      <formula>B$9&gt;=20/24</formula>
    </cfRule>
    <cfRule type="expression" dxfId="6218" priority="115">
      <formula>AND(B$9&gt;=14/24,B$9&lt;20/24)</formula>
    </cfRule>
    <cfRule type="expression" dxfId="6217" priority="116">
      <formula>AND(B$9&gt;=8/24,B$9&lt;14/24)</formula>
    </cfRule>
    <cfRule type="expression" dxfId="6216" priority="117">
      <formula>B$9&lt;8/24</formula>
    </cfRule>
  </conditionalFormatting>
  <conditionalFormatting sqref="B15:Y15">
    <cfRule type="expression" dxfId="6215" priority="110">
      <formula>B$9&gt;=20/24</formula>
    </cfRule>
    <cfRule type="expression" dxfId="6214" priority="111">
      <formula>AND(B$9&gt;=14/24,B$9&lt;20/24)</formula>
    </cfRule>
    <cfRule type="expression" dxfId="6213" priority="112">
      <formula>AND(B$9&gt;=8/24,B$9&lt;14/24)</formula>
    </cfRule>
    <cfRule type="expression" dxfId="6212" priority="113">
      <formula>B$9&lt;8/24</formula>
    </cfRule>
  </conditionalFormatting>
  <conditionalFormatting sqref="B36:Y36">
    <cfRule type="expression" dxfId="6211" priority="106">
      <formula>B$9&gt;=20/24</formula>
    </cfRule>
    <cfRule type="expression" dxfId="6210" priority="107">
      <formula>AND(B$9&gt;=14/24,B$9&lt;20/24)</formula>
    </cfRule>
    <cfRule type="expression" dxfId="6209" priority="108">
      <formula>AND(B$9&gt;=8/24,B$9&lt;14/24)</formula>
    </cfRule>
    <cfRule type="expression" dxfId="6208" priority="109">
      <formula>B$9&lt;8/24</formula>
    </cfRule>
  </conditionalFormatting>
  <conditionalFormatting sqref="B36:Y36">
    <cfRule type="expression" dxfId="6207" priority="105">
      <formula>B36&gt;$AG36</formula>
    </cfRule>
  </conditionalFormatting>
  <conditionalFormatting sqref="B50:AE56 AF51:AF56">
    <cfRule type="expression" dxfId="6206" priority="101">
      <formula>B$9&gt;=20/24</formula>
    </cfRule>
    <cfRule type="expression" dxfId="6205" priority="102">
      <formula>AND(B$9&gt;=14/24,B$9&lt;20/24)</formula>
    </cfRule>
    <cfRule type="expression" dxfId="6204" priority="103">
      <formula>AND(B$9&gt;=8/24,B$9&lt;14/24)</formula>
    </cfRule>
    <cfRule type="expression" dxfId="6203" priority="104">
      <formula>B$9&lt;8/24</formula>
    </cfRule>
  </conditionalFormatting>
  <conditionalFormatting sqref="B50:AE56 AF51:AF56">
    <cfRule type="expression" dxfId="6202" priority="100">
      <formula>B50&gt;$AG50</formula>
    </cfRule>
  </conditionalFormatting>
  <conditionalFormatting sqref="B28:Y28">
    <cfRule type="expression" dxfId="6201" priority="96">
      <formula>B$9&gt;=20/24</formula>
    </cfRule>
    <cfRule type="expression" dxfId="6200" priority="97">
      <formula>AND(B$9&gt;=14/24,B$9&lt;20/24)</formula>
    </cfRule>
    <cfRule type="expression" dxfId="6199" priority="98">
      <formula>AND(B$9&gt;=8/24,B$9&lt;14/24)</formula>
    </cfRule>
    <cfRule type="expression" dxfId="6198" priority="99">
      <formula>B$9&lt;8/24</formula>
    </cfRule>
  </conditionalFormatting>
  <conditionalFormatting sqref="B24:Y24 B19:Y19">
    <cfRule type="expression" dxfId="6197" priority="92">
      <formula>B$9&gt;=20/24</formula>
    </cfRule>
    <cfRule type="expression" dxfId="6196" priority="93">
      <formula>AND(B$9&gt;=14/24,B$9&lt;20/24)</formula>
    </cfRule>
    <cfRule type="expression" dxfId="6195" priority="94">
      <formula>AND(B$9&gt;=8/24,B$9&lt;14/24)</formula>
    </cfRule>
    <cfRule type="expression" dxfId="6194" priority="95">
      <formula>B$9&lt;8/24</formula>
    </cfRule>
  </conditionalFormatting>
  <conditionalFormatting sqref="B24:Y24 B19:Y19">
    <cfRule type="expression" dxfId="6193" priority="91">
      <formula>B19&gt;$AG19</formula>
    </cfRule>
  </conditionalFormatting>
  <conditionalFormatting sqref="A36">
    <cfRule type="expression" dxfId="6192" priority="90">
      <formula>$AH36=0</formula>
    </cfRule>
  </conditionalFormatting>
  <conditionalFormatting sqref="B74:AF74">
    <cfRule type="expression" dxfId="6191" priority="86">
      <formula>B$9&gt;=20/24</formula>
    </cfRule>
    <cfRule type="expression" dxfId="6190" priority="87">
      <formula>AND(B$9&gt;=14/24,B$9&lt;20/24)</formula>
    </cfRule>
    <cfRule type="expression" dxfId="6189" priority="88">
      <formula>AND(B$9&gt;=8/24,B$9&lt;14/24)</formula>
    </cfRule>
    <cfRule type="expression" dxfId="6188" priority="89">
      <formula>B$9&lt;8/24</formula>
    </cfRule>
  </conditionalFormatting>
  <conditionalFormatting sqref="B83:AF87">
    <cfRule type="expression" dxfId="6187" priority="82">
      <formula>B$9&gt;=20/24</formula>
    </cfRule>
    <cfRule type="expression" dxfId="6186" priority="83">
      <formula>AND(B$9&gt;=14/24,B$9&lt;20/24)</formula>
    </cfRule>
    <cfRule type="expression" dxfId="6185" priority="84">
      <formula>AND(B$9&gt;=8/24,B$9&lt;14/24)</formula>
    </cfRule>
    <cfRule type="expression" dxfId="6184" priority="85">
      <formula>B$9&lt;8/24</formula>
    </cfRule>
  </conditionalFormatting>
  <conditionalFormatting sqref="AL37 AL34 AL18:AL29 AL7:AL16 AL31:AL32">
    <cfRule type="iconSet" priority="266">
      <iconSet iconSet="3TrafficLights2" reverse="1">
        <cfvo type="percent" val="0"/>
        <cfvo type="num" val="1"/>
        <cfvo type="num" val="1"/>
      </iconSet>
    </cfRule>
  </conditionalFormatting>
  <conditionalFormatting sqref="R41:AF43">
    <cfRule type="expression" dxfId="6183" priority="78">
      <formula>R$9&gt;=20/24</formula>
    </cfRule>
    <cfRule type="expression" dxfId="6182" priority="79">
      <formula>AND(R$9&gt;=14/24,R$9&lt;20/24)</formula>
    </cfRule>
    <cfRule type="expression" dxfId="6181" priority="80">
      <formula>AND(R$9&gt;=8/24,R$9&lt;14/24)</formula>
    </cfRule>
    <cfRule type="expression" dxfId="6180" priority="81">
      <formula>R$9&lt;8/24</formula>
    </cfRule>
  </conditionalFormatting>
  <conditionalFormatting sqref="R41:AF43">
    <cfRule type="expression" dxfId="6179" priority="77">
      <formula>R41&gt;$AG41</formula>
    </cfRule>
  </conditionalFormatting>
  <conditionalFormatting sqref="B41:B44 C44:AG44 C41:Q43">
    <cfRule type="expression" dxfId="6178" priority="73">
      <formula>B$9&gt;=20/24</formula>
    </cfRule>
    <cfRule type="expression" dxfId="6177" priority="74">
      <formula>AND(B$9&gt;=14/24,B$9&lt;20/24)</formula>
    </cfRule>
    <cfRule type="expression" dxfId="6176" priority="75">
      <formula>AND(B$9&gt;=8/24,B$9&lt;14/24)</formula>
    </cfRule>
    <cfRule type="expression" dxfId="6175" priority="76">
      <formula>B$9&lt;8/24</formula>
    </cfRule>
  </conditionalFormatting>
  <conditionalFormatting sqref="B41:B44 C44:AG44 C41:Q43">
    <cfRule type="expression" dxfId="6174" priority="72">
      <formula>B41&gt;$AG41</formula>
    </cfRule>
  </conditionalFormatting>
  <conditionalFormatting sqref="C99:AF99">
    <cfRule type="expression" dxfId="6173" priority="68">
      <formula>C$9&gt;=20/24</formula>
    </cfRule>
    <cfRule type="expression" dxfId="6172" priority="69">
      <formula>AND(C$9&gt;=14/24,C$9&lt;20/24)</formula>
    </cfRule>
    <cfRule type="expression" dxfId="6171" priority="70">
      <formula>AND(C$9&gt;=8/24,C$9&lt;14/24)</formula>
    </cfRule>
    <cfRule type="expression" dxfId="6170" priority="71">
      <formula>C$9&lt;8/24</formula>
    </cfRule>
  </conditionalFormatting>
  <conditionalFormatting sqref="B99">
    <cfRule type="expression" dxfId="6169" priority="64">
      <formula>B$9&gt;=20/24</formula>
    </cfRule>
    <cfRule type="expression" dxfId="6168" priority="65">
      <formula>AND(B$9&gt;=14/24,B$9&lt;20/24)</formula>
    </cfRule>
    <cfRule type="expression" dxfId="6167" priority="66">
      <formula>AND(B$9&gt;=8/24,B$9&lt;14/24)</formula>
    </cfRule>
    <cfRule type="expression" dxfId="6166" priority="67">
      <formula>B$9&lt;8/24</formula>
    </cfRule>
  </conditionalFormatting>
  <conditionalFormatting sqref="AL33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6165" priority="58">
      <formula>$AH33=0</formula>
    </cfRule>
  </conditionalFormatting>
  <conditionalFormatting sqref="A82">
    <cfRule type="expression" dxfId="6164" priority="56">
      <formula>$AH82=0</formula>
    </cfRule>
  </conditionalFormatting>
  <conditionalFormatting sqref="A79">
    <cfRule type="expression" dxfId="6163" priority="57">
      <formula>$AH79=0</formula>
    </cfRule>
  </conditionalFormatting>
  <conditionalFormatting sqref="A109">
    <cfRule type="expression" dxfId="6162" priority="47">
      <formula>$AH109=0</formula>
    </cfRule>
  </conditionalFormatting>
  <conditionalFormatting sqref="C102:AF102">
    <cfRule type="expression" dxfId="6161" priority="43">
      <formula>C$9&gt;=20/24</formula>
    </cfRule>
    <cfRule type="expression" dxfId="6160" priority="44">
      <formula>AND(C$9&gt;=14/24,C$9&lt;20/24)</formula>
    </cfRule>
    <cfRule type="expression" dxfId="6159" priority="45">
      <formula>AND(C$9&gt;=8/24,C$9&lt;14/24)</formula>
    </cfRule>
    <cfRule type="expression" dxfId="6158" priority="46">
      <formula>C$9&lt;8/24</formula>
    </cfRule>
  </conditionalFormatting>
  <conditionalFormatting sqref="A102">
    <cfRule type="expression" dxfId="6157" priority="42">
      <formula>$AH102=0</formula>
    </cfRule>
  </conditionalFormatting>
  <conditionalFormatting sqref="B102">
    <cfRule type="expression" dxfId="6156" priority="38">
      <formula>B$9&gt;=20/24</formula>
    </cfRule>
    <cfRule type="expression" dxfId="6155" priority="39">
      <formula>AND(B$9&gt;=14/24,B$9&lt;20/24)</formula>
    </cfRule>
    <cfRule type="expression" dxfId="6154" priority="40">
      <formula>AND(B$9&gt;=8/24,B$9&lt;14/24)</formula>
    </cfRule>
    <cfRule type="expression" dxfId="6153" priority="41">
      <formula>B$9&lt;8/24</formula>
    </cfRule>
  </conditionalFormatting>
  <conditionalFormatting sqref="B17:AF17">
    <cfRule type="expression" dxfId="6152" priority="31">
      <formula>B17&gt;$AG17</formula>
    </cfRule>
  </conditionalFormatting>
  <conditionalFormatting sqref="A17">
    <cfRule type="expression" dxfId="6151" priority="30">
      <formula>$AH17=0</formula>
    </cfRule>
  </conditionalFormatting>
  <conditionalFormatting sqref="Z17:AF17">
    <cfRule type="expression" dxfId="6150" priority="26">
      <formula>Z$9&gt;=20/24</formula>
    </cfRule>
    <cfRule type="expression" dxfId="6149" priority="27">
      <formula>AND(Z$9&gt;=14/24,Z$9&lt;20/24)</formula>
    </cfRule>
    <cfRule type="expression" dxfId="6148" priority="28">
      <formula>AND(Z$9&gt;=8/24,Z$9&lt;14/24)</formula>
    </cfRule>
    <cfRule type="expression" dxfId="6147" priority="29">
      <formula>Z$9&lt;8/24</formula>
    </cfRule>
  </conditionalFormatting>
  <conditionalFormatting sqref="B17:Y17">
    <cfRule type="expression" dxfId="6146" priority="22">
      <formula>B$9&gt;=20/24</formula>
    </cfRule>
    <cfRule type="expression" dxfId="6145" priority="23">
      <formula>AND(B$9&gt;=14/24,B$9&lt;20/24)</formula>
    </cfRule>
    <cfRule type="expression" dxfId="6144" priority="24">
      <formula>AND(B$9&gt;=8/24,B$9&lt;14/24)</formula>
    </cfRule>
    <cfRule type="expression" dxfId="6143" priority="25">
      <formula>B$9&lt;8/24</formula>
    </cfRule>
  </conditionalFormatting>
  <conditionalFormatting sqref="AL17">
    <cfRule type="iconSet" priority="32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6142" priority="20">
      <formula>$AH30=0</formula>
    </cfRule>
  </conditionalFormatting>
  <conditionalFormatting sqref="Z30:AF30">
    <cfRule type="expression" dxfId="6141" priority="16">
      <formula>Z$9&gt;=20/24</formula>
    </cfRule>
    <cfRule type="expression" dxfId="6140" priority="17">
      <formula>AND(Z$9&gt;=14/24,Z$9&lt;20/24)</formula>
    </cfRule>
    <cfRule type="expression" dxfId="6139" priority="18">
      <formula>AND(Z$9&gt;=8/24,Z$9&lt;14/24)</formula>
    </cfRule>
    <cfRule type="expression" dxfId="6138" priority="19">
      <formula>Z$9&lt;8/24</formula>
    </cfRule>
  </conditionalFormatting>
  <conditionalFormatting sqref="Z30:AF30">
    <cfRule type="expression" dxfId="6137" priority="15">
      <formula>Z30&gt;$AG30</formula>
    </cfRule>
  </conditionalFormatting>
  <conditionalFormatting sqref="N30:Y30">
    <cfRule type="expression" dxfId="6136" priority="11">
      <formula>N$9&gt;=20/24</formula>
    </cfRule>
    <cfRule type="expression" dxfId="6135" priority="12">
      <formula>AND(N$9&gt;=14/24,N$9&lt;20/24)</formula>
    </cfRule>
    <cfRule type="expression" dxfId="6134" priority="13">
      <formula>AND(N$9&gt;=8/24,N$9&lt;14/24)</formula>
    </cfRule>
    <cfRule type="expression" dxfId="6133" priority="14">
      <formula>N$9&lt;8/24</formula>
    </cfRule>
  </conditionalFormatting>
  <conditionalFormatting sqref="N30:Y30">
    <cfRule type="expression" dxfId="6132" priority="10">
      <formula>N30&gt;$AG30</formula>
    </cfRule>
  </conditionalFormatting>
  <conditionalFormatting sqref="B30:M30">
    <cfRule type="expression" dxfId="6131" priority="6">
      <formula>B$9&gt;=20/24</formula>
    </cfRule>
    <cfRule type="expression" dxfId="6130" priority="7">
      <formula>AND(B$9&gt;=14/24,B$9&lt;20/24)</formula>
    </cfRule>
    <cfRule type="expression" dxfId="6129" priority="8">
      <formula>AND(B$9&gt;=8/24,B$9&lt;14/24)</formula>
    </cfRule>
    <cfRule type="expression" dxfId="6128" priority="9">
      <formula>B$9&lt;8/24</formula>
    </cfRule>
  </conditionalFormatting>
  <conditionalFormatting sqref="B30:M30">
    <cfRule type="expression" dxfId="6127" priority="5">
      <formula>B30&gt;$AG30</formula>
    </cfRule>
  </conditionalFormatting>
  <conditionalFormatting sqref="AL30">
    <cfRule type="iconSet" priority="21">
      <iconSet iconSet="3TrafficLights2" reverse="1">
        <cfvo type="percent" val="0"/>
        <cfvo type="num" val="1"/>
        <cfvo type="num" val="1"/>
      </iconSet>
    </cfRule>
  </conditionalFormatting>
  <conditionalFormatting sqref="B68:F68">
    <cfRule type="expression" dxfId="6126" priority="1">
      <formula>B$9&gt;=20/24</formula>
    </cfRule>
    <cfRule type="expression" dxfId="6125" priority="2">
      <formula>AND(B$9&gt;=14/24,B$9&lt;20/24)</formula>
    </cfRule>
    <cfRule type="expression" dxfId="6124" priority="3">
      <formula>AND(B$9&gt;=8/24,B$9&lt;14/24)</formula>
    </cfRule>
    <cfRule type="expression" dxfId="6123" priority="4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9" id="{6F85DF5F-6530-46FA-B0B3-DE468825B695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0" id="{FFD7FD9B-5C1F-4202-8323-223637404ED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1" id="{9B8F8819-EF4B-4B25-8AD9-4F4C2350BAE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2" id="{16FA76EA-81BC-4314-9481-C266165BE991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52" id="{C82526BF-A78F-4451-AFAC-506B1E0CCF8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3" id="{63CD62A8-3B5B-4F53-B214-F914B92A3E7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4" id="{A9C041DF-F7B5-457D-8DA9-D3F68DD275AE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5" id="{22722D57-3FDF-4AC5-B626-883CC9AD416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8" id="{B3FC13AA-AF52-421D-B262-771F375A5C2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3AF44B16-4A02-4B86-A2A8-33C9AD26037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F08074BD-A1A4-4CAF-B4E6-76FF555B37D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5DB9E46C-1FDB-4966-86C9-85F687042637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K65" sqref="AK6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2079/06/14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4</v>
      </c>
      <c r="C5" s="148">
        <f t="shared" si="0"/>
        <v>1.9</v>
      </c>
      <c r="D5" s="148">
        <f t="shared" si="0"/>
        <v>9.1</v>
      </c>
      <c r="E5" s="148">
        <f t="shared" si="0"/>
        <v>7.8</v>
      </c>
      <c r="F5" s="148">
        <f t="shared" si="0"/>
        <v>7.8</v>
      </c>
      <c r="G5" s="148">
        <f t="shared" si="0"/>
        <v>7.8</v>
      </c>
      <c r="H5" s="148">
        <f t="shared" si="0"/>
        <v>7.8</v>
      </c>
      <c r="I5" s="148">
        <f t="shared" si="0"/>
        <v>2.4</v>
      </c>
      <c r="J5" s="148">
        <f t="shared" si="0"/>
        <v>2.4</v>
      </c>
      <c r="K5" s="148">
        <f t="shared" si="0"/>
        <v>2.4</v>
      </c>
      <c r="L5" s="148">
        <f t="shared" si="0"/>
        <v>11.2</v>
      </c>
      <c r="M5" s="148">
        <f t="shared" si="0"/>
        <v>11.7</v>
      </c>
      <c r="N5" s="148">
        <f t="shared" si="0"/>
        <v>14.6</v>
      </c>
      <c r="O5" s="148">
        <f t="shared" si="0"/>
        <v>15</v>
      </c>
      <c r="P5" s="148">
        <f t="shared" si="0"/>
        <v>18</v>
      </c>
      <c r="Q5" s="148">
        <f t="shared" si="0"/>
        <v>17.8</v>
      </c>
      <c r="R5" s="148">
        <f t="shared" si="0"/>
        <v>19</v>
      </c>
      <c r="S5" s="148">
        <f t="shared" si="0"/>
        <v>21.3</v>
      </c>
      <c r="T5" s="148">
        <f t="shared" si="0"/>
        <v>16</v>
      </c>
      <c r="U5" s="148">
        <f t="shared" si="0"/>
        <v>14</v>
      </c>
      <c r="V5" s="148">
        <f t="shared" si="0"/>
        <v>13.7</v>
      </c>
      <c r="W5" s="148">
        <f t="shared" si="0"/>
        <v>13</v>
      </c>
      <c r="X5" s="148">
        <f t="shared" si="0"/>
        <v>13</v>
      </c>
      <c r="Y5" s="148">
        <f t="shared" si="0"/>
        <v>56</v>
      </c>
      <c r="Z5" s="148">
        <f t="shared" si="0"/>
        <v>53</v>
      </c>
      <c r="AA5" s="148">
        <f t="shared" si="0"/>
        <v>54.7</v>
      </c>
      <c r="AB5" s="148">
        <f t="shared" si="0"/>
        <v>56.3</v>
      </c>
      <c r="AC5" s="148">
        <f t="shared" si="0"/>
        <v>30.5</v>
      </c>
      <c r="AD5" s="148">
        <f t="shared" si="0"/>
        <v>0</v>
      </c>
      <c r="AE5" s="148">
        <f t="shared" si="0"/>
        <v>0</v>
      </c>
      <c r="AF5" s="148">
        <f>B74</f>
        <v>5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1813MW at 9:00hr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Load=1681</v>
      </c>
      <c r="B7" s="137">
        <f t="shared" ref="B7:AF7" si="1">B81</f>
        <v>1770.04</v>
      </c>
      <c r="C7" s="137">
        <f t="shared" si="1"/>
        <v>1768.6399999999999</v>
      </c>
      <c r="D7" s="137">
        <f t="shared" si="1"/>
        <v>1728.24</v>
      </c>
      <c r="E7" s="137">
        <f t="shared" si="1"/>
        <v>1707.54</v>
      </c>
      <c r="F7" s="137">
        <f t="shared" si="1"/>
        <v>1680.84</v>
      </c>
      <c r="G7" s="137">
        <f t="shared" si="1"/>
        <v>1680.84</v>
      </c>
      <c r="H7" s="137">
        <f t="shared" si="1"/>
        <v>1680.84</v>
      </c>
      <c r="I7" s="137">
        <f t="shared" si="1"/>
        <v>1702.24</v>
      </c>
      <c r="J7" s="137">
        <f t="shared" si="1"/>
        <v>1698.14</v>
      </c>
      <c r="K7" s="137">
        <f t="shared" si="1"/>
        <v>1698.14</v>
      </c>
      <c r="L7" s="137">
        <f t="shared" si="1"/>
        <v>1747.14</v>
      </c>
      <c r="M7" s="137">
        <f t="shared" si="1"/>
        <v>1800.74</v>
      </c>
      <c r="N7" s="137">
        <f t="shared" si="1"/>
        <v>1813.24</v>
      </c>
      <c r="O7" s="137">
        <f t="shared" si="1"/>
        <v>1833.6399999999999</v>
      </c>
      <c r="P7" s="137">
        <f t="shared" si="1"/>
        <v>1845.94</v>
      </c>
      <c r="Q7" s="137">
        <f t="shared" si="1"/>
        <v>1754.94</v>
      </c>
      <c r="R7" s="137">
        <f t="shared" si="1"/>
        <v>1840.04</v>
      </c>
      <c r="S7" s="137">
        <f t="shared" si="1"/>
        <v>1823.54</v>
      </c>
      <c r="T7" s="137">
        <f t="shared" si="1"/>
        <v>1848.34</v>
      </c>
      <c r="U7" s="137">
        <f t="shared" si="1"/>
        <v>1843.04</v>
      </c>
      <c r="V7" s="137">
        <f t="shared" si="1"/>
        <v>1805.34</v>
      </c>
      <c r="W7" s="137">
        <f t="shared" si="1"/>
        <v>1800.44</v>
      </c>
      <c r="X7" s="137">
        <f t="shared" si="1"/>
        <v>1789.44</v>
      </c>
      <c r="Y7" s="137">
        <f t="shared" si="1"/>
        <v>1809.74</v>
      </c>
      <c r="Z7" s="137">
        <f t="shared" si="1"/>
        <v>1850.74</v>
      </c>
      <c r="AA7" s="137">
        <f t="shared" si="1"/>
        <v>1847.74</v>
      </c>
      <c r="AB7" s="137">
        <f t="shared" si="1"/>
        <v>1869.04</v>
      </c>
      <c r="AC7" s="137">
        <f t="shared" si="1"/>
        <v>1880.4399999999998</v>
      </c>
      <c r="AD7" s="137">
        <f t="shared" si="1"/>
        <v>1829.24</v>
      </c>
      <c r="AE7" s="137">
        <f t="shared" si="1"/>
        <v>1776.74</v>
      </c>
      <c r="AF7" s="137">
        <f t="shared" si="1"/>
        <v>1755.8400000000001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53.8</v>
      </c>
      <c r="C11" s="105">
        <v>53.8</v>
      </c>
      <c r="D11" s="105">
        <v>53.8</v>
      </c>
      <c r="E11" s="105">
        <v>53.8</v>
      </c>
      <c r="F11" s="105">
        <v>53.8</v>
      </c>
      <c r="G11" s="105">
        <v>53.8</v>
      </c>
      <c r="H11" s="105">
        <v>53.8</v>
      </c>
      <c r="I11" s="105">
        <v>53.8</v>
      </c>
      <c r="J11" s="105">
        <v>53.8</v>
      </c>
      <c r="K11" s="105">
        <v>53.8</v>
      </c>
      <c r="L11" s="105">
        <v>53.8</v>
      </c>
      <c r="M11" s="105">
        <v>53.8</v>
      </c>
      <c r="N11" s="105">
        <v>53.8</v>
      </c>
      <c r="O11" s="105">
        <v>53.8</v>
      </c>
      <c r="P11" s="105">
        <v>53.8</v>
      </c>
      <c r="Q11" s="105">
        <v>53.8</v>
      </c>
      <c r="R11" s="105">
        <v>53.8</v>
      </c>
      <c r="S11" s="105">
        <v>53.8</v>
      </c>
      <c r="T11" s="105">
        <v>53.8</v>
      </c>
      <c r="U11" s="105">
        <v>53.8</v>
      </c>
      <c r="V11" s="105">
        <v>53.8</v>
      </c>
      <c r="W11" s="105">
        <v>53.8</v>
      </c>
      <c r="X11" s="105">
        <v>53.8</v>
      </c>
      <c r="Y11" s="105">
        <v>53.7</v>
      </c>
      <c r="Z11" s="105">
        <v>53.7</v>
      </c>
      <c r="AA11" s="105">
        <v>53.7</v>
      </c>
      <c r="AB11" s="128">
        <v>53.8</v>
      </c>
      <c r="AC11" s="128">
        <v>53.8</v>
      </c>
      <c r="AD11" s="128">
        <v>53.8</v>
      </c>
      <c r="AE11" s="128">
        <v>53.8</v>
      </c>
      <c r="AF11" s="128">
        <v>53.8</v>
      </c>
      <c r="AG11" s="127">
        <v>52.4</v>
      </c>
      <c r="AH11" s="20">
        <f t="shared" ref="AH11:AH74" si="2">MAX(B11:AF11)</f>
        <v>53.8</v>
      </c>
      <c r="AI11" s="19">
        <f t="shared" ref="AI11:AI74" si="3">MIN(B11:AF11)</f>
        <v>53.7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50.4</v>
      </c>
      <c r="C12" s="105">
        <v>50.4</v>
      </c>
      <c r="D12" s="105">
        <v>50.4</v>
      </c>
      <c r="E12" s="105">
        <v>50.4</v>
      </c>
      <c r="F12" s="105">
        <v>50.4</v>
      </c>
      <c r="G12" s="105">
        <v>50.4</v>
      </c>
      <c r="H12" s="105">
        <v>50.4</v>
      </c>
      <c r="I12" s="105">
        <v>50.4</v>
      </c>
      <c r="J12" s="105">
        <v>50.4</v>
      </c>
      <c r="K12" s="105">
        <v>50.4</v>
      </c>
      <c r="L12" s="105">
        <v>50.4</v>
      </c>
      <c r="M12" s="105">
        <v>50.4</v>
      </c>
      <c r="N12" s="105">
        <v>50.4</v>
      </c>
      <c r="O12" s="105">
        <v>50.4</v>
      </c>
      <c r="P12" s="105">
        <v>50.4</v>
      </c>
      <c r="Q12" s="105">
        <v>50.4</v>
      </c>
      <c r="R12" s="105">
        <v>50.4</v>
      </c>
      <c r="S12" s="105">
        <v>50.4</v>
      </c>
      <c r="T12" s="105">
        <v>50.4</v>
      </c>
      <c r="U12" s="105">
        <v>50.4</v>
      </c>
      <c r="V12" s="105">
        <v>50.4</v>
      </c>
      <c r="W12" s="105">
        <v>50.8</v>
      </c>
      <c r="X12" s="105">
        <v>50.5</v>
      </c>
      <c r="Y12" s="105">
        <v>50.6</v>
      </c>
      <c r="Z12" s="105">
        <v>50.6</v>
      </c>
      <c r="AA12" s="105">
        <v>50.6</v>
      </c>
      <c r="AB12" s="105">
        <v>50.3</v>
      </c>
      <c r="AC12" s="105">
        <v>50.3</v>
      </c>
      <c r="AD12" s="105">
        <v>50.3</v>
      </c>
      <c r="AE12" s="105">
        <v>50.3</v>
      </c>
      <c r="AF12" s="105">
        <v>50.3</v>
      </c>
      <c r="AG12" s="126">
        <v>50</v>
      </c>
      <c r="AH12" s="20">
        <f t="shared" si="2"/>
        <v>50.8</v>
      </c>
      <c r="AI12" s="19">
        <f t="shared" si="3"/>
        <v>50.3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46.2</v>
      </c>
      <c r="C13" s="105">
        <v>46.2</v>
      </c>
      <c r="D13" s="105">
        <v>46.2</v>
      </c>
      <c r="E13" s="105">
        <v>46.2</v>
      </c>
      <c r="F13" s="105">
        <v>46.2</v>
      </c>
      <c r="G13" s="105">
        <v>46.2</v>
      </c>
      <c r="H13" s="105">
        <v>46.2</v>
      </c>
      <c r="I13" s="105">
        <v>46.2</v>
      </c>
      <c r="J13" s="105">
        <v>46.2</v>
      </c>
      <c r="K13" s="105">
        <v>46.2</v>
      </c>
      <c r="L13" s="105">
        <v>46.2</v>
      </c>
      <c r="M13" s="105">
        <v>46.2</v>
      </c>
      <c r="N13" s="105">
        <v>46.2</v>
      </c>
      <c r="O13" s="105">
        <v>46.2</v>
      </c>
      <c r="P13" s="105">
        <v>46.2</v>
      </c>
      <c r="Q13" s="105">
        <v>46.2</v>
      </c>
      <c r="R13" s="105">
        <v>46.2</v>
      </c>
      <c r="S13" s="105">
        <v>46.2</v>
      </c>
      <c r="T13" s="105">
        <v>46.2</v>
      </c>
      <c r="U13" s="105">
        <v>46.2</v>
      </c>
      <c r="V13" s="105">
        <v>46.2</v>
      </c>
      <c r="W13" s="105">
        <v>46.2</v>
      </c>
      <c r="X13" s="105">
        <v>46.2</v>
      </c>
      <c r="Y13" s="105">
        <v>46.2</v>
      </c>
      <c r="Z13" s="105">
        <v>46.2</v>
      </c>
      <c r="AA13" s="105">
        <v>46.2</v>
      </c>
      <c r="AB13" s="105">
        <v>46.3</v>
      </c>
      <c r="AC13" s="105">
        <v>46.3</v>
      </c>
      <c r="AD13" s="105">
        <v>46.3</v>
      </c>
      <c r="AE13" s="105">
        <v>46.3</v>
      </c>
      <c r="AF13" s="105">
        <v>46.3</v>
      </c>
      <c r="AG13" s="126">
        <v>45</v>
      </c>
      <c r="AH13" s="20">
        <f t="shared" si="2"/>
        <v>46.3</v>
      </c>
      <c r="AI13" s="19">
        <f t="shared" si="3"/>
        <v>46.2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27</v>
      </c>
      <c r="C14" s="105">
        <v>27</v>
      </c>
      <c r="D14" s="105">
        <v>27</v>
      </c>
      <c r="E14" s="105">
        <v>27</v>
      </c>
      <c r="F14" s="105">
        <v>27</v>
      </c>
      <c r="G14" s="105">
        <v>27</v>
      </c>
      <c r="H14" s="105">
        <v>27</v>
      </c>
      <c r="I14" s="105">
        <v>27</v>
      </c>
      <c r="J14" s="105">
        <v>27</v>
      </c>
      <c r="K14" s="105">
        <v>27</v>
      </c>
      <c r="L14" s="105">
        <v>27</v>
      </c>
      <c r="M14" s="105">
        <v>32</v>
      </c>
      <c r="N14" s="105">
        <v>32</v>
      </c>
      <c r="O14" s="105">
        <v>32</v>
      </c>
      <c r="P14" s="105">
        <v>32</v>
      </c>
      <c r="Q14" s="105">
        <v>32</v>
      </c>
      <c r="R14" s="105">
        <v>32</v>
      </c>
      <c r="S14" s="105">
        <v>32</v>
      </c>
      <c r="T14" s="105">
        <v>32</v>
      </c>
      <c r="U14" s="105">
        <v>32</v>
      </c>
      <c r="V14" s="105">
        <v>27</v>
      </c>
      <c r="W14" s="105">
        <v>27</v>
      </c>
      <c r="X14" s="105">
        <v>27</v>
      </c>
      <c r="Y14" s="105">
        <v>37</v>
      </c>
      <c r="Z14" s="105">
        <v>35</v>
      </c>
      <c r="AA14" s="105">
        <v>35</v>
      </c>
      <c r="AB14" s="105">
        <v>34</v>
      </c>
      <c r="AC14" s="105">
        <v>34</v>
      </c>
      <c r="AD14" s="105">
        <v>34</v>
      </c>
      <c r="AE14" s="105">
        <v>26</v>
      </c>
      <c r="AF14" s="105">
        <v>26</v>
      </c>
      <c r="AG14" s="126">
        <v>42</v>
      </c>
      <c r="AH14" s="20">
        <f t="shared" si="2"/>
        <v>37</v>
      </c>
      <c r="AI14" s="19">
        <f t="shared" si="3"/>
        <v>26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0</v>
      </c>
      <c r="N15" s="105">
        <v>10</v>
      </c>
      <c r="O15" s="105">
        <v>14.1</v>
      </c>
      <c r="P15" s="105">
        <v>25</v>
      </c>
      <c r="Q15" s="105">
        <v>15.5</v>
      </c>
      <c r="R15" s="105">
        <v>15.5</v>
      </c>
      <c r="S15" s="105">
        <v>15.5</v>
      </c>
      <c r="T15" s="105">
        <v>15.5</v>
      </c>
      <c r="U15" s="105">
        <v>15.5</v>
      </c>
      <c r="V15" s="105">
        <v>15.5</v>
      </c>
      <c r="W15" s="105">
        <v>10.5</v>
      </c>
      <c r="X15" s="105">
        <v>10.5</v>
      </c>
      <c r="Y15" s="105">
        <v>20.6</v>
      </c>
      <c r="Z15" s="105">
        <v>20.6</v>
      </c>
      <c r="AA15" s="105">
        <v>20.6</v>
      </c>
      <c r="AB15" s="105">
        <v>15</v>
      </c>
      <c r="AC15" s="105">
        <v>25</v>
      </c>
      <c r="AD15" s="105">
        <v>15</v>
      </c>
      <c r="AE15" s="105">
        <v>0</v>
      </c>
      <c r="AF15" s="105">
        <v>0</v>
      </c>
      <c r="AG15" s="96">
        <v>30</v>
      </c>
      <c r="AH15" s="20">
        <f t="shared" si="2"/>
        <v>25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24</v>
      </c>
      <c r="C16" s="105">
        <v>24</v>
      </c>
      <c r="D16" s="105">
        <v>24</v>
      </c>
      <c r="E16" s="105">
        <v>24</v>
      </c>
      <c r="F16" s="105">
        <v>24</v>
      </c>
      <c r="G16" s="105">
        <v>24</v>
      </c>
      <c r="H16" s="105">
        <v>24</v>
      </c>
      <c r="I16" s="105">
        <v>24</v>
      </c>
      <c r="J16" s="105">
        <v>24</v>
      </c>
      <c r="K16" s="105">
        <v>24</v>
      </c>
      <c r="L16" s="105">
        <v>24</v>
      </c>
      <c r="M16" s="105">
        <v>33</v>
      </c>
      <c r="N16" s="105">
        <v>33</v>
      </c>
      <c r="O16" s="105">
        <v>25</v>
      </c>
      <c r="P16" s="105">
        <v>25</v>
      </c>
      <c r="Q16" s="105">
        <v>25</v>
      </c>
      <c r="R16" s="105">
        <v>25</v>
      </c>
      <c r="S16" s="105">
        <v>25</v>
      </c>
      <c r="T16" s="105">
        <v>25</v>
      </c>
      <c r="U16" s="105">
        <v>25</v>
      </c>
      <c r="V16" s="105">
        <v>25</v>
      </c>
      <c r="W16" s="105">
        <v>25</v>
      </c>
      <c r="X16" s="105">
        <v>25</v>
      </c>
      <c r="Y16" s="105">
        <v>25</v>
      </c>
      <c r="Z16" s="105">
        <v>25</v>
      </c>
      <c r="AA16" s="105">
        <v>25</v>
      </c>
      <c r="AB16" s="105">
        <v>25</v>
      </c>
      <c r="AC16" s="105">
        <v>25</v>
      </c>
      <c r="AD16" s="105">
        <v>25</v>
      </c>
      <c r="AE16" s="105">
        <v>25</v>
      </c>
      <c r="AF16" s="105">
        <v>25</v>
      </c>
      <c r="AG16" s="126">
        <v>24.2</v>
      </c>
      <c r="AH16" s="20">
        <f t="shared" si="2"/>
        <v>33</v>
      </c>
      <c r="AI16" s="19">
        <f t="shared" si="3"/>
        <v>24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10</v>
      </c>
      <c r="C17" s="105">
        <v>10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10</v>
      </c>
      <c r="N17" s="105">
        <v>10</v>
      </c>
      <c r="O17" s="105">
        <v>27</v>
      </c>
      <c r="P17" s="105">
        <v>27</v>
      </c>
      <c r="Q17" s="105">
        <v>27</v>
      </c>
      <c r="R17" s="105">
        <v>27</v>
      </c>
      <c r="S17" s="105">
        <v>27</v>
      </c>
      <c r="T17" s="105">
        <v>27</v>
      </c>
      <c r="U17" s="105">
        <v>27</v>
      </c>
      <c r="V17" s="105">
        <v>27</v>
      </c>
      <c r="W17" s="105">
        <v>27</v>
      </c>
      <c r="X17" s="105">
        <v>27</v>
      </c>
      <c r="Y17" s="105">
        <v>27</v>
      </c>
      <c r="Z17" s="105">
        <v>27</v>
      </c>
      <c r="AA17" s="105">
        <v>27</v>
      </c>
      <c r="AB17" s="105">
        <v>27</v>
      </c>
      <c r="AC17" s="105">
        <v>27</v>
      </c>
      <c r="AD17" s="105">
        <v>27</v>
      </c>
      <c r="AE17" s="105">
        <v>18</v>
      </c>
      <c r="AF17" s="105">
        <v>18</v>
      </c>
      <c r="AG17" s="96">
        <v>30</v>
      </c>
      <c r="AH17" s="20">
        <f t="shared" si="2"/>
        <v>27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25.2</v>
      </c>
      <c r="C18" s="105">
        <v>25.2</v>
      </c>
      <c r="D18" s="105">
        <v>25.2</v>
      </c>
      <c r="E18" s="105">
        <v>25.2</v>
      </c>
      <c r="F18" s="105">
        <v>25.2</v>
      </c>
      <c r="G18" s="105">
        <v>25.2</v>
      </c>
      <c r="H18" s="105">
        <v>25.2</v>
      </c>
      <c r="I18" s="105">
        <v>25.2</v>
      </c>
      <c r="J18" s="105">
        <v>25.2</v>
      </c>
      <c r="K18" s="105">
        <v>25.2</v>
      </c>
      <c r="L18" s="105">
        <v>25.2</v>
      </c>
      <c r="M18" s="105">
        <v>25.2</v>
      </c>
      <c r="N18" s="105">
        <v>25.2</v>
      </c>
      <c r="O18" s="105">
        <v>25.2</v>
      </c>
      <c r="P18" s="105">
        <v>25.2</v>
      </c>
      <c r="Q18" s="105">
        <v>25.2</v>
      </c>
      <c r="R18" s="105">
        <v>25.2</v>
      </c>
      <c r="S18" s="105">
        <v>25.2</v>
      </c>
      <c r="T18" s="105">
        <v>25.2</v>
      </c>
      <c r="U18" s="105">
        <v>25.2</v>
      </c>
      <c r="V18" s="105">
        <v>25.2</v>
      </c>
      <c r="W18" s="105">
        <v>25.2</v>
      </c>
      <c r="X18" s="105">
        <v>25.2</v>
      </c>
      <c r="Y18" s="105">
        <v>25.2</v>
      </c>
      <c r="Z18" s="105">
        <v>25.2</v>
      </c>
      <c r="AA18" s="105">
        <v>25.2</v>
      </c>
      <c r="AB18" s="105">
        <v>26</v>
      </c>
      <c r="AC18" s="105">
        <v>26</v>
      </c>
      <c r="AD18" s="105">
        <v>26</v>
      </c>
      <c r="AE18" s="105">
        <v>26</v>
      </c>
      <c r="AF18" s="105">
        <v>25.1</v>
      </c>
      <c r="AG18" s="126">
        <v>25</v>
      </c>
      <c r="AH18" s="20">
        <f t="shared" si="2"/>
        <v>26</v>
      </c>
      <c r="AI18" s="19">
        <f t="shared" si="3"/>
        <v>25.1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25</v>
      </c>
      <c r="C19" s="105">
        <v>25</v>
      </c>
      <c r="D19" s="105">
        <v>23</v>
      </c>
      <c r="E19" s="105">
        <v>23</v>
      </c>
      <c r="F19" s="105">
        <v>23</v>
      </c>
      <c r="G19" s="105">
        <v>23</v>
      </c>
      <c r="H19" s="105">
        <v>23</v>
      </c>
      <c r="I19" s="105">
        <v>23</v>
      </c>
      <c r="J19" s="105">
        <v>23</v>
      </c>
      <c r="K19" s="105">
        <v>23</v>
      </c>
      <c r="L19" s="105">
        <v>23</v>
      </c>
      <c r="M19" s="105">
        <v>23</v>
      </c>
      <c r="N19" s="105">
        <v>23</v>
      </c>
      <c r="O19" s="105">
        <v>23</v>
      </c>
      <c r="P19" s="105">
        <v>23</v>
      </c>
      <c r="Q19" s="105">
        <v>23</v>
      </c>
      <c r="R19" s="105">
        <v>23</v>
      </c>
      <c r="S19" s="105">
        <v>23</v>
      </c>
      <c r="T19" s="105">
        <v>23</v>
      </c>
      <c r="U19" s="105">
        <v>23</v>
      </c>
      <c r="V19" s="105">
        <v>23</v>
      </c>
      <c r="W19" s="105">
        <v>25</v>
      </c>
      <c r="X19" s="105">
        <v>25</v>
      </c>
      <c r="Y19" s="105">
        <v>25</v>
      </c>
      <c r="Z19" s="105">
        <v>25</v>
      </c>
      <c r="AA19" s="105">
        <v>25</v>
      </c>
      <c r="AB19" s="105">
        <v>25</v>
      </c>
      <c r="AC19" s="105">
        <v>25</v>
      </c>
      <c r="AD19" s="105">
        <v>25</v>
      </c>
      <c r="AE19" s="105">
        <v>25</v>
      </c>
      <c r="AF19" s="105">
        <v>25</v>
      </c>
      <c r="AG19" s="126">
        <v>25</v>
      </c>
      <c r="AH19" s="20">
        <f t="shared" si="2"/>
        <v>25</v>
      </c>
      <c r="AI19" s="19">
        <f t="shared" si="3"/>
        <v>23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25</v>
      </c>
      <c r="C20" s="105">
        <v>25</v>
      </c>
      <c r="D20" s="105">
        <v>22.5</v>
      </c>
      <c r="E20" s="105">
        <v>22.5</v>
      </c>
      <c r="F20" s="105">
        <v>22.5</v>
      </c>
      <c r="G20" s="105">
        <v>22.5</v>
      </c>
      <c r="H20" s="105">
        <v>22.5</v>
      </c>
      <c r="I20" s="105">
        <v>22.5</v>
      </c>
      <c r="J20" s="105">
        <v>22.5</v>
      </c>
      <c r="K20" s="105">
        <v>22.5</v>
      </c>
      <c r="L20" s="105">
        <v>22.5</v>
      </c>
      <c r="M20" s="105">
        <v>22.5</v>
      </c>
      <c r="N20" s="105">
        <v>22.5</v>
      </c>
      <c r="O20" s="105">
        <v>22.5</v>
      </c>
      <c r="P20" s="105">
        <v>22.5</v>
      </c>
      <c r="Q20" s="105">
        <v>22.5</v>
      </c>
      <c r="R20" s="105">
        <v>22.5</v>
      </c>
      <c r="S20" s="105">
        <v>22.5</v>
      </c>
      <c r="T20" s="105">
        <v>22.5</v>
      </c>
      <c r="U20" s="105">
        <v>22.5</v>
      </c>
      <c r="V20" s="105">
        <v>22.5</v>
      </c>
      <c r="W20" s="105">
        <v>22.5</v>
      </c>
      <c r="X20" s="105">
        <v>22.5</v>
      </c>
      <c r="Y20" s="105">
        <v>22.5</v>
      </c>
      <c r="Z20" s="105">
        <v>22.5</v>
      </c>
      <c r="AA20" s="105">
        <v>22.5</v>
      </c>
      <c r="AB20" s="105">
        <v>25</v>
      </c>
      <c r="AC20" s="105">
        <v>25</v>
      </c>
      <c r="AD20" s="105">
        <v>25</v>
      </c>
      <c r="AE20" s="105">
        <v>25</v>
      </c>
      <c r="AF20" s="105">
        <v>25</v>
      </c>
      <c r="AG20" s="126">
        <v>25</v>
      </c>
      <c r="AH20" s="20">
        <f t="shared" si="2"/>
        <v>25</v>
      </c>
      <c r="AI20" s="19">
        <f t="shared" si="3"/>
        <v>22.5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23.2</v>
      </c>
      <c r="C21" s="105">
        <v>23.2</v>
      </c>
      <c r="D21" s="105">
        <v>23.2</v>
      </c>
      <c r="E21" s="105">
        <v>23.2</v>
      </c>
      <c r="F21" s="105">
        <v>23.2</v>
      </c>
      <c r="G21" s="105">
        <v>23.2</v>
      </c>
      <c r="H21" s="105">
        <v>23.2</v>
      </c>
      <c r="I21" s="105">
        <v>23.2</v>
      </c>
      <c r="J21" s="105">
        <v>23.2</v>
      </c>
      <c r="K21" s="105">
        <v>23.2</v>
      </c>
      <c r="L21" s="105">
        <v>23.2</v>
      </c>
      <c r="M21" s="105">
        <v>23.2</v>
      </c>
      <c r="N21" s="105">
        <v>23.2</v>
      </c>
      <c r="O21" s="105">
        <v>23.2</v>
      </c>
      <c r="P21" s="105">
        <v>23.2</v>
      </c>
      <c r="Q21" s="105">
        <v>23.2</v>
      </c>
      <c r="R21" s="105">
        <v>23.2</v>
      </c>
      <c r="S21" s="105">
        <v>23.2</v>
      </c>
      <c r="T21" s="105">
        <v>23.2</v>
      </c>
      <c r="U21" s="105">
        <v>23.2</v>
      </c>
      <c r="V21" s="105">
        <v>23.2</v>
      </c>
      <c r="W21" s="105">
        <v>23.2</v>
      </c>
      <c r="X21" s="105">
        <v>23.2</v>
      </c>
      <c r="Y21" s="105">
        <v>23.2</v>
      </c>
      <c r="Z21" s="105">
        <v>23.2</v>
      </c>
      <c r="AA21" s="105">
        <v>23.2</v>
      </c>
      <c r="AB21" s="105">
        <v>23.2</v>
      </c>
      <c r="AC21" s="105">
        <v>23.2</v>
      </c>
      <c r="AD21" s="105">
        <v>23.2</v>
      </c>
      <c r="AE21" s="105">
        <v>23.2</v>
      </c>
      <c r="AF21" s="105">
        <v>23.2</v>
      </c>
      <c r="AG21" s="126">
        <v>23.5</v>
      </c>
      <c r="AH21" s="20">
        <f t="shared" si="2"/>
        <v>23.2</v>
      </c>
      <c r="AI21" s="19">
        <f t="shared" si="3"/>
        <v>23.2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22</v>
      </c>
      <c r="C22" s="105">
        <v>22</v>
      </c>
      <c r="D22" s="105">
        <v>22</v>
      </c>
      <c r="E22" s="105">
        <v>22</v>
      </c>
      <c r="F22" s="105">
        <v>22</v>
      </c>
      <c r="G22" s="105">
        <v>22</v>
      </c>
      <c r="H22" s="105">
        <v>22</v>
      </c>
      <c r="I22" s="105">
        <v>22</v>
      </c>
      <c r="J22" s="105">
        <v>22</v>
      </c>
      <c r="K22" s="105">
        <v>22</v>
      </c>
      <c r="L22" s="105">
        <v>22</v>
      </c>
      <c r="M22" s="105">
        <v>22</v>
      </c>
      <c r="N22" s="105">
        <v>22</v>
      </c>
      <c r="O22" s="105">
        <v>22</v>
      </c>
      <c r="P22" s="105">
        <v>22</v>
      </c>
      <c r="Q22" s="105">
        <v>22</v>
      </c>
      <c r="R22" s="105">
        <v>22</v>
      </c>
      <c r="S22" s="105">
        <v>22</v>
      </c>
      <c r="T22" s="105">
        <v>22</v>
      </c>
      <c r="U22" s="105">
        <v>22</v>
      </c>
      <c r="V22" s="105">
        <v>22</v>
      </c>
      <c r="W22" s="105">
        <v>22</v>
      </c>
      <c r="X22" s="105">
        <v>22</v>
      </c>
      <c r="Y22" s="105">
        <v>22</v>
      </c>
      <c r="Z22" s="105">
        <v>22</v>
      </c>
      <c r="AA22" s="105">
        <v>22</v>
      </c>
      <c r="AB22" s="105">
        <v>22</v>
      </c>
      <c r="AC22" s="105">
        <v>22</v>
      </c>
      <c r="AD22" s="105">
        <v>22</v>
      </c>
      <c r="AE22" s="105">
        <v>22</v>
      </c>
      <c r="AF22" s="105">
        <v>22</v>
      </c>
      <c r="AG22" s="126">
        <v>22.2</v>
      </c>
      <c r="AH22" s="20">
        <f t="shared" si="2"/>
        <v>22</v>
      </c>
      <c r="AI22" s="19">
        <f t="shared" si="3"/>
        <v>22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22</v>
      </c>
      <c r="C23" s="105">
        <v>22</v>
      </c>
      <c r="D23" s="105">
        <v>22</v>
      </c>
      <c r="E23" s="105">
        <v>22</v>
      </c>
      <c r="F23" s="105">
        <v>22</v>
      </c>
      <c r="G23" s="105">
        <v>22</v>
      </c>
      <c r="H23" s="105">
        <v>22</v>
      </c>
      <c r="I23" s="105">
        <v>22</v>
      </c>
      <c r="J23" s="105">
        <v>22</v>
      </c>
      <c r="K23" s="105">
        <v>22</v>
      </c>
      <c r="L23" s="105">
        <v>22</v>
      </c>
      <c r="M23" s="105">
        <v>22</v>
      </c>
      <c r="N23" s="105">
        <v>22</v>
      </c>
      <c r="O23" s="105">
        <v>22</v>
      </c>
      <c r="P23" s="105">
        <v>22</v>
      </c>
      <c r="Q23" s="105">
        <v>22</v>
      </c>
      <c r="R23" s="105">
        <v>22</v>
      </c>
      <c r="S23" s="105">
        <v>22</v>
      </c>
      <c r="T23" s="105">
        <v>22</v>
      </c>
      <c r="U23" s="105">
        <v>22</v>
      </c>
      <c r="V23" s="105">
        <v>22</v>
      </c>
      <c r="W23" s="105">
        <v>22</v>
      </c>
      <c r="X23" s="105">
        <v>22</v>
      </c>
      <c r="Y23" s="105">
        <v>22</v>
      </c>
      <c r="Z23" s="105">
        <v>22</v>
      </c>
      <c r="AA23" s="105">
        <v>22</v>
      </c>
      <c r="AB23" s="105">
        <v>22</v>
      </c>
      <c r="AC23" s="105">
        <v>22</v>
      </c>
      <c r="AD23" s="105">
        <v>22</v>
      </c>
      <c r="AE23" s="105">
        <v>22</v>
      </c>
      <c r="AF23" s="105">
        <v>22</v>
      </c>
      <c r="AG23" s="126">
        <v>22.1</v>
      </c>
      <c r="AH23" s="20">
        <f t="shared" si="2"/>
        <v>22</v>
      </c>
      <c r="AI23" s="19">
        <f t="shared" si="3"/>
        <v>22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22</v>
      </c>
      <c r="C24" s="105">
        <v>22</v>
      </c>
      <c r="D24" s="105">
        <v>22</v>
      </c>
      <c r="E24" s="105">
        <v>22</v>
      </c>
      <c r="F24" s="105">
        <v>22</v>
      </c>
      <c r="G24" s="105">
        <v>22</v>
      </c>
      <c r="H24" s="105">
        <v>22</v>
      </c>
      <c r="I24" s="105">
        <v>22</v>
      </c>
      <c r="J24" s="105">
        <v>22</v>
      </c>
      <c r="K24" s="105">
        <v>22</v>
      </c>
      <c r="L24" s="105">
        <v>22</v>
      </c>
      <c r="M24" s="105">
        <v>22</v>
      </c>
      <c r="N24" s="105">
        <v>22</v>
      </c>
      <c r="O24" s="105">
        <v>22</v>
      </c>
      <c r="P24" s="105">
        <v>22</v>
      </c>
      <c r="Q24" s="105">
        <v>22</v>
      </c>
      <c r="R24" s="105">
        <v>22</v>
      </c>
      <c r="S24" s="105">
        <v>22</v>
      </c>
      <c r="T24" s="105">
        <v>22</v>
      </c>
      <c r="U24" s="105">
        <v>22</v>
      </c>
      <c r="V24" s="105">
        <v>22</v>
      </c>
      <c r="W24" s="105">
        <v>22</v>
      </c>
      <c r="X24" s="105">
        <v>22</v>
      </c>
      <c r="Y24" s="105">
        <v>22</v>
      </c>
      <c r="Z24" s="105">
        <v>22</v>
      </c>
      <c r="AA24" s="105">
        <v>22</v>
      </c>
      <c r="AB24" s="105">
        <v>22</v>
      </c>
      <c r="AC24" s="105">
        <v>22</v>
      </c>
      <c r="AD24" s="105">
        <v>22</v>
      </c>
      <c r="AE24" s="105">
        <v>22</v>
      </c>
      <c r="AF24" s="105">
        <v>22</v>
      </c>
      <c r="AG24" s="126">
        <v>22</v>
      </c>
      <c r="AH24" s="20">
        <f t="shared" si="2"/>
        <v>22</v>
      </c>
      <c r="AI24" s="19">
        <f t="shared" si="3"/>
        <v>22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22</v>
      </c>
      <c r="C25" s="105">
        <v>22</v>
      </c>
      <c r="D25" s="105">
        <v>22</v>
      </c>
      <c r="E25" s="105">
        <v>22</v>
      </c>
      <c r="F25" s="105">
        <v>22</v>
      </c>
      <c r="G25" s="105">
        <v>22</v>
      </c>
      <c r="H25" s="105">
        <v>22</v>
      </c>
      <c r="I25" s="105">
        <v>22</v>
      </c>
      <c r="J25" s="105">
        <v>22</v>
      </c>
      <c r="K25" s="105">
        <v>22</v>
      </c>
      <c r="L25" s="105">
        <v>22</v>
      </c>
      <c r="M25" s="105">
        <v>22</v>
      </c>
      <c r="N25" s="105">
        <v>22</v>
      </c>
      <c r="O25" s="105">
        <v>22</v>
      </c>
      <c r="P25" s="105">
        <v>22</v>
      </c>
      <c r="Q25" s="105">
        <v>22</v>
      </c>
      <c r="R25" s="105">
        <v>22</v>
      </c>
      <c r="S25" s="105">
        <v>22</v>
      </c>
      <c r="T25" s="105">
        <v>22</v>
      </c>
      <c r="U25" s="105">
        <v>22</v>
      </c>
      <c r="V25" s="105">
        <v>22</v>
      </c>
      <c r="W25" s="105">
        <v>22</v>
      </c>
      <c r="X25" s="105">
        <v>22</v>
      </c>
      <c r="Y25" s="105">
        <v>22</v>
      </c>
      <c r="Z25" s="105">
        <v>22</v>
      </c>
      <c r="AA25" s="105">
        <v>22</v>
      </c>
      <c r="AB25" s="105">
        <v>22</v>
      </c>
      <c r="AC25" s="105">
        <v>22</v>
      </c>
      <c r="AD25" s="105">
        <v>22</v>
      </c>
      <c r="AE25" s="105">
        <v>22</v>
      </c>
      <c r="AF25" s="105">
        <v>22</v>
      </c>
      <c r="AG25" s="126">
        <v>22</v>
      </c>
      <c r="AH25" s="20">
        <f t="shared" si="2"/>
        <v>22</v>
      </c>
      <c r="AI25" s="19">
        <f t="shared" si="3"/>
        <v>22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5">
        <v>0</v>
      </c>
      <c r="M26" s="105">
        <v>10</v>
      </c>
      <c r="N26" s="105">
        <v>10</v>
      </c>
      <c r="O26" s="105">
        <v>10</v>
      </c>
      <c r="P26" s="105">
        <v>10</v>
      </c>
      <c r="Q26" s="105">
        <v>10</v>
      </c>
      <c r="R26" s="105">
        <v>10</v>
      </c>
      <c r="S26" s="105">
        <v>10</v>
      </c>
      <c r="T26" s="105">
        <v>10</v>
      </c>
      <c r="U26" s="105">
        <v>10</v>
      </c>
      <c r="V26" s="105">
        <v>10</v>
      </c>
      <c r="W26" s="105">
        <v>5</v>
      </c>
      <c r="X26" s="105">
        <v>5</v>
      </c>
      <c r="Y26" s="105">
        <v>5</v>
      </c>
      <c r="Z26" s="105">
        <v>5</v>
      </c>
      <c r="AA26" s="105">
        <v>5</v>
      </c>
      <c r="AB26" s="105">
        <v>10</v>
      </c>
      <c r="AC26" s="105">
        <v>10</v>
      </c>
      <c r="AD26" s="105">
        <v>10</v>
      </c>
      <c r="AE26" s="105">
        <v>10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14.9</v>
      </c>
      <c r="C27" s="105">
        <v>14.9</v>
      </c>
      <c r="D27" s="105">
        <v>14.9</v>
      </c>
      <c r="E27" s="105">
        <v>14.9</v>
      </c>
      <c r="F27" s="105">
        <v>14.9</v>
      </c>
      <c r="G27" s="105">
        <v>14.9</v>
      </c>
      <c r="H27" s="105">
        <v>14.9</v>
      </c>
      <c r="I27" s="105">
        <v>14.9</v>
      </c>
      <c r="J27" s="105">
        <v>14.9</v>
      </c>
      <c r="K27" s="105">
        <v>14.9</v>
      </c>
      <c r="L27" s="105">
        <v>14.9</v>
      </c>
      <c r="M27" s="105">
        <v>14.9</v>
      </c>
      <c r="N27" s="105">
        <v>14.9</v>
      </c>
      <c r="O27" s="105">
        <v>14.9</v>
      </c>
      <c r="P27" s="105">
        <v>14.9</v>
      </c>
      <c r="Q27" s="105">
        <v>14.9</v>
      </c>
      <c r="R27" s="105">
        <v>14.9</v>
      </c>
      <c r="S27" s="105">
        <v>14.9</v>
      </c>
      <c r="T27" s="105">
        <v>14.9</v>
      </c>
      <c r="U27" s="105">
        <v>14.9</v>
      </c>
      <c r="V27" s="105">
        <v>0</v>
      </c>
      <c r="W27" s="105">
        <v>0</v>
      </c>
      <c r="X27" s="105">
        <v>0</v>
      </c>
      <c r="Y27" s="105">
        <v>0</v>
      </c>
      <c r="Z27" s="105">
        <v>0</v>
      </c>
      <c r="AA27" s="105">
        <v>0</v>
      </c>
      <c r="AB27" s="105">
        <v>14.9</v>
      </c>
      <c r="AC27" s="105">
        <v>14.9</v>
      </c>
      <c r="AD27" s="105">
        <v>14.9</v>
      </c>
      <c r="AE27" s="105">
        <v>14.9</v>
      </c>
      <c r="AF27" s="105">
        <v>14.9</v>
      </c>
      <c r="AG27" s="126">
        <v>14.9</v>
      </c>
      <c r="AH27" s="20">
        <f t="shared" si="2"/>
        <v>14.9</v>
      </c>
      <c r="AI27" s="19">
        <f t="shared" si="3"/>
        <v>0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>
        <v>6.8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>
        <v>6.8</v>
      </c>
      <c r="AE28" s="105">
        <v>6.8</v>
      </c>
      <c r="AF28" s="105">
        <v>6.8</v>
      </c>
      <c r="AG28" s="126">
        <v>13.6</v>
      </c>
      <c r="AH28" s="20">
        <f t="shared" si="2"/>
        <v>6.8</v>
      </c>
      <c r="AI28" s="19">
        <f t="shared" si="3"/>
        <v>6.8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13</v>
      </c>
      <c r="C29" s="105">
        <v>13</v>
      </c>
      <c r="D29" s="105">
        <v>13</v>
      </c>
      <c r="E29" s="105">
        <v>13</v>
      </c>
      <c r="F29" s="105">
        <v>13</v>
      </c>
      <c r="G29" s="105">
        <v>13</v>
      </c>
      <c r="H29" s="105">
        <v>13</v>
      </c>
      <c r="I29" s="105">
        <v>13</v>
      </c>
      <c r="J29" s="105">
        <v>13</v>
      </c>
      <c r="K29" s="105">
        <v>13</v>
      </c>
      <c r="L29" s="105">
        <v>13</v>
      </c>
      <c r="M29" s="105">
        <v>13</v>
      </c>
      <c r="N29" s="105">
        <v>13</v>
      </c>
      <c r="O29" s="105">
        <v>13</v>
      </c>
      <c r="P29" s="105">
        <v>13</v>
      </c>
      <c r="Q29" s="105">
        <v>13</v>
      </c>
      <c r="R29" s="105">
        <v>13</v>
      </c>
      <c r="S29" s="105">
        <v>13</v>
      </c>
      <c r="T29" s="105">
        <v>13</v>
      </c>
      <c r="U29" s="105">
        <v>13</v>
      </c>
      <c r="V29" s="105">
        <v>13</v>
      </c>
      <c r="W29" s="105">
        <v>13</v>
      </c>
      <c r="X29" s="105">
        <v>13</v>
      </c>
      <c r="Y29" s="105">
        <v>13</v>
      </c>
      <c r="Z29" s="105">
        <v>13</v>
      </c>
      <c r="AA29" s="105">
        <v>13</v>
      </c>
      <c r="AB29" s="105">
        <v>13</v>
      </c>
      <c r="AC29" s="105">
        <v>13</v>
      </c>
      <c r="AD29" s="105">
        <v>13</v>
      </c>
      <c r="AE29" s="105">
        <v>13</v>
      </c>
      <c r="AF29" s="105">
        <v>13</v>
      </c>
      <c r="AG29" s="126">
        <v>13</v>
      </c>
      <c r="AH29" s="20">
        <f t="shared" si="2"/>
        <v>13</v>
      </c>
      <c r="AI29" s="19">
        <f t="shared" si="3"/>
        <v>13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10</v>
      </c>
      <c r="C30" s="105">
        <v>10</v>
      </c>
      <c r="D30" s="105">
        <v>10</v>
      </c>
      <c r="E30" s="105">
        <v>10</v>
      </c>
      <c r="F30" s="105">
        <v>10</v>
      </c>
      <c r="G30" s="105">
        <v>10</v>
      </c>
      <c r="H30" s="105">
        <v>10</v>
      </c>
      <c r="I30" s="105">
        <v>10</v>
      </c>
      <c r="J30" s="105">
        <v>10</v>
      </c>
      <c r="K30" s="105">
        <v>10</v>
      </c>
      <c r="L30" s="105">
        <v>10</v>
      </c>
      <c r="M30" s="105">
        <v>10</v>
      </c>
      <c r="N30" s="105">
        <v>10</v>
      </c>
      <c r="O30" s="105">
        <v>10</v>
      </c>
      <c r="P30" s="105">
        <v>10</v>
      </c>
      <c r="Q30" s="105">
        <v>10</v>
      </c>
      <c r="R30" s="105">
        <v>10</v>
      </c>
      <c r="S30" s="105">
        <v>10</v>
      </c>
      <c r="T30" s="105">
        <v>10</v>
      </c>
      <c r="U30" s="105">
        <v>10</v>
      </c>
      <c r="V30" s="105">
        <v>10</v>
      </c>
      <c r="W30" s="105">
        <v>10</v>
      </c>
      <c r="X30" s="105">
        <v>10</v>
      </c>
      <c r="Y30" s="105">
        <v>10</v>
      </c>
      <c r="Z30" s="105">
        <v>10</v>
      </c>
      <c r="AA30" s="105">
        <v>10</v>
      </c>
      <c r="AB30" s="105">
        <v>10</v>
      </c>
      <c r="AC30" s="105">
        <v>10</v>
      </c>
      <c r="AD30" s="105">
        <v>0</v>
      </c>
      <c r="AE30" s="105">
        <v>10</v>
      </c>
      <c r="AF30" s="105">
        <v>0</v>
      </c>
      <c r="AG30" s="126">
        <v>12</v>
      </c>
      <c r="AH30" s="20">
        <f t="shared" si="2"/>
        <v>10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12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>
        <v>6</v>
      </c>
      <c r="AE31" s="105">
        <v>6</v>
      </c>
      <c r="AF31" s="105">
        <v>6</v>
      </c>
      <c r="AG31" s="126">
        <v>12</v>
      </c>
      <c r="AH31" s="20">
        <f t="shared" si="2"/>
        <v>12</v>
      </c>
      <c r="AI31" s="19">
        <f t="shared" si="3"/>
        <v>6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2</v>
      </c>
      <c r="C32" s="105">
        <v>2</v>
      </c>
      <c r="D32" s="105">
        <v>2</v>
      </c>
      <c r="E32" s="105">
        <v>2</v>
      </c>
      <c r="F32" s="105">
        <v>2</v>
      </c>
      <c r="G32" s="105">
        <v>2</v>
      </c>
      <c r="H32" s="105">
        <v>2</v>
      </c>
      <c r="I32" s="105">
        <v>2</v>
      </c>
      <c r="J32" s="105">
        <v>2</v>
      </c>
      <c r="K32" s="105">
        <v>2</v>
      </c>
      <c r="L32" s="105">
        <v>2</v>
      </c>
      <c r="M32" s="105">
        <v>2</v>
      </c>
      <c r="N32" s="105">
        <v>2</v>
      </c>
      <c r="O32" s="105">
        <v>2</v>
      </c>
      <c r="P32" s="105">
        <v>2</v>
      </c>
      <c r="Q32" s="105">
        <v>2</v>
      </c>
      <c r="R32" s="105">
        <v>2</v>
      </c>
      <c r="S32" s="105">
        <v>2</v>
      </c>
      <c r="T32" s="105">
        <v>2</v>
      </c>
      <c r="U32" s="105">
        <v>2</v>
      </c>
      <c r="V32" s="105">
        <v>2</v>
      </c>
      <c r="W32" s="105">
        <v>2</v>
      </c>
      <c r="X32" s="105">
        <v>2</v>
      </c>
      <c r="Y32" s="105">
        <v>2</v>
      </c>
      <c r="Z32" s="105">
        <v>2</v>
      </c>
      <c r="AA32" s="105">
        <v>2</v>
      </c>
      <c r="AB32" s="105">
        <v>2</v>
      </c>
      <c r="AC32" s="105">
        <v>2</v>
      </c>
      <c r="AD32" s="105">
        <v>2</v>
      </c>
      <c r="AE32" s="105">
        <v>2</v>
      </c>
      <c r="AF32" s="105">
        <v>2</v>
      </c>
      <c r="AG32" s="126">
        <v>12</v>
      </c>
      <c r="AH32" s="20">
        <f t="shared" si="2"/>
        <v>2</v>
      </c>
      <c r="AI32" s="19">
        <f t="shared" si="3"/>
        <v>2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10</v>
      </c>
      <c r="C33" s="105">
        <v>10</v>
      </c>
      <c r="D33" s="105">
        <v>10</v>
      </c>
      <c r="E33" s="105">
        <v>10</v>
      </c>
      <c r="F33" s="105">
        <v>10</v>
      </c>
      <c r="G33" s="105">
        <v>10</v>
      </c>
      <c r="H33" s="105">
        <v>10</v>
      </c>
      <c r="I33" s="105">
        <v>10</v>
      </c>
      <c r="J33" s="105">
        <v>10</v>
      </c>
      <c r="K33" s="105">
        <v>10</v>
      </c>
      <c r="L33" s="105">
        <v>10</v>
      </c>
      <c r="M33" s="105">
        <v>10</v>
      </c>
      <c r="N33" s="105">
        <v>10</v>
      </c>
      <c r="O33" s="105">
        <v>10</v>
      </c>
      <c r="P33" s="105">
        <v>10</v>
      </c>
      <c r="Q33" s="105">
        <v>10</v>
      </c>
      <c r="R33" s="105">
        <v>10</v>
      </c>
      <c r="S33" s="105">
        <v>10</v>
      </c>
      <c r="T33" s="105">
        <v>10</v>
      </c>
      <c r="U33" s="105">
        <v>10</v>
      </c>
      <c r="V33" s="105">
        <v>10</v>
      </c>
      <c r="W33" s="105">
        <v>10</v>
      </c>
      <c r="X33" s="105">
        <v>10</v>
      </c>
      <c r="Y33" s="105">
        <v>10</v>
      </c>
      <c r="Z33" s="105">
        <v>10</v>
      </c>
      <c r="AA33" s="105">
        <v>10</v>
      </c>
      <c r="AB33" s="105">
        <v>10</v>
      </c>
      <c r="AC33" s="105">
        <v>10</v>
      </c>
      <c r="AD33" s="105">
        <v>10</v>
      </c>
      <c r="AE33" s="105">
        <v>10</v>
      </c>
      <c r="AF33" s="105">
        <v>10</v>
      </c>
      <c r="AG33" s="125">
        <v>22</v>
      </c>
      <c r="AH33" s="20">
        <f t="shared" si="2"/>
        <v>10</v>
      </c>
      <c r="AI33" s="19">
        <f t="shared" si="3"/>
        <v>10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11</v>
      </c>
      <c r="C34" s="105">
        <v>11</v>
      </c>
      <c r="D34" s="105">
        <v>11</v>
      </c>
      <c r="E34" s="105">
        <v>11</v>
      </c>
      <c r="F34" s="105">
        <v>11</v>
      </c>
      <c r="G34" s="105">
        <v>11</v>
      </c>
      <c r="H34" s="105">
        <v>11</v>
      </c>
      <c r="I34" s="105">
        <v>11</v>
      </c>
      <c r="J34" s="105">
        <v>11</v>
      </c>
      <c r="K34" s="105">
        <v>11</v>
      </c>
      <c r="L34" s="105">
        <v>11</v>
      </c>
      <c r="M34" s="105">
        <v>11</v>
      </c>
      <c r="N34" s="105">
        <v>11</v>
      </c>
      <c r="O34" s="105">
        <v>11</v>
      </c>
      <c r="P34" s="105">
        <v>11</v>
      </c>
      <c r="Q34" s="105">
        <v>11</v>
      </c>
      <c r="R34" s="105">
        <v>11</v>
      </c>
      <c r="S34" s="105">
        <v>11</v>
      </c>
      <c r="T34" s="105">
        <v>11</v>
      </c>
      <c r="U34" s="105">
        <v>11</v>
      </c>
      <c r="V34" s="105">
        <v>11</v>
      </c>
      <c r="W34" s="105">
        <v>11</v>
      </c>
      <c r="X34" s="105">
        <v>11</v>
      </c>
      <c r="Y34" s="105">
        <v>11</v>
      </c>
      <c r="Z34" s="105">
        <v>11</v>
      </c>
      <c r="AA34" s="105">
        <v>11</v>
      </c>
      <c r="AB34" s="105">
        <v>11</v>
      </c>
      <c r="AC34" s="105">
        <v>11</v>
      </c>
      <c r="AD34" s="105">
        <v>11</v>
      </c>
      <c r="AE34" s="105">
        <v>11</v>
      </c>
      <c r="AF34" s="105">
        <v>11</v>
      </c>
      <c r="AG34" s="96">
        <v>11.88</v>
      </c>
      <c r="AH34" s="20">
        <f t="shared" si="2"/>
        <v>11</v>
      </c>
      <c r="AI34" s="19">
        <f t="shared" si="3"/>
        <v>11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>
        <v>11</v>
      </c>
      <c r="AG35" s="94">
        <v>11</v>
      </c>
      <c r="AH35" s="20">
        <f t="shared" si="2"/>
        <v>11</v>
      </c>
      <c r="AI35" s="19">
        <f t="shared" si="3"/>
        <v>11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>
        <v>9</v>
      </c>
      <c r="E36" s="105">
        <v>9</v>
      </c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>
        <v>9</v>
      </c>
      <c r="N36" s="105">
        <v>9</v>
      </c>
      <c r="O36" s="105">
        <v>9</v>
      </c>
      <c r="P36" s="105">
        <v>9</v>
      </c>
      <c r="Q36" s="105">
        <v>9</v>
      </c>
      <c r="R36" s="105">
        <v>9</v>
      </c>
      <c r="S36" s="105">
        <v>9</v>
      </c>
      <c r="T36" s="105">
        <v>9</v>
      </c>
      <c r="U36" s="105">
        <v>9</v>
      </c>
      <c r="V36" s="105">
        <v>9</v>
      </c>
      <c r="W36" s="105">
        <v>9</v>
      </c>
      <c r="X36" s="105">
        <v>9</v>
      </c>
      <c r="Y36" s="105">
        <v>9</v>
      </c>
      <c r="Z36" s="105">
        <v>9</v>
      </c>
      <c r="AA36" s="105">
        <v>9</v>
      </c>
      <c r="AB36" s="105">
        <v>9</v>
      </c>
      <c r="AC36" s="105">
        <v>9</v>
      </c>
      <c r="AD36" s="105">
        <v>9</v>
      </c>
      <c r="AE36" s="105">
        <v>9</v>
      </c>
      <c r="AF36" s="105">
        <v>9</v>
      </c>
      <c r="AG36" s="94">
        <v>10</v>
      </c>
      <c r="AH36" s="20">
        <f t="shared" si="2"/>
        <v>9</v>
      </c>
      <c r="AI36" s="19">
        <f t="shared" si="3"/>
        <v>9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2</v>
      </c>
      <c r="N37" s="105">
        <v>2</v>
      </c>
      <c r="O37" s="105">
        <v>2</v>
      </c>
      <c r="P37" s="105">
        <v>3</v>
      </c>
      <c r="Q37" s="105">
        <v>3</v>
      </c>
      <c r="R37" s="105">
        <v>3</v>
      </c>
      <c r="S37" s="105">
        <v>3</v>
      </c>
      <c r="T37" s="105">
        <v>3</v>
      </c>
      <c r="U37" s="105">
        <v>3</v>
      </c>
      <c r="V37" s="105">
        <v>3</v>
      </c>
      <c r="W37" s="105">
        <v>3</v>
      </c>
      <c r="X37" s="105">
        <v>3</v>
      </c>
      <c r="Y37" s="105">
        <v>3</v>
      </c>
      <c r="Z37" s="105">
        <v>3</v>
      </c>
      <c r="AA37" s="105">
        <v>3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3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v>184</v>
      </c>
      <c r="C39" s="119">
        <v>183</v>
      </c>
      <c r="D39" s="119">
        <v>175</v>
      </c>
      <c r="E39" s="119">
        <f>79+95.4</f>
        <v>174.4</v>
      </c>
      <c r="F39" s="119">
        <f>79+95.4</f>
        <v>174.4</v>
      </c>
      <c r="G39" s="119">
        <f>79+95.4</f>
        <v>174.4</v>
      </c>
      <c r="H39" s="119">
        <f>79+95.4</f>
        <v>174.4</v>
      </c>
      <c r="I39" s="119">
        <f>79+95.4</f>
        <v>174.4</v>
      </c>
      <c r="J39" s="119">
        <f>82.9+95.1</f>
        <v>178</v>
      </c>
      <c r="K39" s="119">
        <f>82.9+95.1</f>
        <v>178</v>
      </c>
      <c r="L39" s="119">
        <f>82.9+95.1</f>
        <v>178</v>
      </c>
      <c r="M39" s="113">
        <f>65.2+95.1</f>
        <v>160.30000000000001</v>
      </c>
      <c r="N39" s="113">
        <f>83.2+98.1</f>
        <v>181.3</v>
      </c>
      <c r="O39" s="113">
        <f>83.7+98.7</f>
        <v>182.4</v>
      </c>
      <c r="P39" s="113">
        <f>83.7+93.5</f>
        <v>177.2</v>
      </c>
      <c r="Q39" s="113">
        <f>84.5+99.3</f>
        <v>183.8</v>
      </c>
      <c r="R39" s="113">
        <f>84.2+99.6</f>
        <v>183.8</v>
      </c>
      <c r="S39" s="119">
        <v>162</v>
      </c>
      <c r="T39" s="119">
        <v>162</v>
      </c>
      <c r="U39" s="119">
        <v>162</v>
      </c>
      <c r="V39" s="119">
        <v>150</v>
      </c>
      <c r="W39" s="119">
        <f>67.3+86</f>
        <v>153.30000000000001</v>
      </c>
      <c r="X39" s="119">
        <f>82.9+91</f>
        <v>173.9</v>
      </c>
      <c r="Y39" s="119">
        <f>82.1+96.8</f>
        <v>178.89999999999998</v>
      </c>
      <c r="Z39" s="119">
        <f>82.1+96.8</f>
        <v>178.89999999999998</v>
      </c>
      <c r="AA39" s="119">
        <f>83.6+96.9</f>
        <v>180.5</v>
      </c>
      <c r="AB39" s="119">
        <f>97.4+83.7</f>
        <v>181.10000000000002</v>
      </c>
      <c r="AC39" s="119">
        <f>97.1+83.7</f>
        <v>180.8</v>
      </c>
      <c r="AD39" s="119">
        <f>98.3+84.1</f>
        <v>182.39999999999998</v>
      </c>
      <c r="AE39" s="119">
        <f>98.2+84.5</f>
        <v>182.7</v>
      </c>
      <c r="AF39" s="119">
        <f>99.7+85</f>
        <v>184.7</v>
      </c>
      <c r="AG39" s="94">
        <v>240</v>
      </c>
      <c r="AH39" s="20">
        <f t="shared" si="2"/>
        <v>184.7</v>
      </c>
      <c r="AI39" s="19">
        <f t="shared" si="3"/>
        <v>150</v>
      </c>
      <c r="AK39" s="41"/>
    </row>
    <row r="40" spans="1:88" ht="15.75" thickBot="1" x14ac:dyDescent="0.3">
      <c r="A40" s="118" t="s">
        <v>195</v>
      </c>
      <c r="B40" s="86">
        <f t="shared" ref="B40:AG40" si="4">SUM(B11:B38)</f>
        <v>797.5</v>
      </c>
      <c r="C40" s="86">
        <f t="shared" si="4"/>
        <v>797.5</v>
      </c>
      <c r="D40" s="86">
        <f t="shared" si="4"/>
        <v>783</v>
      </c>
      <c r="E40" s="86">
        <f t="shared" si="4"/>
        <v>783</v>
      </c>
      <c r="F40" s="86">
        <f t="shared" si="4"/>
        <v>783</v>
      </c>
      <c r="G40" s="86">
        <f t="shared" si="4"/>
        <v>783</v>
      </c>
      <c r="H40" s="86">
        <f t="shared" si="4"/>
        <v>783</v>
      </c>
      <c r="I40" s="86">
        <f t="shared" si="4"/>
        <v>783</v>
      </c>
      <c r="J40" s="86">
        <f t="shared" si="4"/>
        <v>783</v>
      </c>
      <c r="K40" s="86">
        <f t="shared" si="4"/>
        <v>783</v>
      </c>
      <c r="L40" s="86">
        <f t="shared" si="4"/>
        <v>783</v>
      </c>
      <c r="M40" s="86">
        <f t="shared" si="4"/>
        <v>819</v>
      </c>
      <c r="N40" s="86">
        <f t="shared" si="4"/>
        <v>829</v>
      </c>
      <c r="O40" s="86">
        <f t="shared" si="4"/>
        <v>842.09999999999991</v>
      </c>
      <c r="P40" s="86">
        <f t="shared" si="4"/>
        <v>854</v>
      </c>
      <c r="Q40" s="86">
        <f t="shared" si="4"/>
        <v>844.5</v>
      </c>
      <c r="R40" s="86">
        <f t="shared" si="4"/>
        <v>844.5</v>
      </c>
      <c r="S40" s="86">
        <f t="shared" si="4"/>
        <v>844.5</v>
      </c>
      <c r="T40" s="86">
        <f t="shared" si="4"/>
        <v>844.5</v>
      </c>
      <c r="U40" s="86">
        <f t="shared" si="4"/>
        <v>844.5</v>
      </c>
      <c r="V40" s="86">
        <f t="shared" si="4"/>
        <v>824.59999999999991</v>
      </c>
      <c r="W40" s="86">
        <f t="shared" si="4"/>
        <v>817</v>
      </c>
      <c r="X40" s="86">
        <f t="shared" si="4"/>
        <v>816.7</v>
      </c>
      <c r="Y40" s="86">
        <f t="shared" si="4"/>
        <v>836.8</v>
      </c>
      <c r="Z40" s="86">
        <f t="shared" si="4"/>
        <v>834.8</v>
      </c>
      <c r="AA40" s="86">
        <f t="shared" si="4"/>
        <v>834.8</v>
      </c>
      <c r="AB40" s="86">
        <f t="shared" si="4"/>
        <v>848.3</v>
      </c>
      <c r="AC40" s="86">
        <f t="shared" si="4"/>
        <v>858.3</v>
      </c>
      <c r="AD40" s="86">
        <f t="shared" si="4"/>
        <v>832.3</v>
      </c>
      <c r="AE40" s="86">
        <f t="shared" si="4"/>
        <v>810.3</v>
      </c>
      <c r="AF40" s="86">
        <f t="shared" si="4"/>
        <v>789.4</v>
      </c>
      <c r="AG40" s="101">
        <f t="shared" si="4"/>
        <v>707.78000000000009</v>
      </c>
      <c r="AH40" s="20">
        <f t="shared" si="2"/>
        <v>858.3</v>
      </c>
      <c r="AI40" s="19">
        <f t="shared" si="3"/>
        <v>783</v>
      </c>
      <c r="AK40" s="41"/>
    </row>
    <row r="41" spans="1:88" x14ac:dyDescent="0.25">
      <c r="A41" s="117" t="s">
        <v>194</v>
      </c>
      <c r="B41" s="105">
        <v>456</v>
      </c>
      <c r="C41" s="105">
        <v>456</v>
      </c>
      <c r="D41" s="105">
        <v>456</v>
      </c>
      <c r="E41" s="105">
        <v>456</v>
      </c>
      <c r="F41" s="105">
        <v>456</v>
      </c>
      <c r="G41" s="105">
        <v>456</v>
      </c>
      <c r="H41" s="105">
        <v>456</v>
      </c>
      <c r="I41" s="105">
        <v>456</v>
      </c>
      <c r="J41" s="105">
        <v>456</v>
      </c>
      <c r="K41" s="105">
        <v>456</v>
      </c>
      <c r="L41" s="105">
        <v>456</v>
      </c>
      <c r="M41" s="105">
        <v>456</v>
      </c>
      <c r="N41" s="105">
        <v>456</v>
      </c>
      <c r="O41" s="105">
        <v>456</v>
      </c>
      <c r="P41" s="105">
        <v>456</v>
      </c>
      <c r="Q41" s="105">
        <v>456</v>
      </c>
      <c r="R41" s="105">
        <v>456</v>
      </c>
      <c r="S41" s="105">
        <v>456</v>
      </c>
      <c r="T41" s="105">
        <v>456</v>
      </c>
      <c r="U41" s="105">
        <v>456</v>
      </c>
      <c r="V41" s="105">
        <v>456</v>
      </c>
      <c r="W41" s="105">
        <v>456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456</v>
      </c>
      <c r="AD41" s="105">
        <v>456</v>
      </c>
      <c r="AE41" s="105">
        <v>456</v>
      </c>
      <c r="AF41" s="105">
        <v>456</v>
      </c>
      <c r="AG41" s="96">
        <v>456</v>
      </c>
      <c r="AH41" s="20">
        <f t="shared" si="2"/>
        <v>456</v>
      </c>
      <c r="AI41" s="19">
        <f t="shared" si="3"/>
        <v>456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>
        <v>60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>
        <v>22</v>
      </c>
      <c r="S43" s="107">
        <v>22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>
        <v>22</v>
      </c>
      <c r="AG43" s="106">
        <v>22.1</v>
      </c>
      <c r="AH43" s="20">
        <f t="shared" si="2"/>
        <v>22</v>
      </c>
      <c r="AI43" s="19">
        <f t="shared" si="3"/>
        <v>22</v>
      </c>
      <c r="AK43" s="41"/>
    </row>
    <row r="44" spans="1:88" ht="15.75" thickBot="1" x14ac:dyDescent="0.3">
      <c r="A44" s="114" t="s">
        <v>191</v>
      </c>
      <c r="B44" s="86">
        <f t="shared" ref="B44:AG44" si="5">SUM(B41:B43)</f>
        <v>538</v>
      </c>
      <c r="C44" s="86">
        <f t="shared" si="5"/>
        <v>538</v>
      </c>
      <c r="D44" s="86">
        <f t="shared" si="5"/>
        <v>538</v>
      </c>
      <c r="E44" s="86">
        <f t="shared" si="5"/>
        <v>538</v>
      </c>
      <c r="F44" s="86">
        <f t="shared" si="5"/>
        <v>538</v>
      </c>
      <c r="G44" s="86">
        <f t="shared" si="5"/>
        <v>538</v>
      </c>
      <c r="H44" s="86">
        <f t="shared" si="5"/>
        <v>538</v>
      </c>
      <c r="I44" s="86">
        <f t="shared" si="5"/>
        <v>538</v>
      </c>
      <c r="J44" s="86">
        <f t="shared" si="5"/>
        <v>538</v>
      </c>
      <c r="K44" s="86">
        <f t="shared" si="5"/>
        <v>538</v>
      </c>
      <c r="L44" s="86">
        <f t="shared" si="5"/>
        <v>538</v>
      </c>
      <c r="M44" s="86">
        <f t="shared" si="5"/>
        <v>538</v>
      </c>
      <c r="N44" s="86">
        <f t="shared" si="5"/>
        <v>538</v>
      </c>
      <c r="O44" s="86">
        <f t="shared" si="5"/>
        <v>538</v>
      </c>
      <c r="P44" s="86">
        <f t="shared" si="5"/>
        <v>538</v>
      </c>
      <c r="Q44" s="86">
        <f t="shared" si="5"/>
        <v>538</v>
      </c>
      <c r="R44" s="86">
        <f t="shared" si="5"/>
        <v>538</v>
      </c>
      <c r="S44" s="86">
        <f t="shared" si="5"/>
        <v>538</v>
      </c>
      <c r="T44" s="86">
        <f t="shared" si="5"/>
        <v>538</v>
      </c>
      <c r="U44" s="86">
        <f t="shared" si="5"/>
        <v>538</v>
      </c>
      <c r="V44" s="86">
        <f t="shared" si="5"/>
        <v>538</v>
      </c>
      <c r="W44" s="86">
        <f t="shared" si="5"/>
        <v>538</v>
      </c>
      <c r="X44" s="86">
        <f t="shared" si="5"/>
        <v>538</v>
      </c>
      <c r="Y44" s="86">
        <f t="shared" si="5"/>
        <v>538</v>
      </c>
      <c r="Z44" s="86">
        <f t="shared" si="5"/>
        <v>538</v>
      </c>
      <c r="AA44" s="86">
        <f t="shared" si="5"/>
        <v>538</v>
      </c>
      <c r="AB44" s="86">
        <f t="shared" si="5"/>
        <v>538</v>
      </c>
      <c r="AC44" s="86">
        <f t="shared" si="5"/>
        <v>538</v>
      </c>
      <c r="AD44" s="86">
        <f t="shared" si="5"/>
        <v>538</v>
      </c>
      <c r="AE44" s="86">
        <f t="shared" si="5"/>
        <v>538</v>
      </c>
      <c r="AF44" s="86">
        <f t="shared" si="5"/>
        <v>538</v>
      </c>
      <c r="AG44" s="101">
        <f t="shared" si="5"/>
        <v>538.1</v>
      </c>
      <c r="AH44" s="20">
        <f t="shared" si="2"/>
        <v>538</v>
      </c>
      <c r="AI44" s="19">
        <f t="shared" si="3"/>
        <v>538</v>
      </c>
      <c r="AK44" s="41"/>
    </row>
    <row r="45" spans="1:88" x14ac:dyDescent="0.25">
      <c r="A45" s="97" t="s">
        <v>190</v>
      </c>
      <c r="B45" s="105">
        <v>144</v>
      </c>
      <c r="C45" s="105">
        <v>144</v>
      </c>
      <c r="D45" s="105">
        <v>141</v>
      </c>
      <c r="E45" s="105">
        <v>130</v>
      </c>
      <c r="F45" s="105">
        <v>115</v>
      </c>
      <c r="G45" s="105">
        <v>115</v>
      </c>
      <c r="H45" s="105">
        <v>115</v>
      </c>
      <c r="I45" s="105">
        <v>115</v>
      </c>
      <c r="J45" s="105">
        <v>116.4</v>
      </c>
      <c r="K45" s="105">
        <v>116.4</v>
      </c>
      <c r="L45" s="105">
        <v>144</v>
      </c>
      <c r="M45" s="105">
        <v>144</v>
      </c>
      <c r="N45" s="105">
        <v>144</v>
      </c>
      <c r="O45" s="105">
        <v>144</v>
      </c>
      <c r="P45" s="105">
        <v>144</v>
      </c>
      <c r="Q45" s="105">
        <v>0</v>
      </c>
      <c r="R45" s="105">
        <v>138.69999999999999</v>
      </c>
      <c r="S45" s="105">
        <v>120</v>
      </c>
      <c r="T45" s="105">
        <v>142.5</v>
      </c>
      <c r="U45" s="105">
        <v>142.5</v>
      </c>
      <c r="V45" s="105">
        <v>142.5</v>
      </c>
      <c r="W45" s="105">
        <v>144.1</v>
      </c>
      <c r="X45" s="105">
        <v>144.1</v>
      </c>
      <c r="Y45" s="105">
        <v>144.1</v>
      </c>
      <c r="Z45" s="105">
        <v>144.1</v>
      </c>
      <c r="AA45" s="105">
        <v>144.1</v>
      </c>
      <c r="AB45" s="105">
        <v>144.5</v>
      </c>
      <c r="AC45" s="105">
        <v>144.5</v>
      </c>
      <c r="AD45" s="105">
        <v>144.4</v>
      </c>
      <c r="AE45" s="105">
        <v>144.4</v>
      </c>
      <c r="AF45" s="105">
        <v>144.4</v>
      </c>
      <c r="AG45" s="96">
        <v>144</v>
      </c>
      <c r="AH45" s="20">
        <f t="shared" si="2"/>
        <v>144.5</v>
      </c>
      <c r="AI45" s="19">
        <f t="shared" si="3"/>
        <v>0</v>
      </c>
      <c r="AK45" s="41"/>
    </row>
    <row r="46" spans="1:88" x14ac:dyDescent="0.25">
      <c r="A46" s="95" t="s">
        <v>189</v>
      </c>
      <c r="B46" s="80">
        <v>70.400000000000006</v>
      </c>
      <c r="C46" s="80">
        <v>70</v>
      </c>
      <c r="D46" s="80">
        <v>60</v>
      </c>
      <c r="E46" s="80">
        <v>59.1</v>
      </c>
      <c r="F46" s="80">
        <v>59.1</v>
      </c>
      <c r="G46" s="80">
        <v>59.1</v>
      </c>
      <c r="H46" s="80">
        <v>59.1</v>
      </c>
      <c r="I46" s="80">
        <v>59.5</v>
      </c>
      <c r="J46" s="80">
        <v>59.6</v>
      </c>
      <c r="K46" s="80">
        <v>59.6</v>
      </c>
      <c r="L46" s="80">
        <v>70.599999999999994</v>
      </c>
      <c r="M46" s="80">
        <v>70.599999999999994</v>
      </c>
      <c r="N46" s="80">
        <v>70.599999999999994</v>
      </c>
      <c r="O46" s="105">
        <v>70.900000000000006</v>
      </c>
      <c r="P46" s="105">
        <v>70.900000000000006</v>
      </c>
      <c r="Q46" s="105">
        <v>67.900000000000006</v>
      </c>
      <c r="R46" s="105">
        <v>71.3</v>
      </c>
      <c r="S46" s="80">
        <v>71</v>
      </c>
      <c r="T46" s="80">
        <v>71</v>
      </c>
      <c r="U46" s="80">
        <v>71</v>
      </c>
      <c r="V46" s="80">
        <v>71</v>
      </c>
      <c r="W46" s="80">
        <v>72.5</v>
      </c>
      <c r="X46" s="80">
        <v>72.5</v>
      </c>
      <c r="Y46" s="80">
        <v>72.5</v>
      </c>
      <c r="Z46" s="80">
        <v>72.5</v>
      </c>
      <c r="AA46" s="80">
        <v>72.5</v>
      </c>
      <c r="AB46" s="80">
        <v>70.2</v>
      </c>
      <c r="AC46" s="80">
        <v>70</v>
      </c>
      <c r="AD46" s="80">
        <v>70.599999999999994</v>
      </c>
      <c r="AE46" s="80">
        <v>70.599999999999994</v>
      </c>
      <c r="AF46" s="80">
        <v>70.599999999999994</v>
      </c>
      <c r="AG46" s="94">
        <v>70</v>
      </c>
      <c r="AH46" s="20">
        <f t="shared" si="2"/>
        <v>72.5</v>
      </c>
      <c r="AI46" s="19">
        <f t="shared" si="3"/>
        <v>59.1</v>
      </c>
      <c r="AK46" s="41"/>
    </row>
    <row r="47" spans="1:88" x14ac:dyDescent="0.25">
      <c r="A47" s="95" t="s">
        <v>188</v>
      </c>
      <c r="B47" s="80">
        <v>61.5</v>
      </c>
      <c r="C47" s="80">
        <v>61.5</v>
      </c>
      <c r="D47" s="80">
        <v>61</v>
      </c>
      <c r="E47" s="80">
        <v>61.4</v>
      </c>
      <c r="F47" s="80">
        <v>51</v>
      </c>
      <c r="G47" s="80">
        <v>51</v>
      </c>
      <c r="H47" s="80">
        <v>51</v>
      </c>
      <c r="I47" s="80">
        <v>51</v>
      </c>
      <c r="J47" s="80">
        <v>51.7</v>
      </c>
      <c r="K47" s="80">
        <v>51.7</v>
      </c>
      <c r="L47" s="80">
        <v>62.1</v>
      </c>
      <c r="M47" s="80">
        <v>62.1</v>
      </c>
      <c r="N47" s="80">
        <v>62.1</v>
      </c>
      <c r="O47" s="105">
        <v>62.1</v>
      </c>
      <c r="P47" s="105">
        <v>62.1</v>
      </c>
      <c r="Q47" s="105">
        <v>62.2</v>
      </c>
      <c r="R47" s="105">
        <v>59.8</v>
      </c>
      <c r="S47" s="80">
        <v>62</v>
      </c>
      <c r="T47" s="80">
        <v>62</v>
      </c>
      <c r="U47" s="80">
        <v>62</v>
      </c>
      <c r="V47" s="80">
        <v>62</v>
      </c>
      <c r="W47" s="80">
        <v>61.9</v>
      </c>
      <c r="X47" s="80">
        <v>61.9</v>
      </c>
      <c r="Y47" s="80">
        <v>61.9</v>
      </c>
      <c r="Z47" s="80">
        <v>61.9</v>
      </c>
      <c r="AA47" s="80">
        <v>61.9</v>
      </c>
      <c r="AB47" s="80">
        <v>61.9</v>
      </c>
      <c r="AC47" s="80">
        <v>61.9</v>
      </c>
      <c r="AD47" s="80">
        <v>62</v>
      </c>
      <c r="AE47" s="80">
        <v>62</v>
      </c>
      <c r="AF47" s="80">
        <v>62</v>
      </c>
      <c r="AG47" s="94">
        <v>69</v>
      </c>
      <c r="AH47" s="20">
        <f t="shared" si="2"/>
        <v>62.2</v>
      </c>
      <c r="AI47" s="19">
        <f t="shared" si="3"/>
        <v>51</v>
      </c>
      <c r="AK47" s="41"/>
    </row>
    <row r="48" spans="1:88" x14ac:dyDescent="0.25">
      <c r="A48" s="95" t="s">
        <v>187</v>
      </c>
      <c r="B48" s="113">
        <v>61.4</v>
      </c>
      <c r="C48" s="113">
        <v>61.4</v>
      </c>
      <c r="D48" s="113">
        <v>61.4</v>
      </c>
      <c r="E48" s="113">
        <v>45</v>
      </c>
      <c r="F48" s="113">
        <v>45</v>
      </c>
      <c r="G48" s="113">
        <v>45</v>
      </c>
      <c r="H48" s="113">
        <v>45</v>
      </c>
      <c r="I48" s="113">
        <v>62</v>
      </c>
      <c r="J48" s="113">
        <v>62</v>
      </c>
      <c r="K48" s="113">
        <v>62</v>
      </c>
      <c r="L48" s="113">
        <v>62</v>
      </c>
      <c r="M48" s="113">
        <v>62</v>
      </c>
      <c r="N48" s="113">
        <v>62</v>
      </c>
      <c r="O48" s="105">
        <v>61.7</v>
      </c>
      <c r="P48" s="105">
        <v>61.7</v>
      </c>
      <c r="Q48" s="105">
        <v>60.2</v>
      </c>
      <c r="R48" s="105">
        <v>61.4</v>
      </c>
      <c r="S48" s="105">
        <v>60.7</v>
      </c>
      <c r="T48" s="105">
        <v>60.7</v>
      </c>
      <c r="U48" s="105">
        <v>60.7</v>
      </c>
      <c r="V48" s="105">
        <v>60.7</v>
      </c>
      <c r="W48" s="105">
        <v>60.7</v>
      </c>
      <c r="X48" s="105">
        <v>60.7</v>
      </c>
      <c r="Y48" s="105">
        <v>60.7</v>
      </c>
      <c r="Z48" s="105">
        <v>60.7</v>
      </c>
      <c r="AA48" s="105">
        <v>60.7</v>
      </c>
      <c r="AB48" s="105">
        <v>60.7</v>
      </c>
      <c r="AC48" s="105">
        <v>60.7</v>
      </c>
      <c r="AD48" s="105">
        <v>60.7</v>
      </c>
      <c r="AE48" s="105">
        <v>60.7</v>
      </c>
      <c r="AF48" s="105">
        <v>60.7</v>
      </c>
      <c r="AG48" s="94">
        <v>60</v>
      </c>
      <c r="AH48" s="20">
        <f t="shared" si="2"/>
        <v>62</v>
      </c>
      <c r="AI48" s="19">
        <f t="shared" si="3"/>
        <v>45</v>
      </c>
      <c r="AK48" s="41"/>
    </row>
    <row r="49" spans="1:41" x14ac:dyDescent="0.25">
      <c r="A49" s="95" t="s">
        <v>186</v>
      </c>
      <c r="B49" s="113">
        <v>29.3</v>
      </c>
      <c r="C49" s="113">
        <v>29.3</v>
      </c>
      <c r="D49" s="113">
        <v>29.3</v>
      </c>
      <c r="E49" s="113">
        <v>29.3</v>
      </c>
      <c r="F49" s="113">
        <v>29.3</v>
      </c>
      <c r="G49" s="113">
        <v>29.3</v>
      </c>
      <c r="H49" s="113">
        <v>29.3</v>
      </c>
      <c r="I49" s="113">
        <v>29.3</v>
      </c>
      <c r="J49" s="113">
        <v>28.4</v>
      </c>
      <c r="K49" s="113">
        <v>28.4</v>
      </c>
      <c r="L49" s="113">
        <v>28.4</v>
      </c>
      <c r="M49" s="113">
        <v>28.4</v>
      </c>
      <c r="N49" s="113">
        <v>28.4</v>
      </c>
      <c r="O49" s="105">
        <v>29.1</v>
      </c>
      <c r="P49" s="105">
        <v>29.1</v>
      </c>
      <c r="Q49" s="105">
        <v>29.5</v>
      </c>
      <c r="R49" s="105">
        <v>29.5</v>
      </c>
      <c r="S49" s="105">
        <v>29.4</v>
      </c>
      <c r="T49" s="105">
        <v>29.4</v>
      </c>
      <c r="U49" s="105">
        <v>29.4</v>
      </c>
      <c r="V49" s="105">
        <v>29.4</v>
      </c>
      <c r="W49" s="105">
        <v>29.4</v>
      </c>
      <c r="X49" s="105">
        <v>29.4</v>
      </c>
      <c r="Y49" s="105">
        <v>29.4</v>
      </c>
      <c r="Z49" s="105">
        <v>29.4</v>
      </c>
      <c r="AA49" s="105">
        <v>29.4</v>
      </c>
      <c r="AB49" s="105">
        <v>29.4</v>
      </c>
      <c r="AC49" s="105">
        <v>29.4</v>
      </c>
      <c r="AD49" s="105">
        <v>29.4</v>
      </c>
      <c r="AE49" s="105">
        <v>29.4</v>
      </c>
      <c r="AF49" s="105">
        <v>29.4</v>
      </c>
      <c r="AG49" s="94">
        <v>30</v>
      </c>
      <c r="AH49" s="20">
        <f t="shared" si="2"/>
        <v>29.5</v>
      </c>
      <c r="AI49" s="19">
        <f t="shared" si="3"/>
        <v>28.4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6</v>
      </c>
      <c r="N50" s="80">
        <v>8</v>
      </c>
      <c r="O50" s="80">
        <v>12</v>
      </c>
      <c r="P50" s="80">
        <v>12</v>
      </c>
      <c r="Q50" s="80">
        <v>16</v>
      </c>
      <c r="R50" s="105">
        <v>16</v>
      </c>
      <c r="S50" s="105">
        <v>16</v>
      </c>
      <c r="T50" s="105">
        <v>16</v>
      </c>
      <c r="U50" s="105">
        <v>16</v>
      </c>
      <c r="V50" s="105">
        <v>10</v>
      </c>
      <c r="W50" s="105">
        <v>10</v>
      </c>
      <c r="X50" s="105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105">
        <v>0</v>
      </c>
      <c r="AG50" s="94">
        <v>25</v>
      </c>
      <c r="AH50" s="20">
        <f t="shared" si="2"/>
        <v>16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17</v>
      </c>
      <c r="C51" s="80">
        <v>17</v>
      </c>
      <c r="D51" s="80">
        <v>14.7</v>
      </c>
      <c r="E51" s="80">
        <v>14.7</v>
      </c>
      <c r="F51" s="80">
        <v>14.7</v>
      </c>
      <c r="G51" s="80">
        <v>14.7</v>
      </c>
      <c r="H51" s="80">
        <v>14.7</v>
      </c>
      <c r="I51" s="80">
        <v>14.7</v>
      </c>
      <c r="J51" s="80">
        <v>14.7</v>
      </c>
      <c r="K51" s="80">
        <v>14.7</v>
      </c>
      <c r="L51" s="80">
        <v>14.7</v>
      </c>
      <c r="M51" s="80">
        <v>14.7</v>
      </c>
      <c r="N51" s="80">
        <v>14.7</v>
      </c>
      <c r="O51" s="80">
        <v>14.9</v>
      </c>
      <c r="P51" s="80">
        <v>14.9</v>
      </c>
      <c r="Q51" s="80">
        <v>16.899999999999999</v>
      </c>
      <c r="R51" s="105">
        <v>16.7</v>
      </c>
      <c r="S51" s="105">
        <v>16.600000000000001</v>
      </c>
      <c r="T51" s="105">
        <v>16.600000000000001</v>
      </c>
      <c r="U51" s="105">
        <v>16.600000000000001</v>
      </c>
      <c r="V51" s="105">
        <v>16.600000000000001</v>
      </c>
      <c r="W51" s="105">
        <v>16.600000000000001</v>
      </c>
      <c r="X51" s="105">
        <v>16.600000000000001</v>
      </c>
      <c r="Y51" s="105">
        <v>16.600000000000001</v>
      </c>
      <c r="Z51" s="105">
        <v>16.600000000000001</v>
      </c>
      <c r="AA51" s="105">
        <v>16.600000000000001</v>
      </c>
      <c r="AB51" s="105">
        <v>16.600000000000001</v>
      </c>
      <c r="AC51" s="105">
        <v>16.600000000000001</v>
      </c>
      <c r="AD51" s="105">
        <v>16.600000000000001</v>
      </c>
      <c r="AE51" s="105">
        <v>16.600000000000001</v>
      </c>
      <c r="AF51" s="105">
        <v>16.600000000000001</v>
      </c>
      <c r="AG51" s="94">
        <v>24</v>
      </c>
      <c r="AH51" s="20">
        <f t="shared" si="2"/>
        <v>17</v>
      </c>
      <c r="AI51" s="19">
        <f t="shared" si="3"/>
        <v>14.7</v>
      </c>
      <c r="AK51" s="41"/>
    </row>
    <row r="52" spans="1:41" x14ac:dyDescent="0.25">
      <c r="A52" s="95" t="s">
        <v>183</v>
      </c>
      <c r="B52" s="80">
        <v>3.5</v>
      </c>
      <c r="C52" s="80">
        <v>3.5</v>
      </c>
      <c r="D52" s="80">
        <v>3.5</v>
      </c>
      <c r="E52" s="80">
        <v>3.5</v>
      </c>
      <c r="F52" s="80">
        <v>3.5</v>
      </c>
      <c r="G52" s="80">
        <v>3.5</v>
      </c>
      <c r="H52" s="80">
        <v>3.5</v>
      </c>
      <c r="I52" s="80">
        <v>3.5</v>
      </c>
      <c r="J52" s="80">
        <v>3.5</v>
      </c>
      <c r="K52" s="80">
        <v>3.5</v>
      </c>
      <c r="L52" s="80">
        <v>3.5</v>
      </c>
      <c r="M52" s="80">
        <v>3.5</v>
      </c>
      <c r="N52" s="80">
        <v>3.5</v>
      </c>
      <c r="O52" s="80">
        <v>3.5</v>
      </c>
      <c r="P52" s="80">
        <v>3.5</v>
      </c>
      <c r="Q52" s="80">
        <v>3.5</v>
      </c>
      <c r="R52" s="80">
        <v>3.5</v>
      </c>
      <c r="S52" s="80">
        <v>3.5</v>
      </c>
      <c r="T52" s="80">
        <v>3.5</v>
      </c>
      <c r="U52" s="80">
        <v>3.5</v>
      </c>
      <c r="V52" s="80">
        <v>3.5</v>
      </c>
      <c r="W52" s="80">
        <v>3.5</v>
      </c>
      <c r="X52" s="80">
        <v>3.5</v>
      </c>
      <c r="Y52" s="80">
        <v>3.5</v>
      </c>
      <c r="Z52" s="80">
        <v>3.5</v>
      </c>
      <c r="AA52" s="80">
        <v>3.5</v>
      </c>
      <c r="AB52" s="80">
        <v>3.5</v>
      </c>
      <c r="AC52" s="80">
        <v>3.5</v>
      </c>
      <c r="AD52" s="80">
        <v>3.5</v>
      </c>
      <c r="AE52" s="80">
        <v>3.5</v>
      </c>
      <c r="AF52" s="80">
        <v>3.5</v>
      </c>
      <c r="AG52" s="94">
        <v>15</v>
      </c>
      <c r="AH52" s="20">
        <f t="shared" si="2"/>
        <v>3.5</v>
      </c>
      <c r="AI52" s="19">
        <f t="shared" si="3"/>
        <v>3.5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9.6999999999999993</v>
      </c>
      <c r="C53" s="80">
        <v>9.6999999999999993</v>
      </c>
      <c r="D53" s="80">
        <v>8.6999999999999993</v>
      </c>
      <c r="E53" s="80">
        <v>8.6999999999999993</v>
      </c>
      <c r="F53" s="80">
        <v>8.6999999999999993</v>
      </c>
      <c r="G53" s="80">
        <v>8.6999999999999993</v>
      </c>
      <c r="H53" s="80">
        <v>8.6999999999999993</v>
      </c>
      <c r="I53" s="80">
        <v>8.6999999999999993</v>
      </c>
      <c r="J53" s="80">
        <v>8.6999999999999993</v>
      </c>
      <c r="K53" s="80">
        <v>8.6999999999999993</v>
      </c>
      <c r="L53" s="80">
        <v>8.6999999999999993</v>
      </c>
      <c r="M53" s="80">
        <v>8.6999999999999993</v>
      </c>
      <c r="N53" s="80">
        <v>8.6999999999999993</v>
      </c>
      <c r="O53" s="80">
        <v>7.6</v>
      </c>
      <c r="P53" s="80">
        <v>7.6</v>
      </c>
      <c r="Q53" s="80">
        <v>5.0999999999999996</v>
      </c>
      <c r="R53" s="80">
        <v>9.8000000000000007</v>
      </c>
      <c r="S53" s="80">
        <v>9.8000000000000007</v>
      </c>
      <c r="T53" s="80">
        <v>9.8000000000000007</v>
      </c>
      <c r="U53" s="80">
        <v>9.8000000000000007</v>
      </c>
      <c r="V53" s="80">
        <v>0</v>
      </c>
      <c r="W53" s="80">
        <v>0</v>
      </c>
      <c r="X53" s="80">
        <v>0</v>
      </c>
      <c r="Y53" s="80">
        <v>0</v>
      </c>
      <c r="Z53" s="80">
        <v>0</v>
      </c>
      <c r="AA53" s="80">
        <v>0</v>
      </c>
      <c r="AB53" s="80">
        <v>8</v>
      </c>
      <c r="AC53" s="80">
        <v>8</v>
      </c>
      <c r="AD53" s="80">
        <v>8</v>
      </c>
      <c r="AE53" s="80">
        <v>8</v>
      </c>
      <c r="AF53" s="80">
        <v>8</v>
      </c>
      <c r="AG53" s="94">
        <v>14.1</v>
      </c>
      <c r="AH53" s="20">
        <f t="shared" si="2"/>
        <v>9.8000000000000007</v>
      </c>
      <c r="AI53" s="19">
        <f t="shared" si="3"/>
        <v>0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14</v>
      </c>
      <c r="C54" s="80">
        <v>14</v>
      </c>
      <c r="D54" s="80">
        <v>10</v>
      </c>
      <c r="E54" s="80">
        <v>10</v>
      </c>
      <c r="F54" s="80">
        <v>10</v>
      </c>
      <c r="G54" s="80">
        <v>10</v>
      </c>
      <c r="H54" s="80">
        <v>10</v>
      </c>
      <c r="I54" s="80">
        <v>14</v>
      </c>
      <c r="J54" s="80">
        <v>14</v>
      </c>
      <c r="K54" s="80">
        <v>14</v>
      </c>
      <c r="L54" s="80">
        <v>14</v>
      </c>
      <c r="M54" s="80">
        <v>14</v>
      </c>
      <c r="N54" s="80">
        <v>14</v>
      </c>
      <c r="O54" s="80">
        <v>14.4</v>
      </c>
      <c r="P54" s="80">
        <v>14.4</v>
      </c>
      <c r="Q54" s="80">
        <v>14.4</v>
      </c>
      <c r="R54" s="80">
        <v>14.3</v>
      </c>
      <c r="S54" s="80">
        <v>14.3</v>
      </c>
      <c r="T54" s="80">
        <v>14.3</v>
      </c>
      <c r="U54" s="80">
        <v>14.3</v>
      </c>
      <c r="V54" s="80">
        <v>14.3</v>
      </c>
      <c r="W54" s="80">
        <v>14.3</v>
      </c>
      <c r="X54" s="80">
        <v>14.3</v>
      </c>
      <c r="Y54" s="80">
        <v>14.5</v>
      </c>
      <c r="Z54" s="80">
        <v>14.5</v>
      </c>
      <c r="AA54" s="80">
        <v>14.5</v>
      </c>
      <c r="AB54" s="80">
        <v>14.5</v>
      </c>
      <c r="AC54" s="80">
        <v>14.5</v>
      </c>
      <c r="AD54" s="80">
        <v>14.5</v>
      </c>
      <c r="AE54" s="80">
        <v>14.5</v>
      </c>
      <c r="AF54" s="80">
        <v>14.5</v>
      </c>
      <c r="AG54" s="94">
        <v>14</v>
      </c>
      <c r="AH54" s="20">
        <f t="shared" si="2"/>
        <v>14.5</v>
      </c>
      <c r="AI54" s="19">
        <f t="shared" si="3"/>
        <v>10</v>
      </c>
      <c r="AK54" s="41"/>
    </row>
    <row r="55" spans="1:41" x14ac:dyDescent="0.25">
      <c r="A55" s="95" t="s">
        <v>180</v>
      </c>
      <c r="B55" s="80">
        <v>9</v>
      </c>
      <c r="C55" s="80">
        <v>9</v>
      </c>
      <c r="D55" s="80">
        <v>9</v>
      </c>
      <c r="E55" s="80">
        <v>9</v>
      </c>
      <c r="F55" s="80">
        <v>9</v>
      </c>
      <c r="G55" s="80">
        <v>9</v>
      </c>
      <c r="H55" s="80">
        <v>9</v>
      </c>
      <c r="I55" s="80">
        <v>9</v>
      </c>
      <c r="J55" s="80">
        <v>9</v>
      </c>
      <c r="K55" s="80">
        <v>9</v>
      </c>
      <c r="L55" s="80">
        <v>9</v>
      </c>
      <c r="M55" s="80">
        <v>9</v>
      </c>
      <c r="N55" s="80">
        <v>9</v>
      </c>
      <c r="O55" s="80">
        <v>9.1999999999999993</v>
      </c>
      <c r="P55" s="80">
        <v>9.1999999999999993</v>
      </c>
      <c r="Q55" s="80">
        <v>9.1999999999999993</v>
      </c>
      <c r="R55" s="80">
        <v>9.1999999999999993</v>
      </c>
      <c r="S55" s="80">
        <v>9.1999999999999993</v>
      </c>
      <c r="T55" s="80">
        <v>9.1999999999999993</v>
      </c>
      <c r="U55" s="80">
        <v>9.1999999999999993</v>
      </c>
      <c r="V55" s="80">
        <v>9.1999999999999993</v>
      </c>
      <c r="W55" s="80">
        <v>9.1999999999999993</v>
      </c>
      <c r="X55" s="80">
        <v>9.1999999999999993</v>
      </c>
      <c r="Y55" s="80">
        <v>9.1999999999999993</v>
      </c>
      <c r="Z55" s="80">
        <v>9.1999999999999993</v>
      </c>
      <c r="AA55" s="80">
        <v>9.1999999999999993</v>
      </c>
      <c r="AB55" s="80">
        <v>9.1999999999999993</v>
      </c>
      <c r="AC55" s="80">
        <v>9.1999999999999993</v>
      </c>
      <c r="AD55" s="80">
        <v>9.1999999999999993</v>
      </c>
      <c r="AE55" s="80">
        <v>9.1999999999999993</v>
      </c>
      <c r="AF55" s="80">
        <v>9.1999999999999993</v>
      </c>
      <c r="AG55" s="94">
        <v>10.050000000000001</v>
      </c>
      <c r="AH55" s="20">
        <f t="shared" si="2"/>
        <v>9.1999999999999993</v>
      </c>
      <c r="AI55" s="19">
        <f t="shared" si="3"/>
        <v>9</v>
      </c>
      <c r="AK55" s="41"/>
    </row>
    <row r="56" spans="1:41" x14ac:dyDescent="0.25">
      <c r="A56" s="95" t="s">
        <v>179</v>
      </c>
      <c r="B56" s="80">
        <v>6.2</v>
      </c>
      <c r="C56" s="80">
        <v>6.2</v>
      </c>
      <c r="D56" s="80">
        <v>3.2</v>
      </c>
      <c r="E56" s="80">
        <v>3.2</v>
      </c>
      <c r="F56" s="80">
        <v>3.2</v>
      </c>
      <c r="G56" s="80">
        <v>3.2</v>
      </c>
      <c r="H56" s="80">
        <v>3.2</v>
      </c>
      <c r="I56" s="80">
        <v>3.2</v>
      </c>
      <c r="J56" s="80">
        <v>3.2</v>
      </c>
      <c r="K56" s="80">
        <v>3.2</v>
      </c>
      <c r="L56" s="80">
        <v>3.2</v>
      </c>
      <c r="M56" s="80">
        <v>6</v>
      </c>
      <c r="N56" s="80">
        <v>6</v>
      </c>
      <c r="O56" s="80">
        <v>6</v>
      </c>
      <c r="P56" s="80">
        <v>6</v>
      </c>
      <c r="Q56" s="80">
        <v>6</v>
      </c>
      <c r="R56" s="80">
        <v>6</v>
      </c>
      <c r="S56" s="80">
        <v>6</v>
      </c>
      <c r="T56" s="80">
        <v>6</v>
      </c>
      <c r="U56" s="80">
        <v>6</v>
      </c>
      <c r="V56" s="80">
        <v>6</v>
      </c>
      <c r="W56" s="80">
        <v>6</v>
      </c>
      <c r="X56" s="80">
        <v>6</v>
      </c>
      <c r="Y56" s="80">
        <v>6</v>
      </c>
      <c r="Z56" s="80">
        <v>6</v>
      </c>
      <c r="AA56" s="80">
        <v>6</v>
      </c>
      <c r="AB56" s="80">
        <v>6</v>
      </c>
      <c r="AC56" s="80">
        <v>6</v>
      </c>
      <c r="AD56" s="80">
        <v>6</v>
      </c>
      <c r="AE56" s="80">
        <v>6</v>
      </c>
      <c r="AF56" s="80">
        <v>6</v>
      </c>
      <c r="AG56" s="94">
        <v>6.2</v>
      </c>
      <c r="AH56" s="20">
        <f t="shared" si="2"/>
        <v>6.2</v>
      </c>
      <c r="AI56" s="19">
        <f t="shared" si="3"/>
        <v>3.2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6">SUM(B45:B57)</f>
        <v>429.53999999999996</v>
      </c>
      <c r="C58" s="86">
        <f t="shared" si="6"/>
        <v>429.14</v>
      </c>
      <c r="D58" s="86">
        <f t="shared" si="6"/>
        <v>405.34</v>
      </c>
      <c r="E58" s="86">
        <f t="shared" si="6"/>
        <v>377.44</v>
      </c>
      <c r="F58" s="86">
        <f t="shared" si="6"/>
        <v>352.04</v>
      </c>
      <c r="G58" s="86">
        <f t="shared" si="6"/>
        <v>352.04</v>
      </c>
      <c r="H58" s="86">
        <f t="shared" si="6"/>
        <v>352.04</v>
      </c>
      <c r="I58" s="86">
        <f t="shared" si="6"/>
        <v>373.44</v>
      </c>
      <c r="J58" s="86">
        <f t="shared" si="6"/>
        <v>374.73999999999995</v>
      </c>
      <c r="K58" s="86">
        <f t="shared" si="6"/>
        <v>374.73999999999995</v>
      </c>
      <c r="L58" s="86">
        <f t="shared" si="6"/>
        <v>423.73999999999995</v>
      </c>
      <c r="M58" s="86">
        <f t="shared" si="6"/>
        <v>432.53999999999996</v>
      </c>
      <c r="N58" s="86">
        <f t="shared" si="6"/>
        <v>434.53999999999996</v>
      </c>
      <c r="O58" s="86">
        <f t="shared" si="6"/>
        <v>438.94</v>
      </c>
      <c r="P58" s="86">
        <f t="shared" si="6"/>
        <v>438.94</v>
      </c>
      <c r="Q58" s="86">
        <f t="shared" si="6"/>
        <v>294.44000000000005</v>
      </c>
      <c r="R58" s="86">
        <f t="shared" si="6"/>
        <v>439.74</v>
      </c>
      <c r="S58" s="86">
        <f t="shared" si="6"/>
        <v>422.04</v>
      </c>
      <c r="T58" s="86">
        <f t="shared" si="6"/>
        <v>444.54</v>
      </c>
      <c r="U58" s="86">
        <f t="shared" si="6"/>
        <v>444.54</v>
      </c>
      <c r="V58" s="86">
        <f t="shared" si="6"/>
        <v>428.74</v>
      </c>
      <c r="W58" s="86">
        <f t="shared" si="6"/>
        <v>431.74</v>
      </c>
      <c r="X58" s="86">
        <f t="shared" si="6"/>
        <v>421.74</v>
      </c>
      <c r="Y58" s="86">
        <f t="shared" si="6"/>
        <v>421.94</v>
      </c>
      <c r="Z58" s="86">
        <f t="shared" si="6"/>
        <v>421.94</v>
      </c>
      <c r="AA58" s="86">
        <f t="shared" si="6"/>
        <v>421.94</v>
      </c>
      <c r="AB58" s="86">
        <f t="shared" si="6"/>
        <v>428.03999999999996</v>
      </c>
      <c r="AC58" s="86">
        <f t="shared" si="6"/>
        <v>427.84</v>
      </c>
      <c r="AD58" s="86">
        <f t="shared" si="6"/>
        <v>428.44</v>
      </c>
      <c r="AE58" s="86">
        <f t="shared" si="6"/>
        <v>428.44</v>
      </c>
      <c r="AF58" s="86">
        <f t="shared" si="6"/>
        <v>428.44</v>
      </c>
      <c r="AG58" s="101">
        <f t="shared" si="6"/>
        <v>489.91</v>
      </c>
      <c r="AH58" s="20">
        <f t="shared" si="2"/>
        <v>444.54</v>
      </c>
      <c r="AI58" s="19">
        <f t="shared" si="3"/>
        <v>294.44000000000005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>
        <v>0</v>
      </c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>
        <v>0</v>
      </c>
      <c r="Z59" s="105">
        <v>0</v>
      </c>
      <c r="AA59" s="105">
        <v>0</v>
      </c>
      <c r="AB59" s="105">
        <v>0</v>
      </c>
      <c r="AC59" s="105">
        <v>0</v>
      </c>
      <c r="AD59" s="105">
        <v>0</v>
      </c>
      <c r="AE59" s="105"/>
      <c r="AF59" s="105"/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/>
      <c r="AF60" s="80"/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07">
        <v>0</v>
      </c>
      <c r="Y61" s="107">
        <v>0</v>
      </c>
      <c r="Z61" s="107">
        <v>0</v>
      </c>
      <c r="AA61" s="107">
        <v>0</v>
      </c>
      <c r="AB61" s="107">
        <v>0</v>
      </c>
      <c r="AC61" s="107">
        <v>0</v>
      </c>
      <c r="AD61" s="107">
        <v>0</v>
      </c>
      <c r="AE61" s="107"/>
      <c r="AF61" s="107"/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7">SUM(B59:B61)</f>
        <v>0</v>
      </c>
      <c r="C62" s="86">
        <f t="shared" si="7"/>
        <v>0</v>
      </c>
      <c r="D62" s="86">
        <f t="shared" si="7"/>
        <v>0</v>
      </c>
      <c r="E62" s="86">
        <f t="shared" si="7"/>
        <v>0</v>
      </c>
      <c r="F62" s="86">
        <f t="shared" si="7"/>
        <v>0</v>
      </c>
      <c r="G62" s="86">
        <f t="shared" si="7"/>
        <v>0</v>
      </c>
      <c r="H62" s="86">
        <f t="shared" si="7"/>
        <v>0</v>
      </c>
      <c r="I62" s="86">
        <f t="shared" si="7"/>
        <v>0</v>
      </c>
      <c r="J62" s="86">
        <f t="shared" si="7"/>
        <v>0</v>
      </c>
      <c r="K62" s="86">
        <f t="shared" si="7"/>
        <v>0</v>
      </c>
      <c r="L62" s="86">
        <f t="shared" si="7"/>
        <v>0</v>
      </c>
      <c r="M62" s="86">
        <f t="shared" si="7"/>
        <v>0</v>
      </c>
      <c r="N62" s="86">
        <f t="shared" si="7"/>
        <v>0</v>
      </c>
      <c r="O62" s="86">
        <f t="shared" si="7"/>
        <v>0</v>
      </c>
      <c r="P62" s="86">
        <f t="shared" si="7"/>
        <v>0</v>
      </c>
      <c r="Q62" s="86">
        <f t="shared" si="7"/>
        <v>0</v>
      </c>
      <c r="R62" s="86">
        <f t="shared" si="7"/>
        <v>0</v>
      </c>
      <c r="S62" s="86">
        <f t="shared" si="7"/>
        <v>0</v>
      </c>
      <c r="T62" s="86">
        <f t="shared" si="7"/>
        <v>0</v>
      </c>
      <c r="U62" s="86">
        <f t="shared" si="7"/>
        <v>0</v>
      </c>
      <c r="V62" s="86">
        <f t="shared" si="7"/>
        <v>0</v>
      </c>
      <c r="W62" s="86">
        <f t="shared" si="7"/>
        <v>0</v>
      </c>
      <c r="X62" s="86">
        <f t="shared" si="7"/>
        <v>0</v>
      </c>
      <c r="Y62" s="86">
        <f t="shared" si="7"/>
        <v>0</v>
      </c>
      <c r="Z62" s="86">
        <f t="shared" si="7"/>
        <v>0</v>
      </c>
      <c r="AA62" s="86">
        <f t="shared" si="7"/>
        <v>0</v>
      </c>
      <c r="AB62" s="86">
        <f t="shared" si="7"/>
        <v>0</v>
      </c>
      <c r="AC62" s="86">
        <f t="shared" si="7"/>
        <v>0</v>
      </c>
      <c r="AD62" s="86">
        <f t="shared" si="7"/>
        <v>0</v>
      </c>
      <c r="AE62" s="86">
        <f t="shared" si="7"/>
        <v>0</v>
      </c>
      <c r="AF62" s="86">
        <f t="shared" si="7"/>
        <v>0</v>
      </c>
      <c r="AG62" s="101">
        <f t="shared" si="7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5</v>
      </c>
      <c r="C63" s="105">
        <v>4</v>
      </c>
      <c r="D63" s="105">
        <v>1.9</v>
      </c>
      <c r="E63" s="105">
        <v>9.1</v>
      </c>
      <c r="F63" s="105">
        <v>7.8</v>
      </c>
      <c r="G63" s="105">
        <v>7.8</v>
      </c>
      <c r="H63" s="105">
        <v>7.8</v>
      </c>
      <c r="I63" s="105">
        <v>7.8</v>
      </c>
      <c r="J63" s="105">
        <v>2.4</v>
      </c>
      <c r="K63" s="105">
        <v>2.4</v>
      </c>
      <c r="L63" s="105">
        <v>2.4</v>
      </c>
      <c r="M63" s="105">
        <v>11.2</v>
      </c>
      <c r="N63" s="105">
        <v>11.7</v>
      </c>
      <c r="O63" s="105">
        <v>14.6</v>
      </c>
      <c r="P63" s="105">
        <v>15</v>
      </c>
      <c r="Q63" s="105">
        <v>18</v>
      </c>
      <c r="R63" s="105">
        <v>17.8</v>
      </c>
      <c r="S63" s="105">
        <v>19</v>
      </c>
      <c r="T63" s="105">
        <v>21.3</v>
      </c>
      <c r="U63" s="105">
        <v>16</v>
      </c>
      <c r="V63" s="105">
        <v>14</v>
      </c>
      <c r="W63" s="105">
        <v>13.7</v>
      </c>
      <c r="X63" s="105">
        <v>13</v>
      </c>
      <c r="Y63" s="105">
        <v>13</v>
      </c>
      <c r="Z63" s="105">
        <v>56</v>
      </c>
      <c r="AA63" s="105">
        <v>53</v>
      </c>
      <c r="AB63" s="105">
        <v>54.7</v>
      </c>
      <c r="AC63" s="105">
        <v>56.3</v>
      </c>
      <c r="AD63" s="105">
        <v>30.5</v>
      </c>
      <c r="AE63" s="105">
        <v>0</v>
      </c>
      <c r="AF63" s="105">
        <v>0</v>
      </c>
      <c r="AG63" s="96"/>
      <c r="AH63" s="20">
        <f t="shared" si="2"/>
        <v>56.3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-411</v>
      </c>
      <c r="C65" s="80">
        <v>-422</v>
      </c>
      <c r="D65" s="80">
        <v>-409</v>
      </c>
      <c r="E65" s="80">
        <v>-408</v>
      </c>
      <c r="F65" s="80">
        <v>-408</v>
      </c>
      <c r="G65" s="80">
        <v>-430</v>
      </c>
      <c r="H65" s="80">
        <v>-435</v>
      </c>
      <c r="I65" s="80">
        <v>-439</v>
      </c>
      <c r="J65" s="80">
        <v>-430</v>
      </c>
      <c r="K65" s="80">
        <v>-400</v>
      </c>
      <c r="L65" s="80">
        <v>-430</v>
      </c>
      <c r="M65" s="80">
        <v>-364.7</v>
      </c>
      <c r="N65" s="80">
        <v>-368</v>
      </c>
      <c r="O65" s="80">
        <v>-356.8</v>
      </c>
      <c r="P65" s="80">
        <v>-397.2</v>
      </c>
      <c r="Q65" s="80">
        <v>-323.89999999999998</v>
      </c>
      <c r="R65" s="80">
        <v>-412.8</v>
      </c>
      <c r="S65" s="80">
        <v>-343</v>
      </c>
      <c r="T65" s="80">
        <v>-357</v>
      </c>
      <c r="U65" s="80">
        <v>-398</v>
      </c>
      <c r="V65" s="80">
        <v>-425</v>
      </c>
      <c r="W65" s="80">
        <v>-388</v>
      </c>
      <c r="X65" s="80">
        <v>-330.9</v>
      </c>
      <c r="Y65" s="80">
        <v>-330.9</v>
      </c>
      <c r="Z65" s="80">
        <v>-249</v>
      </c>
      <c r="AA65" s="80">
        <v>-301</v>
      </c>
      <c r="AB65" s="80">
        <v>-337.4</v>
      </c>
      <c r="AC65" s="80">
        <v>-351.1</v>
      </c>
      <c r="AD65" s="80">
        <v>-355.2</v>
      </c>
      <c r="AE65" s="80">
        <v>-385</v>
      </c>
      <c r="AF65" s="80">
        <v>-389.5</v>
      </c>
      <c r="AG65" s="102"/>
      <c r="AH65" s="20">
        <f t="shared" si="2"/>
        <v>-249</v>
      </c>
      <c r="AI65" s="19">
        <f t="shared" si="3"/>
        <v>-439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93">
        <v>0</v>
      </c>
      <c r="C67" s="93">
        <v>0</v>
      </c>
      <c r="D67" s="93">
        <v>0</v>
      </c>
      <c r="E67" s="93">
        <v>0</v>
      </c>
      <c r="F67" s="93">
        <v>0</v>
      </c>
      <c r="G67" s="93">
        <v>0</v>
      </c>
      <c r="H67" s="93">
        <v>0</v>
      </c>
      <c r="I67" s="93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93">
        <v>0</v>
      </c>
      <c r="C68" s="93">
        <v>0</v>
      </c>
      <c r="D68" s="93">
        <v>0</v>
      </c>
      <c r="E68" s="93">
        <v>0</v>
      </c>
      <c r="F68" s="93">
        <v>0</v>
      </c>
      <c r="G68" s="93">
        <v>0</v>
      </c>
      <c r="H68" s="93">
        <v>0</v>
      </c>
      <c r="I68" s="93">
        <v>0</v>
      </c>
      <c r="J68" s="93">
        <v>0</v>
      </c>
      <c r="K68" s="93">
        <v>0</v>
      </c>
      <c r="L68" s="9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93">
        <v>0</v>
      </c>
      <c r="C69" s="93">
        <v>0</v>
      </c>
      <c r="D69" s="93">
        <v>0</v>
      </c>
      <c r="E69" s="93">
        <v>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3">
        <v>0</v>
      </c>
      <c r="C72" s="93">
        <v>0</v>
      </c>
      <c r="D72" s="93">
        <v>0</v>
      </c>
      <c r="E72" s="93">
        <v>0</v>
      </c>
      <c r="F72" s="93">
        <v>0</v>
      </c>
      <c r="G72" s="93">
        <v>0</v>
      </c>
      <c r="H72" s="93">
        <v>0</v>
      </c>
      <c r="I72" s="93">
        <v>0</v>
      </c>
      <c r="J72" s="93">
        <v>0</v>
      </c>
      <c r="K72" s="93">
        <v>0</v>
      </c>
      <c r="L72" s="93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3">
        <v>0</v>
      </c>
      <c r="C73" s="93">
        <v>0</v>
      </c>
      <c r="D73" s="93">
        <v>0</v>
      </c>
      <c r="E73" s="93">
        <v>0</v>
      </c>
      <c r="F73" s="93">
        <v>0</v>
      </c>
      <c r="G73" s="93">
        <v>0</v>
      </c>
      <c r="H73" s="93">
        <v>0</v>
      </c>
      <c r="I73" s="93">
        <v>0</v>
      </c>
      <c r="J73" s="93">
        <v>0</v>
      </c>
      <c r="K73" s="93">
        <v>0</v>
      </c>
      <c r="L73" s="93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8">SUMIF(B63:B73,"&gt;0")</f>
        <v>5</v>
      </c>
      <c r="C74" s="86">
        <f t="shared" si="8"/>
        <v>4</v>
      </c>
      <c r="D74" s="86">
        <f t="shared" si="8"/>
        <v>1.9</v>
      </c>
      <c r="E74" s="86">
        <f t="shared" si="8"/>
        <v>9.1</v>
      </c>
      <c r="F74" s="86">
        <f t="shared" si="8"/>
        <v>7.8</v>
      </c>
      <c r="G74" s="86">
        <f t="shared" si="8"/>
        <v>7.8</v>
      </c>
      <c r="H74" s="86">
        <f t="shared" si="8"/>
        <v>7.8</v>
      </c>
      <c r="I74" s="86">
        <f t="shared" si="8"/>
        <v>7.8</v>
      </c>
      <c r="J74" s="86">
        <f t="shared" si="8"/>
        <v>2.4</v>
      </c>
      <c r="K74" s="86">
        <f t="shared" si="8"/>
        <v>2.4</v>
      </c>
      <c r="L74" s="86">
        <f t="shared" si="8"/>
        <v>2.4</v>
      </c>
      <c r="M74" s="86">
        <f t="shared" si="8"/>
        <v>11.2</v>
      </c>
      <c r="N74" s="86">
        <f t="shared" si="8"/>
        <v>11.7</v>
      </c>
      <c r="O74" s="86">
        <f t="shared" si="8"/>
        <v>14.6</v>
      </c>
      <c r="P74" s="86">
        <f t="shared" si="8"/>
        <v>15</v>
      </c>
      <c r="Q74" s="86">
        <f t="shared" si="8"/>
        <v>18</v>
      </c>
      <c r="R74" s="86">
        <f t="shared" si="8"/>
        <v>17.8</v>
      </c>
      <c r="S74" s="86">
        <f t="shared" si="8"/>
        <v>19</v>
      </c>
      <c r="T74" s="86">
        <f t="shared" si="8"/>
        <v>21.3</v>
      </c>
      <c r="U74" s="86">
        <f t="shared" si="8"/>
        <v>16</v>
      </c>
      <c r="V74" s="86">
        <f t="shared" si="8"/>
        <v>14</v>
      </c>
      <c r="W74" s="86">
        <f t="shared" si="8"/>
        <v>13.7</v>
      </c>
      <c r="X74" s="86">
        <f t="shared" si="8"/>
        <v>13</v>
      </c>
      <c r="Y74" s="86">
        <f t="shared" si="8"/>
        <v>13</v>
      </c>
      <c r="Z74" s="86">
        <f t="shared" si="8"/>
        <v>56</v>
      </c>
      <c r="AA74" s="86">
        <f t="shared" si="8"/>
        <v>53</v>
      </c>
      <c r="AB74" s="86">
        <f t="shared" si="8"/>
        <v>54.7</v>
      </c>
      <c r="AC74" s="86">
        <f t="shared" si="8"/>
        <v>56.3</v>
      </c>
      <c r="AD74" s="86">
        <f t="shared" si="8"/>
        <v>30.5</v>
      </c>
      <c r="AE74" s="86">
        <f t="shared" si="8"/>
        <v>0</v>
      </c>
      <c r="AF74" s="86">
        <f t="shared" si="8"/>
        <v>0</v>
      </c>
      <c r="AG74" s="85">
        <f>SUM(AG63:AG73)</f>
        <v>0</v>
      </c>
      <c r="AH74" s="20">
        <f t="shared" si="2"/>
        <v>56.3</v>
      </c>
      <c r="AI74" s="19">
        <f t="shared" si="3"/>
        <v>0</v>
      </c>
      <c r="AK74" s="41"/>
    </row>
    <row r="75" spans="1:37" x14ac:dyDescent="0.25">
      <c r="A75" s="97" t="s">
        <v>164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>
        <v>0</v>
      </c>
      <c r="T75" s="93">
        <v>0</v>
      </c>
      <c r="U75" s="93">
        <v>0</v>
      </c>
      <c r="V75" s="93">
        <v>0</v>
      </c>
      <c r="W75" s="93">
        <v>0</v>
      </c>
      <c r="X75" s="93">
        <v>0</v>
      </c>
      <c r="Y75" s="93">
        <v>0</v>
      </c>
      <c r="Z75" s="93">
        <v>0</v>
      </c>
      <c r="AA75" s="93">
        <v>0</v>
      </c>
      <c r="AB75" s="93"/>
      <c r="AC75" s="93"/>
      <c r="AD75" s="93"/>
      <c r="AE75" s="93"/>
      <c r="AF75" s="93"/>
      <c r="AG75" s="104">
        <v>39</v>
      </c>
      <c r="AH75" s="20">
        <f t="shared" ref="AH75:AH109" si="9">MAX(B75:AF75)</f>
        <v>0</v>
      </c>
      <c r="AI75" s="19">
        <f t="shared" ref="AI75:AI109" si="10">MIN(B75:AF75)</f>
        <v>0</v>
      </c>
      <c r="AK75" s="41"/>
    </row>
    <row r="76" spans="1:37" x14ac:dyDescent="0.25">
      <c r="A76" s="95" t="s">
        <v>163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>
        <v>0</v>
      </c>
      <c r="N76" s="103">
        <v>0</v>
      </c>
      <c r="O76" s="103">
        <v>0</v>
      </c>
      <c r="P76" s="103">
        <v>0</v>
      </c>
      <c r="Q76" s="103">
        <v>0</v>
      </c>
      <c r="R76" s="103">
        <v>0</v>
      </c>
      <c r="S76" s="103">
        <v>0</v>
      </c>
      <c r="T76" s="103">
        <v>0</v>
      </c>
      <c r="U76" s="103">
        <v>0</v>
      </c>
      <c r="V76" s="103">
        <v>0</v>
      </c>
      <c r="W76" s="103">
        <v>0</v>
      </c>
      <c r="X76" s="103">
        <v>0</v>
      </c>
      <c r="Y76" s="103">
        <v>0</v>
      </c>
      <c r="Z76" s="103">
        <v>0</v>
      </c>
      <c r="AA76" s="103">
        <v>0</v>
      </c>
      <c r="AB76" s="103"/>
      <c r="AC76" s="103"/>
      <c r="AD76" s="103"/>
      <c r="AE76" s="103"/>
      <c r="AF76" s="103"/>
      <c r="AG76" s="102">
        <v>14.4</v>
      </c>
      <c r="AH76" s="20">
        <f t="shared" si="9"/>
        <v>0</v>
      </c>
      <c r="AI76" s="19">
        <f t="shared" si="10"/>
        <v>0</v>
      </c>
      <c r="AK76" s="41"/>
    </row>
    <row r="77" spans="1:37" ht="15.75" thickBot="1" x14ac:dyDescent="0.3">
      <c r="A77" s="91" t="s">
        <v>162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  <c r="AA77" s="90">
        <v>0</v>
      </c>
      <c r="AB77" s="90"/>
      <c r="AC77" s="90"/>
      <c r="AD77" s="90"/>
      <c r="AE77" s="90"/>
      <c r="AF77" s="90"/>
      <c r="AG77" s="89">
        <v>2</v>
      </c>
      <c r="AH77" s="20">
        <f t="shared" si="9"/>
        <v>0</v>
      </c>
      <c r="AI77" s="19">
        <f t="shared" si="10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9"/>
        <v>0</v>
      </c>
      <c r="AI78" s="19">
        <f t="shared" si="10"/>
        <v>0</v>
      </c>
    </row>
    <row r="79" spans="1:37" ht="15.75" thickBot="1" x14ac:dyDescent="0.3">
      <c r="A79" s="87" t="s">
        <v>160</v>
      </c>
      <c r="B79" s="98">
        <f t="shared" ref="B79:AG79" si="11">B40+B44+B62+B58+B74+B78</f>
        <v>1770.04</v>
      </c>
      <c r="C79" s="98">
        <f t="shared" si="11"/>
        <v>1768.6399999999999</v>
      </c>
      <c r="D79" s="98">
        <f t="shared" si="11"/>
        <v>1728.24</v>
      </c>
      <c r="E79" s="98">
        <f t="shared" si="11"/>
        <v>1707.54</v>
      </c>
      <c r="F79" s="98">
        <f t="shared" si="11"/>
        <v>1680.84</v>
      </c>
      <c r="G79" s="98">
        <f t="shared" si="11"/>
        <v>1680.84</v>
      </c>
      <c r="H79" s="98">
        <f t="shared" si="11"/>
        <v>1680.84</v>
      </c>
      <c r="I79" s="98">
        <f t="shared" si="11"/>
        <v>1702.24</v>
      </c>
      <c r="J79" s="98">
        <f t="shared" si="11"/>
        <v>1698.14</v>
      </c>
      <c r="K79" s="98">
        <f t="shared" si="11"/>
        <v>1698.14</v>
      </c>
      <c r="L79" s="98">
        <f t="shared" si="11"/>
        <v>1747.14</v>
      </c>
      <c r="M79" s="98">
        <f t="shared" si="11"/>
        <v>1800.74</v>
      </c>
      <c r="N79" s="98">
        <f t="shared" si="11"/>
        <v>1813.24</v>
      </c>
      <c r="O79" s="98">
        <f t="shared" si="11"/>
        <v>1833.6399999999999</v>
      </c>
      <c r="P79" s="98">
        <f t="shared" si="11"/>
        <v>1845.94</v>
      </c>
      <c r="Q79" s="98">
        <f t="shared" si="11"/>
        <v>1694.94</v>
      </c>
      <c r="R79" s="98">
        <f t="shared" si="11"/>
        <v>1840.04</v>
      </c>
      <c r="S79" s="98">
        <f t="shared" si="11"/>
        <v>1823.54</v>
      </c>
      <c r="T79" s="98">
        <f t="shared" si="11"/>
        <v>1848.34</v>
      </c>
      <c r="U79" s="98">
        <f t="shared" si="11"/>
        <v>1843.04</v>
      </c>
      <c r="V79" s="98">
        <f t="shared" si="11"/>
        <v>1805.34</v>
      </c>
      <c r="W79" s="98">
        <f t="shared" si="11"/>
        <v>1800.44</v>
      </c>
      <c r="X79" s="98">
        <f t="shared" si="11"/>
        <v>1789.44</v>
      </c>
      <c r="Y79" s="98">
        <f t="shared" si="11"/>
        <v>1809.74</v>
      </c>
      <c r="Z79" s="98">
        <f t="shared" si="11"/>
        <v>1850.74</v>
      </c>
      <c r="AA79" s="98">
        <f t="shared" si="11"/>
        <v>1847.74</v>
      </c>
      <c r="AB79" s="98">
        <f t="shared" si="11"/>
        <v>1869.04</v>
      </c>
      <c r="AC79" s="98">
        <f t="shared" si="11"/>
        <v>1880.4399999999998</v>
      </c>
      <c r="AD79" s="98">
        <f t="shared" si="11"/>
        <v>1829.24</v>
      </c>
      <c r="AE79" s="98">
        <f t="shared" si="11"/>
        <v>1776.74</v>
      </c>
      <c r="AF79" s="98">
        <f t="shared" si="11"/>
        <v>1755.8400000000001</v>
      </c>
      <c r="AG79" s="101">
        <f t="shared" si="11"/>
        <v>1897.1900000000003</v>
      </c>
      <c r="AH79" s="20">
        <f t="shared" si="9"/>
        <v>1880.4399999999998</v>
      </c>
      <c r="AI79" s="19">
        <f t="shared" si="10"/>
        <v>1680.84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>
        <v>60</v>
      </c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9"/>
        <v>60</v>
      </c>
      <c r="AI80" s="19">
        <f t="shared" si="10"/>
        <v>60</v>
      </c>
    </row>
    <row r="81" spans="1:37" ht="15.75" thickBot="1" x14ac:dyDescent="0.3">
      <c r="A81" s="87" t="s">
        <v>158</v>
      </c>
      <c r="B81" s="98">
        <f t="shared" ref="B81:AF81" si="12">B79+B80</f>
        <v>1770.04</v>
      </c>
      <c r="C81" s="98">
        <f t="shared" si="12"/>
        <v>1768.6399999999999</v>
      </c>
      <c r="D81" s="98">
        <f t="shared" si="12"/>
        <v>1728.24</v>
      </c>
      <c r="E81" s="98">
        <f t="shared" si="12"/>
        <v>1707.54</v>
      </c>
      <c r="F81" s="98">
        <f t="shared" si="12"/>
        <v>1680.84</v>
      </c>
      <c r="G81" s="98">
        <f t="shared" si="12"/>
        <v>1680.84</v>
      </c>
      <c r="H81" s="98">
        <f t="shared" si="12"/>
        <v>1680.84</v>
      </c>
      <c r="I81" s="98">
        <f t="shared" si="12"/>
        <v>1702.24</v>
      </c>
      <c r="J81" s="98">
        <f t="shared" si="12"/>
        <v>1698.14</v>
      </c>
      <c r="K81" s="98">
        <f t="shared" si="12"/>
        <v>1698.14</v>
      </c>
      <c r="L81" s="98">
        <f t="shared" si="12"/>
        <v>1747.14</v>
      </c>
      <c r="M81" s="98">
        <f t="shared" si="12"/>
        <v>1800.74</v>
      </c>
      <c r="N81" s="98">
        <f t="shared" si="12"/>
        <v>1813.24</v>
      </c>
      <c r="O81" s="98">
        <f t="shared" si="12"/>
        <v>1833.6399999999999</v>
      </c>
      <c r="P81" s="98">
        <f t="shared" si="12"/>
        <v>1845.94</v>
      </c>
      <c r="Q81" s="98">
        <f t="shared" si="12"/>
        <v>1754.94</v>
      </c>
      <c r="R81" s="98">
        <f t="shared" si="12"/>
        <v>1840.04</v>
      </c>
      <c r="S81" s="98">
        <f t="shared" si="12"/>
        <v>1823.54</v>
      </c>
      <c r="T81" s="98">
        <f t="shared" si="12"/>
        <v>1848.34</v>
      </c>
      <c r="U81" s="98">
        <f t="shared" si="12"/>
        <v>1843.04</v>
      </c>
      <c r="V81" s="98">
        <f t="shared" si="12"/>
        <v>1805.34</v>
      </c>
      <c r="W81" s="98">
        <f t="shared" si="12"/>
        <v>1800.44</v>
      </c>
      <c r="X81" s="98">
        <f t="shared" si="12"/>
        <v>1789.44</v>
      </c>
      <c r="Y81" s="98">
        <f t="shared" si="12"/>
        <v>1809.74</v>
      </c>
      <c r="Z81" s="98">
        <f t="shared" si="12"/>
        <v>1850.74</v>
      </c>
      <c r="AA81" s="98">
        <f t="shared" si="12"/>
        <v>1847.74</v>
      </c>
      <c r="AB81" s="98">
        <f t="shared" si="12"/>
        <v>1869.04</v>
      </c>
      <c r="AC81" s="98">
        <f t="shared" si="12"/>
        <v>1880.4399999999998</v>
      </c>
      <c r="AD81" s="98">
        <f t="shared" si="12"/>
        <v>1829.24</v>
      </c>
      <c r="AE81" s="98">
        <f t="shared" si="12"/>
        <v>1776.74</v>
      </c>
      <c r="AF81" s="98">
        <f t="shared" si="12"/>
        <v>1755.8400000000001</v>
      </c>
      <c r="AG81" s="85">
        <f>AG78+AG74+AG62+AG58+AG40+AG80</f>
        <v>1359.0900000000001</v>
      </c>
      <c r="AH81" s="20">
        <f t="shared" si="9"/>
        <v>1880.4399999999998</v>
      </c>
      <c r="AI81" s="19">
        <f t="shared" si="10"/>
        <v>1680.84</v>
      </c>
    </row>
    <row r="82" spans="1:37" ht="15.75" thickBot="1" x14ac:dyDescent="0.3">
      <c r="A82" s="87" t="s">
        <v>157</v>
      </c>
      <c r="B82" s="98">
        <f t="shared" ref="B82:AF82" si="13">B81-B89</f>
        <v>1359.04</v>
      </c>
      <c r="C82" s="98">
        <f t="shared" si="13"/>
        <v>1346.6399999999999</v>
      </c>
      <c r="D82" s="98">
        <f t="shared" si="13"/>
        <v>1319.24</v>
      </c>
      <c r="E82" s="98">
        <f t="shared" si="13"/>
        <v>1299.54</v>
      </c>
      <c r="F82" s="98">
        <f t="shared" si="13"/>
        <v>1272.8399999999999</v>
      </c>
      <c r="G82" s="98">
        <f t="shared" si="13"/>
        <v>1250.8399999999999</v>
      </c>
      <c r="H82" s="98">
        <f t="shared" si="13"/>
        <v>1245.8399999999999</v>
      </c>
      <c r="I82" s="98">
        <f t="shared" si="13"/>
        <v>1263.24</v>
      </c>
      <c r="J82" s="98">
        <f t="shared" si="13"/>
        <v>1268.1400000000001</v>
      </c>
      <c r="K82" s="98">
        <f t="shared" si="13"/>
        <v>1298.1400000000001</v>
      </c>
      <c r="L82" s="98">
        <f t="shared" si="13"/>
        <v>1317.14</v>
      </c>
      <c r="M82" s="98">
        <f t="shared" si="13"/>
        <v>1436.04</v>
      </c>
      <c r="N82" s="98">
        <f t="shared" si="13"/>
        <v>1445.24</v>
      </c>
      <c r="O82" s="98">
        <f t="shared" si="13"/>
        <v>1476.84</v>
      </c>
      <c r="P82" s="98">
        <f t="shared" si="13"/>
        <v>1448.74</v>
      </c>
      <c r="Q82" s="98">
        <f t="shared" si="13"/>
        <v>1431.04</v>
      </c>
      <c r="R82" s="98">
        <f t="shared" si="13"/>
        <v>1427.24</v>
      </c>
      <c r="S82" s="98">
        <f t="shared" si="13"/>
        <v>1480.54</v>
      </c>
      <c r="T82" s="98">
        <f t="shared" si="13"/>
        <v>1491.34</v>
      </c>
      <c r="U82" s="98">
        <f t="shared" si="13"/>
        <v>1445.04</v>
      </c>
      <c r="V82" s="98">
        <f t="shared" si="13"/>
        <v>1380.34</v>
      </c>
      <c r="W82" s="98">
        <f t="shared" si="13"/>
        <v>1412.44</v>
      </c>
      <c r="X82" s="98">
        <f t="shared" si="13"/>
        <v>1458.54</v>
      </c>
      <c r="Y82" s="98">
        <f t="shared" si="13"/>
        <v>1478.8400000000001</v>
      </c>
      <c r="Z82" s="98">
        <f t="shared" si="13"/>
        <v>1601.74</v>
      </c>
      <c r="AA82" s="98">
        <f t="shared" si="13"/>
        <v>1546.74</v>
      </c>
      <c r="AB82" s="98">
        <f t="shared" si="13"/>
        <v>1531.6399999999999</v>
      </c>
      <c r="AC82" s="98">
        <f t="shared" si="13"/>
        <v>1529.3399999999997</v>
      </c>
      <c r="AD82" s="98">
        <f t="shared" si="13"/>
        <v>1474.04</v>
      </c>
      <c r="AE82" s="98">
        <f t="shared" si="13"/>
        <v>1391.74</v>
      </c>
      <c r="AF82" s="98">
        <f t="shared" si="13"/>
        <v>1366.3400000000001</v>
      </c>
      <c r="AG82" s="85"/>
      <c r="AH82" s="20">
        <f t="shared" si="9"/>
        <v>1601.74</v>
      </c>
      <c r="AI82" s="19">
        <f t="shared" si="10"/>
        <v>1245.8399999999999</v>
      </c>
    </row>
    <row r="83" spans="1:37" x14ac:dyDescent="0.25">
      <c r="A83" s="97" t="s">
        <v>156</v>
      </c>
      <c r="B83" s="93">
        <f t="shared" ref="B83:AF83" si="14">IF(B66&lt;0,B66*-1,0)</f>
        <v>0</v>
      </c>
      <c r="C83" s="93">
        <f t="shared" si="14"/>
        <v>0</v>
      </c>
      <c r="D83" s="93">
        <f t="shared" si="14"/>
        <v>0</v>
      </c>
      <c r="E83" s="93">
        <f t="shared" si="14"/>
        <v>0</v>
      </c>
      <c r="F83" s="93">
        <f t="shared" si="14"/>
        <v>0</v>
      </c>
      <c r="G83" s="93">
        <f t="shared" si="14"/>
        <v>0</v>
      </c>
      <c r="H83" s="93">
        <f t="shared" si="14"/>
        <v>0</v>
      </c>
      <c r="I83" s="93">
        <f t="shared" si="14"/>
        <v>0</v>
      </c>
      <c r="J83" s="93">
        <f t="shared" si="14"/>
        <v>0</v>
      </c>
      <c r="K83" s="93">
        <f t="shared" si="14"/>
        <v>0</v>
      </c>
      <c r="L83" s="93">
        <f t="shared" si="14"/>
        <v>0</v>
      </c>
      <c r="M83" s="93">
        <f t="shared" si="14"/>
        <v>0</v>
      </c>
      <c r="N83" s="93">
        <f t="shared" si="14"/>
        <v>0</v>
      </c>
      <c r="O83" s="93">
        <f t="shared" si="14"/>
        <v>0</v>
      </c>
      <c r="P83" s="93">
        <f t="shared" si="14"/>
        <v>0</v>
      </c>
      <c r="Q83" s="93">
        <f t="shared" si="14"/>
        <v>0</v>
      </c>
      <c r="R83" s="93">
        <f t="shared" si="14"/>
        <v>0</v>
      </c>
      <c r="S83" s="93">
        <f t="shared" si="14"/>
        <v>0</v>
      </c>
      <c r="T83" s="93">
        <f t="shared" si="14"/>
        <v>0</v>
      </c>
      <c r="U83" s="93">
        <f t="shared" si="14"/>
        <v>0</v>
      </c>
      <c r="V83" s="93">
        <f t="shared" si="14"/>
        <v>0</v>
      </c>
      <c r="W83" s="93">
        <f t="shared" si="14"/>
        <v>0</v>
      </c>
      <c r="X83" s="93">
        <f t="shared" si="14"/>
        <v>0</v>
      </c>
      <c r="Y83" s="93">
        <f t="shared" si="14"/>
        <v>0</v>
      </c>
      <c r="Z83" s="93">
        <f t="shared" si="14"/>
        <v>0</v>
      </c>
      <c r="AA83" s="93">
        <f t="shared" si="14"/>
        <v>0</v>
      </c>
      <c r="AB83" s="93">
        <f t="shared" si="14"/>
        <v>0</v>
      </c>
      <c r="AC83" s="93">
        <f t="shared" si="14"/>
        <v>0</v>
      </c>
      <c r="AD83" s="93">
        <f t="shared" si="14"/>
        <v>0</v>
      </c>
      <c r="AE83" s="93">
        <f t="shared" si="14"/>
        <v>0</v>
      </c>
      <c r="AF83" s="93">
        <f t="shared" si="14"/>
        <v>0</v>
      </c>
      <c r="AG83" s="96"/>
      <c r="AH83" s="20">
        <f t="shared" si="9"/>
        <v>0</v>
      </c>
      <c r="AI83" s="19">
        <f t="shared" si="10"/>
        <v>0</v>
      </c>
    </row>
    <row r="84" spans="1:37" x14ac:dyDescent="0.25">
      <c r="A84" s="95" t="s">
        <v>155</v>
      </c>
      <c r="B84" s="93">
        <f t="shared" ref="B84:AF84" si="15">IF(B64&lt;0,B64*-1,0)</f>
        <v>0</v>
      </c>
      <c r="C84" s="93">
        <f t="shared" si="15"/>
        <v>0</v>
      </c>
      <c r="D84" s="93">
        <f t="shared" si="15"/>
        <v>0</v>
      </c>
      <c r="E84" s="93">
        <f t="shared" si="15"/>
        <v>0</v>
      </c>
      <c r="F84" s="93">
        <f t="shared" si="15"/>
        <v>0</v>
      </c>
      <c r="G84" s="93">
        <f t="shared" si="15"/>
        <v>0</v>
      </c>
      <c r="H84" s="93">
        <f t="shared" si="15"/>
        <v>0</v>
      </c>
      <c r="I84" s="93">
        <f t="shared" si="15"/>
        <v>0</v>
      </c>
      <c r="J84" s="93">
        <f t="shared" si="15"/>
        <v>0</v>
      </c>
      <c r="K84" s="93">
        <f t="shared" si="15"/>
        <v>0</v>
      </c>
      <c r="L84" s="93">
        <f t="shared" si="15"/>
        <v>0</v>
      </c>
      <c r="M84" s="93">
        <f t="shared" si="15"/>
        <v>0</v>
      </c>
      <c r="N84" s="93">
        <f t="shared" si="15"/>
        <v>0</v>
      </c>
      <c r="O84" s="93">
        <f t="shared" si="15"/>
        <v>0</v>
      </c>
      <c r="P84" s="93">
        <f t="shared" si="15"/>
        <v>0</v>
      </c>
      <c r="Q84" s="93">
        <f t="shared" si="15"/>
        <v>0</v>
      </c>
      <c r="R84" s="93">
        <f t="shared" si="15"/>
        <v>0</v>
      </c>
      <c r="S84" s="93">
        <f t="shared" si="15"/>
        <v>0</v>
      </c>
      <c r="T84" s="93">
        <f t="shared" si="15"/>
        <v>0</v>
      </c>
      <c r="U84" s="93">
        <f t="shared" si="15"/>
        <v>0</v>
      </c>
      <c r="V84" s="93">
        <f t="shared" si="15"/>
        <v>0</v>
      </c>
      <c r="W84" s="93">
        <f t="shared" si="15"/>
        <v>0</v>
      </c>
      <c r="X84" s="93">
        <f t="shared" si="15"/>
        <v>0</v>
      </c>
      <c r="Y84" s="93">
        <f t="shared" si="15"/>
        <v>0</v>
      </c>
      <c r="Z84" s="93">
        <f t="shared" si="15"/>
        <v>0</v>
      </c>
      <c r="AA84" s="93">
        <f t="shared" si="15"/>
        <v>0</v>
      </c>
      <c r="AB84" s="93">
        <f t="shared" si="15"/>
        <v>0</v>
      </c>
      <c r="AC84" s="93">
        <f t="shared" si="15"/>
        <v>0</v>
      </c>
      <c r="AD84" s="93">
        <f t="shared" si="15"/>
        <v>0</v>
      </c>
      <c r="AE84" s="93">
        <f t="shared" si="15"/>
        <v>0</v>
      </c>
      <c r="AF84" s="93">
        <f t="shared" si="15"/>
        <v>0</v>
      </c>
      <c r="AG84" s="94"/>
      <c r="AH84" s="20">
        <f t="shared" si="9"/>
        <v>0</v>
      </c>
      <c r="AI84" s="19">
        <f t="shared" si="10"/>
        <v>0</v>
      </c>
    </row>
    <row r="85" spans="1:37" x14ac:dyDescent="0.25">
      <c r="A85" s="91" t="s">
        <v>154</v>
      </c>
      <c r="B85" s="93">
        <f t="shared" ref="B85:AF85" si="16">IF(B67&lt;0,B67*-1,0)</f>
        <v>0</v>
      </c>
      <c r="C85" s="93">
        <f t="shared" si="16"/>
        <v>0</v>
      </c>
      <c r="D85" s="93">
        <f t="shared" si="16"/>
        <v>0</v>
      </c>
      <c r="E85" s="93">
        <f t="shared" si="16"/>
        <v>0</v>
      </c>
      <c r="F85" s="93">
        <f t="shared" si="16"/>
        <v>0</v>
      </c>
      <c r="G85" s="93">
        <f t="shared" si="16"/>
        <v>0</v>
      </c>
      <c r="H85" s="93">
        <f t="shared" si="16"/>
        <v>0</v>
      </c>
      <c r="I85" s="93">
        <f t="shared" si="16"/>
        <v>0</v>
      </c>
      <c r="J85" s="93">
        <f t="shared" si="16"/>
        <v>0</v>
      </c>
      <c r="K85" s="93">
        <f t="shared" si="16"/>
        <v>0</v>
      </c>
      <c r="L85" s="93">
        <f t="shared" si="16"/>
        <v>0</v>
      </c>
      <c r="M85" s="93">
        <f t="shared" si="16"/>
        <v>0</v>
      </c>
      <c r="N85" s="93">
        <f t="shared" si="16"/>
        <v>0</v>
      </c>
      <c r="O85" s="93">
        <f t="shared" si="16"/>
        <v>0</v>
      </c>
      <c r="P85" s="93">
        <f t="shared" si="16"/>
        <v>0</v>
      </c>
      <c r="Q85" s="93">
        <f t="shared" si="16"/>
        <v>0</v>
      </c>
      <c r="R85" s="93">
        <f t="shared" si="16"/>
        <v>0</v>
      </c>
      <c r="S85" s="93">
        <f t="shared" si="16"/>
        <v>0</v>
      </c>
      <c r="T85" s="93">
        <f t="shared" si="16"/>
        <v>0</v>
      </c>
      <c r="U85" s="93">
        <f t="shared" si="16"/>
        <v>0</v>
      </c>
      <c r="V85" s="93">
        <f t="shared" si="16"/>
        <v>0</v>
      </c>
      <c r="W85" s="93">
        <f t="shared" si="16"/>
        <v>0</v>
      </c>
      <c r="X85" s="93">
        <f t="shared" si="16"/>
        <v>0</v>
      </c>
      <c r="Y85" s="93">
        <f t="shared" si="16"/>
        <v>0</v>
      </c>
      <c r="Z85" s="93">
        <f t="shared" si="16"/>
        <v>0</v>
      </c>
      <c r="AA85" s="93">
        <f t="shared" si="16"/>
        <v>0</v>
      </c>
      <c r="AB85" s="93">
        <f t="shared" si="16"/>
        <v>0</v>
      </c>
      <c r="AC85" s="93">
        <f t="shared" si="16"/>
        <v>0</v>
      </c>
      <c r="AD85" s="93">
        <f t="shared" si="16"/>
        <v>0</v>
      </c>
      <c r="AE85" s="93">
        <f t="shared" si="16"/>
        <v>0</v>
      </c>
      <c r="AF85" s="93">
        <f t="shared" si="16"/>
        <v>0</v>
      </c>
      <c r="AG85" s="92"/>
      <c r="AH85" s="20">
        <f t="shared" si="9"/>
        <v>0</v>
      </c>
      <c r="AI85" s="19">
        <f t="shared" si="10"/>
        <v>0</v>
      </c>
    </row>
    <row r="86" spans="1:37" x14ac:dyDescent="0.25">
      <c r="A86" s="91" t="s">
        <v>153</v>
      </c>
      <c r="B86" s="93">
        <f t="shared" ref="B86:AF86" si="17">IF(B65&lt;0,B65*-1,0)</f>
        <v>411</v>
      </c>
      <c r="C86" s="93">
        <f t="shared" si="17"/>
        <v>422</v>
      </c>
      <c r="D86" s="93">
        <f t="shared" si="17"/>
        <v>409</v>
      </c>
      <c r="E86" s="93">
        <f t="shared" si="17"/>
        <v>408</v>
      </c>
      <c r="F86" s="93">
        <f t="shared" si="17"/>
        <v>408</v>
      </c>
      <c r="G86" s="93">
        <f t="shared" si="17"/>
        <v>430</v>
      </c>
      <c r="H86" s="93">
        <f t="shared" si="17"/>
        <v>435</v>
      </c>
      <c r="I86" s="93">
        <f t="shared" si="17"/>
        <v>439</v>
      </c>
      <c r="J86" s="93">
        <f t="shared" si="17"/>
        <v>430</v>
      </c>
      <c r="K86" s="93">
        <f t="shared" si="17"/>
        <v>400</v>
      </c>
      <c r="L86" s="93">
        <f t="shared" si="17"/>
        <v>430</v>
      </c>
      <c r="M86" s="93">
        <f t="shared" si="17"/>
        <v>364.7</v>
      </c>
      <c r="N86" s="93">
        <f t="shared" si="17"/>
        <v>368</v>
      </c>
      <c r="O86" s="93">
        <f t="shared" si="17"/>
        <v>356.8</v>
      </c>
      <c r="P86" s="93">
        <f t="shared" si="17"/>
        <v>397.2</v>
      </c>
      <c r="Q86" s="93">
        <f t="shared" si="17"/>
        <v>323.89999999999998</v>
      </c>
      <c r="R86" s="93">
        <f t="shared" si="17"/>
        <v>412.8</v>
      </c>
      <c r="S86" s="93">
        <f t="shared" si="17"/>
        <v>343</v>
      </c>
      <c r="T86" s="93">
        <f t="shared" si="17"/>
        <v>357</v>
      </c>
      <c r="U86" s="93">
        <f t="shared" si="17"/>
        <v>398</v>
      </c>
      <c r="V86" s="93">
        <f t="shared" si="17"/>
        <v>425</v>
      </c>
      <c r="W86" s="93">
        <f t="shared" si="17"/>
        <v>388</v>
      </c>
      <c r="X86" s="93">
        <f t="shared" si="17"/>
        <v>330.9</v>
      </c>
      <c r="Y86" s="93">
        <f t="shared" si="17"/>
        <v>330.9</v>
      </c>
      <c r="Z86" s="93">
        <f t="shared" si="17"/>
        <v>249</v>
      </c>
      <c r="AA86" s="93">
        <f t="shared" si="17"/>
        <v>301</v>
      </c>
      <c r="AB86" s="93">
        <f t="shared" si="17"/>
        <v>337.4</v>
      </c>
      <c r="AC86" s="93">
        <f t="shared" si="17"/>
        <v>351.1</v>
      </c>
      <c r="AD86" s="93">
        <f t="shared" si="17"/>
        <v>355.2</v>
      </c>
      <c r="AE86" s="93">
        <f t="shared" si="17"/>
        <v>385</v>
      </c>
      <c r="AF86" s="93">
        <f t="shared" si="17"/>
        <v>389.5</v>
      </c>
      <c r="AG86" s="92"/>
      <c r="AH86" s="20">
        <f t="shared" si="9"/>
        <v>439</v>
      </c>
      <c r="AI86" s="19">
        <f t="shared" si="10"/>
        <v>249</v>
      </c>
    </row>
    <row r="87" spans="1:37" x14ac:dyDescent="0.25">
      <c r="A87" s="91" t="s">
        <v>152</v>
      </c>
      <c r="B87" s="93">
        <f t="shared" ref="B87:AF87" si="18">IF(B63&lt;0,B63*-1,0)</f>
        <v>0</v>
      </c>
      <c r="C87" s="93">
        <f t="shared" si="18"/>
        <v>0</v>
      </c>
      <c r="D87" s="93">
        <f t="shared" si="18"/>
        <v>0</v>
      </c>
      <c r="E87" s="93">
        <f t="shared" si="18"/>
        <v>0</v>
      </c>
      <c r="F87" s="93">
        <f t="shared" si="18"/>
        <v>0</v>
      </c>
      <c r="G87" s="93">
        <f t="shared" si="18"/>
        <v>0</v>
      </c>
      <c r="H87" s="93">
        <f t="shared" si="18"/>
        <v>0</v>
      </c>
      <c r="I87" s="93">
        <f t="shared" si="18"/>
        <v>0</v>
      </c>
      <c r="J87" s="93">
        <f t="shared" si="18"/>
        <v>0</v>
      </c>
      <c r="K87" s="93">
        <f t="shared" si="18"/>
        <v>0</v>
      </c>
      <c r="L87" s="93">
        <f t="shared" si="18"/>
        <v>0</v>
      </c>
      <c r="M87" s="93">
        <f t="shared" si="18"/>
        <v>0</v>
      </c>
      <c r="N87" s="93">
        <f t="shared" si="18"/>
        <v>0</v>
      </c>
      <c r="O87" s="93">
        <f t="shared" si="18"/>
        <v>0</v>
      </c>
      <c r="P87" s="93">
        <f t="shared" si="18"/>
        <v>0</v>
      </c>
      <c r="Q87" s="93">
        <f t="shared" si="18"/>
        <v>0</v>
      </c>
      <c r="R87" s="93">
        <f t="shared" si="18"/>
        <v>0</v>
      </c>
      <c r="S87" s="93">
        <f t="shared" si="18"/>
        <v>0</v>
      </c>
      <c r="T87" s="93">
        <f t="shared" si="18"/>
        <v>0</v>
      </c>
      <c r="U87" s="93">
        <f t="shared" si="18"/>
        <v>0</v>
      </c>
      <c r="V87" s="93">
        <f t="shared" si="18"/>
        <v>0</v>
      </c>
      <c r="W87" s="93">
        <f t="shared" si="18"/>
        <v>0</v>
      </c>
      <c r="X87" s="93">
        <f t="shared" si="18"/>
        <v>0</v>
      </c>
      <c r="Y87" s="93">
        <f t="shared" si="18"/>
        <v>0</v>
      </c>
      <c r="Z87" s="93">
        <f t="shared" si="18"/>
        <v>0</v>
      </c>
      <c r="AA87" s="93">
        <f t="shared" si="18"/>
        <v>0</v>
      </c>
      <c r="AB87" s="93">
        <f t="shared" si="18"/>
        <v>0</v>
      </c>
      <c r="AC87" s="93">
        <f t="shared" si="18"/>
        <v>0</v>
      </c>
      <c r="AD87" s="93">
        <f t="shared" si="18"/>
        <v>0</v>
      </c>
      <c r="AE87" s="93">
        <f t="shared" si="18"/>
        <v>0</v>
      </c>
      <c r="AF87" s="93">
        <f t="shared" si="18"/>
        <v>0</v>
      </c>
      <c r="AG87" s="92"/>
      <c r="AH87" s="20">
        <f t="shared" si="9"/>
        <v>0</v>
      </c>
      <c r="AI87" s="19">
        <f t="shared" si="10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9"/>
        <v>0</v>
      </c>
      <c r="AI88" s="19">
        <f t="shared" si="10"/>
        <v>0</v>
      </c>
    </row>
    <row r="89" spans="1:37" ht="15.75" thickBot="1" x14ac:dyDescent="0.3">
      <c r="A89" s="88" t="s">
        <v>150</v>
      </c>
      <c r="B89" s="86">
        <f t="shared" ref="B89:AF89" si="19">SUM(B83:B88)</f>
        <v>411</v>
      </c>
      <c r="C89" s="86">
        <f t="shared" si="19"/>
        <v>422</v>
      </c>
      <c r="D89" s="86">
        <f t="shared" si="19"/>
        <v>409</v>
      </c>
      <c r="E89" s="86">
        <f t="shared" si="19"/>
        <v>408</v>
      </c>
      <c r="F89" s="86">
        <f t="shared" si="19"/>
        <v>408</v>
      </c>
      <c r="G89" s="86">
        <f t="shared" si="19"/>
        <v>430</v>
      </c>
      <c r="H89" s="86">
        <f t="shared" si="19"/>
        <v>435</v>
      </c>
      <c r="I89" s="86">
        <f t="shared" si="19"/>
        <v>439</v>
      </c>
      <c r="J89" s="86">
        <f t="shared" si="19"/>
        <v>430</v>
      </c>
      <c r="K89" s="86">
        <f t="shared" si="19"/>
        <v>400</v>
      </c>
      <c r="L89" s="86">
        <f t="shared" si="19"/>
        <v>430</v>
      </c>
      <c r="M89" s="86">
        <f t="shared" si="19"/>
        <v>364.7</v>
      </c>
      <c r="N89" s="86">
        <f t="shared" si="19"/>
        <v>368</v>
      </c>
      <c r="O89" s="86">
        <f t="shared" si="19"/>
        <v>356.8</v>
      </c>
      <c r="P89" s="86">
        <f t="shared" si="19"/>
        <v>397.2</v>
      </c>
      <c r="Q89" s="86">
        <f t="shared" si="19"/>
        <v>323.89999999999998</v>
      </c>
      <c r="R89" s="86">
        <f t="shared" si="19"/>
        <v>412.8</v>
      </c>
      <c r="S89" s="86">
        <f t="shared" si="19"/>
        <v>343</v>
      </c>
      <c r="T89" s="86">
        <f t="shared" si="19"/>
        <v>357</v>
      </c>
      <c r="U89" s="86">
        <f t="shared" si="19"/>
        <v>398</v>
      </c>
      <c r="V89" s="86">
        <f t="shared" si="19"/>
        <v>425</v>
      </c>
      <c r="W89" s="86">
        <f t="shared" si="19"/>
        <v>388</v>
      </c>
      <c r="X89" s="86">
        <f t="shared" si="19"/>
        <v>330.9</v>
      </c>
      <c r="Y89" s="86">
        <f t="shared" si="19"/>
        <v>330.9</v>
      </c>
      <c r="Z89" s="86">
        <f t="shared" si="19"/>
        <v>249</v>
      </c>
      <c r="AA89" s="86">
        <f t="shared" si="19"/>
        <v>301</v>
      </c>
      <c r="AB89" s="86">
        <f t="shared" si="19"/>
        <v>337.4</v>
      </c>
      <c r="AC89" s="86">
        <f t="shared" si="19"/>
        <v>351.1</v>
      </c>
      <c r="AD89" s="86">
        <f t="shared" si="19"/>
        <v>355.2</v>
      </c>
      <c r="AE89" s="86">
        <f t="shared" si="19"/>
        <v>385</v>
      </c>
      <c r="AF89" s="86">
        <f t="shared" si="19"/>
        <v>389.5</v>
      </c>
      <c r="AG89" s="85"/>
      <c r="AH89" s="20">
        <f t="shared" si="9"/>
        <v>439</v>
      </c>
      <c r="AI89" s="19">
        <f t="shared" si="10"/>
        <v>249</v>
      </c>
      <c r="AK89" s="41"/>
    </row>
    <row r="90" spans="1:37" ht="15.75" thickBot="1" x14ac:dyDescent="0.3">
      <c r="A90" s="87" t="s">
        <v>149</v>
      </c>
      <c r="B90" s="86">
        <f t="shared" ref="B90:AF90" si="20">B74-B89</f>
        <v>-406</v>
      </c>
      <c r="C90" s="86">
        <f t="shared" si="20"/>
        <v>-418</v>
      </c>
      <c r="D90" s="86">
        <f t="shared" si="20"/>
        <v>-407.1</v>
      </c>
      <c r="E90" s="86">
        <f t="shared" si="20"/>
        <v>-398.9</v>
      </c>
      <c r="F90" s="86">
        <f t="shared" si="20"/>
        <v>-400.2</v>
      </c>
      <c r="G90" s="86">
        <f t="shared" si="20"/>
        <v>-422.2</v>
      </c>
      <c r="H90" s="86">
        <f t="shared" si="20"/>
        <v>-427.2</v>
      </c>
      <c r="I90" s="86">
        <f t="shared" si="20"/>
        <v>-431.2</v>
      </c>
      <c r="J90" s="86">
        <f t="shared" si="20"/>
        <v>-427.6</v>
      </c>
      <c r="K90" s="86">
        <f t="shared" si="20"/>
        <v>-397.6</v>
      </c>
      <c r="L90" s="86">
        <f t="shared" si="20"/>
        <v>-427.6</v>
      </c>
      <c r="M90" s="86">
        <f t="shared" si="20"/>
        <v>-353.5</v>
      </c>
      <c r="N90" s="86">
        <f t="shared" si="20"/>
        <v>-356.3</v>
      </c>
      <c r="O90" s="86">
        <f t="shared" si="20"/>
        <v>-342.2</v>
      </c>
      <c r="P90" s="86">
        <f t="shared" si="20"/>
        <v>-382.2</v>
      </c>
      <c r="Q90" s="86">
        <f t="shared" si="20"/>
        <v>-305.89999999999998</v>
      </c>
      <c r="R90" s="86">
        <f t="shared" si="20"/>
        <v>-395</v>
      </c>
      <c r="S90" s="86">
        <f t="shared" si="20"/>
        <v>-324</v>
      </c>
      <c r="T90" s="86">
        <f t="shared" si="20"/>
        <v>-335.7</v>
      </c>
      <c r="U90" s="86">
        <f t="shared" si="20"/>
        <v>-382</v>
      </c>
      <c r="V90" s="86">
        <f t="shared" si="20"/>
        <v>-411</v>
      </c>
      <c r="W90" s="86">
        <f t="shared" si="20"/>
        <v>-374.3</v>
      </c>
      <c r="X90" s="86">
        <f t="shared" si="20"/>
        <v>-317.89999999999998</v>
      </c>
      <c r="Y90" s="86">
        <f t="shared" si="20"/>
        <v>-317.89999999999998</v>
      </c>
      <c r="Z90" s="86">
        <f t="shared" si="20"/>
        <v>-193</v>
      </c>
      <c r="AA90" s="86">
        <f t="shared" si="20"/>
        <v>-248</v>
      </c>
      <c r="AB90" s="86">
        <f t="shared" si="20"/>
        <v>-282.7</v>
      </c>
      <c r="AC90" s="86">
        <f t="shared" si="20"/>
        <v>-294.8</v>
      </c>
      <c r="AD90" s="86">
        <f t="shared" si="20"/>
        <v>-324.7</v>
      </c>
      <c r="AE90" s="86">
        <f t="shared" si="20"/>
        <v>-385</v>
      </c>
      <c r="AF90" s="86">
        <f t="shared" si="20"/>
        <v>-389.5</v>
      </c>
      <c r="AG90" s="85"/>
      <c r="AH90" s="20">
        <f t="shared" si="9"/>
        <v>-193</v>
      </c>
      <c r="AI90" s="19">
        <f t="shared" si="10"/>
        <v>-431.2</v>
      </c>
    </row>
    <row r="91" spans="1:37" x14ac:dyDescent="0.25">
      <c r="A91" s="47" t="s">
        <v>148</v>
      </c>
      <c r="B91" s="84">
        <v>49.954999999999998</v>
      </c>
      <c r="C91" s="84">
        <v>49.954999999999998</v>
      </c>
      <c r="D91" s="84">
        <v>50</v>
      </c>
      <c r="E91" s="84">
        <v>50.05</v>
      </c>
      <c r="F91" s="84">
        <v>50.06</v>
      </c>
      <c r="G91" s="84">
        <v>50.04</v>
      </c>
      <c r="H91" s="84">
        <v>49.99</v>
      </c>
      <c r="I91" s="84">
        <v>50.02</v>
      </c>
      <c r="J91" s="84">
        <v>50</v>
      </c>
      <c r="K91" s="84">
        <v>50.02</v>
      </c>
      <c r="L91" s="84">
        <v>50.03</v>
      </c>
      <c r="M91" s="84">
        <v>50.051000000000002</v>
      </c>
      <c r="N91" s="84">
        <v>50.048000000000002</v>
      </c>
      <c r="O91" s="84">
        <v>50.021999999999998</v>
      </c>
      <c r="P91" s="84">
        <v>50.051000000000002</v>
      </c>
      <c r="Q91" s="84">
        <v>50.014000000000003</v>
      </c>
      <c r="R91" s="84">
        <v>50.091000000000001</v>
      </c>
      <c r="S91" s="84">
        <v>50.08</v>
      </c>
      <c r="T91" s="84">
        <v>49.98</v>
      </c>
      <c r="U91" s="84">
        <v>49.99</v>
      </c>
      <c r="V91" s="84">
        <v>50.06</v>
      </c>
      <c r="W91" s="84">
        <v>50.03</v>
      </c>
      <c r="X91" s="84">
        <v>50.01</v>
      </c>
      <c r="Y91" s="84">
        <v>49.97</v>
      </c>
      <c r="Z91" s="84">
        <v>50.05</v>
      </c>
      <c r="AA91" s="84">
        <v>50.05</v>
      </c>
      <c r="AB91" s="84">
        <v>50.084000000000003</v>
      </c>
      <c r="AC91" s="84">
        <v>50.052</v>
      </c>
      <c r="AD91" s="84">
        <v>50.045999999999999</v>
      </c>
      <c r="AE91" s="84">
        <v>50.034999999999997</v>
      </c>
      <c r="AF91" s="84">
        <v>50.009</v>
      </c>
      <c r="AG91" s="83"/>
      <c r="AH91" s="20">
        <f t="shared" si="9"/>
        <v>50.091000000000001</v>
      </c>
      <c r="AI91" s="19">
        <f t="shared" si="10"/>
        <v>49.954999999999998</v>
      </c>
    </row>
    <row r="92" spans="1:37" x14ac:dyDescent="0.25">
      <c r="A92" s="44" t="s">
        <v>147</v>
      </c>
      <c r="B92" s="80">
        <v>124.9</v>
      </c>
      <c r="C92" s="80">
        <v>124.9</v>
      </c>
      <c r="D92" s="80">
        <v>126</v>
      </c>
      <c r="E92" s="80">
        <v>125.8</v>
      </c>
      <c r="F92" s="80">
        <v>125.8</v>
      </c>
      <c r="G92" s="80">
        <v>125.8</v>
      </c>
      <c r="H92" s="80">
        <v>125.8</v>
      </c>
      <c r="I92" s="80">
        <v>126</v>
      </c>
      <c r="J92" s="80">
        <v>125.1</v>
      </c>
      <c r="K92" s="80">
        <v>125.1</v>
      </c>
      <c r="L92" s="80">
        <v>123.2</v>
      </c>
      <c r="M92" s="80">
        <v>122.4</v>
      </c>
      <c r="N92" s="80">
        <v>123</v>
      </c>
      <c r="O92" s="80">
        <v>121.3</v>
      </c>
      <c r="P92" s="80">
        <v>120.8</v>
      </c>
      <c r="Q92" s="80">
        <v>119.9</v>
      </c>
      <c r="R92" s="80">
        <v>121.7</v>
      </c>
      <c r="S92" s="80">
        <v>121.6</v>
      </c>
      <c r="T92" s="80">
        <v>120.3</v>
      </c>
      <c r="U92" s="80">
        <v>122</v>
      </c>
      <c r="V92" s="80">
        <v>124</v>
      </c>
      <c r="W92" s="80">
        <v>124.9</v>
      </c>
      <c r="X92" s="80">
        <v>124.5</v>
      </c>
      <c r="Y92" s="80">
        <v>124.1</v>
      </c>
      <c r="Z92" s="80">
        <v>123.7</v>
      </c>
      <c r="AA92" s="80">
        <v>124.4</v>
      </c>
      <c r="AB92" s="80">
        <v>124.9</v>
      </c>
      <c r="AC92" s="80">
        <v>124.6</v>
      </c>
      <c r="AD92" s="80">
        <v>125.2</v>
      </c>
      <c r="AE92" s="80">
        <v>124.7</v>
      </c>
      <c r="AF92" s="80">
        <v>125.6</v>
      </c>
      <c r="AG92" s="79"/>
      <c r="AH92" s="20">
        <f t="shared" si="9"/>
        <v>126</v>
      </c>
      <c r="AI92" s="19">
        <f t="shared" si="10"/>
        <v>119.9</v>
      </c>
    </row>
    <row r="93" spans="1:37" x14ac:dyDescent="0.25">
      <c r="A93" s="44" t="s">
        <v>146</v>
      </c>
      <c r="B93" s="80">
        <v>129.6</v>
      </c>
      <c r="C93" s="80">
        <v>129.6</v>
      </c>
      <c r="D93" s="80">
        <v>131</v>
      </c>
      <c r="E93" s="80">
        <v>130.6</v>
      </c>
      <c r="F93" s="80">
        <v>130.6</v>
      </c>
      <c r="G93" s="80">
        <v>130.6</v>
      </c>
      <c r="H93" s="80">
        <v>130.6</v>
      </c>
      <c r="I93" s="80">
        <v>130</v>
      </c>
      <c r="J93" s="80">
        <v>129.1</v>
      </c>
      <c r="K93" s="80">
        <v>129.1</v>
      </c>
      <c r="L93" s="80">
        <v>127.2</v>
      </c>
      <c r="M93" s="80">
        <v>126.1</v>
      </c>
      <c r="N93" s="80">
        <v>126.5</v>
      </c>
      <c r="O93" s="80">
        <v>125.8</v>
      </c>
      <c r="P93" s="80">
        <v>125.7</v>
      </c>
      <c r="Q93" s="80">
        <v>124.9</v>
      </c>
      <c r="R93" s="80">
        <v>126.4</v>
      </c>
      <c r="S93" s="80">
        <v>126.8</v>
      </c>
      <c r="T93" s="80">
        <v>125.3</v>
      </c>
      <c r="U93" s="80">
        <v>126.4</v>
      </c>
      <c r="V93" s="80">
        <v>128</v>
      </c>
      <c r="W93" s="80">
        <v>129</v>
      </c>
      <c r="X93" s="80">
        <v>128.5</v>
      </c>
      <c r="Y93" s="80">
        <v>127.5</v>
      </c>
      <c r="Z93" s="80">
        <v>127.5</v>
      </c>
      <c r="AA93" s="80">
        <v>128</v>
      </c>
      <c r="AB93" s="80">
        <v>129.19999999999999</v>
      </c>
      <c r="AC93" s="80">
        <v>128.80000000000001</v>
      </c>
      <c r="AD93" s="80">
        <v>129</v>
      </c>
      <c r="AE93" s="80">
        <v>129.4</v>
      </c>
      <c r="AF93" s="80">
        <v>130.19999999999999</v>
      </c>
      <c r="AG93" s="79"/>
      <c r="AH93" s="20">
        <f t="shared" si="9"/>
        <v>131</v>
      </c>
      <c r="AI93" s="19">
        <f t="shared" si="10"/>
        <v>124.9</v>
      </c>
    </row>
    <row r="94" spans="1:37" x14ac:dyDescent="0.25">
      <c r="A94" s="44" t="s">
        <v>145</v>
      </c>
      <c r="B94" s="80">
        <v>129</v>
      </c>
      <c r="C94" s="80">
        <v>129</v>
      </c>
      <c r="D94" s="80">
        <v>129</v>
      </c>
      <c r="E94" s="80">
        <v>130</v>
      </c>
      <c r="F94" s="80">
        <v>130</v>
      </c>
      <c r="G94" s="80">
        <v>130</v>
      </c>
      <c r="H94" s="80">
        <v>130</v>
      </c>
      <c r="I94" s="80">
        <v>130.1</v>
      </c>
      <c r="J94" s="80">
        <v>127.9</v>
      </c>
      <c r="K94" s="80">
        <v>127.9</v>
      </c>
      <c r="L94" s="80">
        <v>128.80000000000001</v>
      </c>
      <c r="M94" s="80">
        <v>126.7</v>
      </c>
      <c r="N94" s="80">
        <v>124.3</v>
      </c>
      <c r="O94" s="80">
        <v>125.5</v>
      </c>
      <c r="P94" s="80">
        <v>127.6</v>
      </c>
      <c r="Q94" s="80">
        <v>126.8</v>
      </c>
      <c r="R94" s="80">
        <v>126.6</v>
      </c>
      <c r="S94" s="80">
        <v>127</v>
      </c>
      <c r="T94" s="80">
        <v>127.5</v>
      </c>
      <c r="U94" s="80">
        <v>127.8</v>
      </c>
      <c r="V94" s="80">
        <v>130</v>
      </c>
      <c r="W94" s="80">
        <v>131.19999999999999</v>
      </c>
      <c r="X94" s="80">
        <v>127</v>
      </c>
      <c r="Y94" s="80">
        <v>129.4</v>
      </c>
      <c r="Z94" s="80">
        <v>128.19999999999999</v>
      </c>
      <c r="AA94" s="80">
        <v>128.19999999999999</v>
      </c>
      <c r="AB94" s="80">
        <v>128.1</v>
      </c>
      <c r="AC94" s="80">
        <v>128</v>
      </c>
      <c r="AD94" s="80">
        <v>129.30000000000001</v>
      </c>
      <c r="AE94" s="80">
        <v>127.1</v>
      </c>
      <c r="AF94" s="80">
        <v>128.4</v>
      </c>
      <c r="AG94" s="79"/>
      <c r="AH94" s="20">
        <f t="shared" si="9"/>
        <v>131.19999999999999</v>
      </c>
      <c r="AI94" s="19">
        <f t="shared" si="10"/>
        <v>124.3</v>
      </c>
    </row>
    <row r="95" spans="1:37" x14ac:dyDescent="0.25">
      <c r="A95" s="82" t="s">
        <v>144</v>
      </c>
      <c r="B95" s="80">
        <v>133</v>
      </c>
      <c r="C95" s="80">
        <v>133</v>
      </c>
      <c r="D95" s="80">
        <v>133</v>
      </c>
      <c r="E95" s="80">
        <v>132.9</v>
      </c>
      <c r="F95" s="80">
        <v>132.9</v>
      </c>
      <c r="G95" s="80">
        <v>132.9</v>
      </c>
      <c r="H95" s="80">
        <v>132.9</v>
      </c>
      <c r="I95" s="80">
        <v>132.69999999999999</v>
      </c>
      <c r="J95" s="80">
        <v>130.5</v>
      </c>
      <c r="K95" s="80">
        <v>130.5</v>
      </c>
      <c r="L95" s="80">
        <v>131.19999999999999</v>
      </c>
      <c r="M95" s="80">
        <v>130.6</v>
      </c>
      <c r="N95" s="80">
        <v>128.19999999999999</v>
      </c>
      <c r="O95" s="80">
        <v>128</v>
      </c>
      <c r="P95" s="80">
        <v>129.5</v>
      </c>
      <c r="Q95" s="80">
        <v>129</v>
      </c>
      <c r="R95" s="80">
        <v>128.80000000000001</v>
      </c>
      <c r="S95" s="80">
        <v>128</v>
      </c>
      <c r="T95" s="80">
        <v>128</v>
      </c>
      <c r="U95" s="80">
        <v>130</v>
      </c>
      <c r="V95" s="80">
        <v>132</v>
      </c>
      <c r="W95" s="80">
        <v>132.4</v>
      </c>
      <c r="X95" s="80">
        <v>129.30000000000001</v>
      </c>
      <c r="Y95" s="80">
        <v>130.30000000000001</v>
      </c>
      <c r="Z95" s="80">
        <v>130.30000000000001</v>
      </c>
      <c r="AA95" s="80">
        <v>130.30000000000001</v>
      </c>
      <c r="AB95" s="80">
        <v>130.4</v>
      </c>
      <c r="AC95" s="80">
        <v>130.30000000000001</v>
      </c>
      <c r="AD95" s="80">
        <v>131.9</v>
      </c>
      <c r="AE95" s="80">
        <v>130.6</v>
      </c>
      <c r="AF95" s="80">
        <v>132.1</v>
      </c>
      <c r="AG95" s="79"/>
      <c r="AH95" s="20">
        <f t="shared" si="9"/>
        <v>133</v>
      </c>
      <c r="AI95" s="19">
        <f t="shared" si="10"/>
        <v>128</v>
      </c>
    </row>
    <row r="96" spans="1:37" x14ac:dyDescent="0.25">
      <c r="A96" s="82" t="s">
        <v>143</v>
      </c>
      <c r="B96" s="66">
        <v>129.9</v>
      </c>
      <c r="C96" s="66">
        <v>129.9</v>
      </c>
      <c r="D96" s="66">
        <v>133</v>
      </c>
      <c r="E96" s="66">
        <v>131.1</v>
      </c>
      <c r="F96" s="66">
        <v>131.1</v>
      </c>
      <c r="G96" s="66">
        <v>131.1</v>
      </c>
      <c r="H96" s="66">
        <v>131.1</v>
      </c>
      <c r="I96" s="66">
        <v>132.19999999999999</v>
      </c>
      <c r="J96" s="66">
        <v>132.19999999999999</v>
      </c>
      <c r="K96" s="66">
        <v>132.19999999999999</v>
      </c>
      <c r="L96" s="66">
        <v>132.5</v>
      </c>
      <c r="M96" s="66">
        <v>130.5</v>
      </c>
      <c r="N96" s="66">
        <v>134</v>
      </c>
      <c r="O96" s="66">
        <v>132.5</v>
      </c>
      <c r="P96" s="66">
        <v>125.1</v>
      </c>
      <c r="Q96" s="66">
        <v>122.9</v>
      </c>
      <c r="R96" s="66">
        <v>130.30000000000001</v>
      </c>
      <c r="S96" s="66">
        <v>134</v>
      </c>
      <c r="T96" s="66">
        <v>134</v>
      </c>
      <c r="U96" s="66">
        <v>135</v>
      </c>
      <c r="V96" s="66">
        <v>133</v>
      </c>
      <c r="W96" s="66">
        <v>133.5</v>
      </c>
      <c r="X96" s="66">
        <v>133.6</v>
      </c>
      <c r="Y96" s="66">
        <v>134.30000000000001</v>
      </c>
      <c r="Z96" s="66">
        <v>131.9</v>
      </c>
      <c r="AA96" s="66">
        <v>131.9</v>
      </c>
      <c r="AB96" s="66">
        <v>132.80000000000001</v>
      </c>
      <c r="AC96" s="66">
        <v>131</v>
      </c>
      <c r="AD96" s="66">
        <v>131.4</v>
      </c>
      <c r="AE96" s="66">
        <v>132.19999999999999</v>
      </c>
      <c r="AF96" s="66">
        <v>133.6</v>
      </c>
      <c r="AG96" s="81"/>
      <c r="AH96" s="20">
        <f t="shared" si="9"/>
        <v>135</v>
      </c>
      <c r="AI96" s="19">
        <f t="shared" si="10"/>
        <v>122.9</v>
      </c>
    </row>
    <row r="97" spans="1:37" x14ac:dyDescent="0.25">
      <c r="A97" s="44" t="s">
        <v>142</v>
      </c>
      <c r="B97" s="80">
        <v>126</v>
      </c>
      <c r="C97" s="80">
        <v>126</v>
      </c>
      <c r="D97" s="80">
        <v>135</v>
      </c>
      <c r="E97" s="80">
        <v>132.19999999999999</v>
      </c>
      <c r="F97" s="80">
        <v>132.19999999999999</v>
      </c>
      <c r="G97" s="80">
        <v>132.19999999999999</v>
      </c>
      <c r="H97" s="80">
        <v>132.19999999999999</v>
      </c>
      <c r="I97" s="80">
        <v>135.5</v>
      </c>
      <c r="J97" s="80">
        <v>134.9</v>
      </c>
      <c r="K97" s="80">
        <v>134.9</v>
      </c>
      <c r="L97" s="80">
        <v>134.9</v>
      </c>
      <c r="M97" s="80">
        <v>128.19999999999999</v>
      </c>
      <c r="N97" s="80">
        <v>131.5</v>
      </c>
      <c r="O97" s="80">
        <v>133.19999999999999</v>
      </c>
      <c r="P97" s="80">
        <v>130.30000000000001</v>
      </c>
      <c r="Q97" s="80">
        <v>127.4</v>
      </c>
      <c r="R97" s="80">
        <v>121.6</v>
      </c>
      <c r="S97" s="80">
        <v>129.4</v>
      </c>
      <c r="T97" s="80">
        <v>128.1</v>
      </c>
      <c r="U97" s="80">
        <v>134</v>
      </c>
      <c r="V97" s="80">
        <v>129</v>
      </c>
      <c r="W97" s="80">
        <v>131</v>
      </c>
      <c r="X97" s="80">
        <v>128.80000000000001</v>
      </c>
      <c r="Y97" s="80">
        <v>132.30000000000001</v>
      </c>
      <c r="Z97" s="80">
        <v>130</v>
      </c>
      <c r="AA97" s="80">
        <v>127.9</v>
      </c>
      <c r="AB97" s="80">
        <v>135.30000000000001</v>
      </c>
      <c r="AC97" s="80">
        <v>135.6</v>
      </c>
      <c r="AD97" s="80">
        <v>131.5</v>
      </c>
      <c r="AE97" s="80">
        <v>127.2</v>
      </c>
      <c r="AF97" s="80">
        <v>133.69999999999999</v>
      </c>
      <c r="AG97" s="79"/>
      <c r="AH97" s="20">
        <f t="shared" si="9"/>
        <v>135.6</v>
      </c>
      <c r="AI97" s="19">
        <f t="shared" si="10"/>
        <v>121.6</v>
      </c>
    </row>
    <row r="98" spans="1:37" ht="15.75" thickBot="1" x14ac:dyDescent="0.3">
      <c r="A98" s="44" t="s">
        <v>141</v>
      </c>
      <c r="B98" s="77">
        <v>65.400000000000006</v>
      </c>
      <c r="C98" s="77">
        <v>65.400000000000006</v>
      </c>
      <c r="D98" s="77">
        <v>66</v>
      </c>
      <c r="E98" s="77">
        <v>66</v>
      </c>
      <c r="F98" s="77">
        <v>66</v>
      </c>
      <c r="G98" s="77">
        <v>66.2</v>
      </c>
      <c r="H98" s="77">
        <v>65</v>
      </c>
      <c r="I98" s="77">
        <v>64.599999999999994</v>
      </c>
      <c r="J98" s="77">
        <v>65.400000000000006</v>
      </c>
      <c r="K98" s="77">
        <v>65.400000000000006</v>
      </c>
      <c r="L98" s="77">
        <v>64.3</v>
      </c>
      <c r="M98" s="77">
        <v>63.7</v>
      </c>
      <c r="N98" s="77">
        <v>63.9</v>
      </c>
      <c r="O98" s="77">
        <v>63.2</v>
      </c>
      <c r="P98" s="77">
        <v>63.2</v>
      </c>
      <c r="Q98" s="77">
        <v>63.3</v>
      </c>
      <c r="R98" s="77">
        <v>63.8</v>
      </c>
      <c r="S98" s="77">
        <v>63.8</v>
      </c>
      <c r="T98" s="77">
        <v>63.3</v>
      </c>
      <c r="U98" s="77">
        <v>63.9</v>
      </c>
      <c r="V98" s="77">
        <v>65</v>
      </c>
      <c r="W98" s="77">
        <v>65.2</v>
      </c>
      <c r="X98" s="77">
        <v>65.099999999999994</v>
      </c>
      <c r="Y98" s="77">
        <v>64</v>
      </c>
      <c r="Z98" s="77">
        <v>64.3</v>
      </c>
      <c r="AA98" s="77">
        <v>64.900000000000006</v>
      </c>
      <c r="AB98" s="77">
        <v>65.400000000000006</v>
      </c>
      <c r="AC98" s="77">
        <v>65.2</v>
      </c>
      <c r="AD98" s="77">
        <v>65.2</v>
      </c>
      <c r="AE98" s="77">
        <v>65.3</v>
      </c>
      <c r="AF98" s="77">
        <v>65.7</v>
      </c>
      <c r="AG98" s="76"/>
      <c r="AH98" s="20">
        <f t="shared" si="9"/>
        <v>66.2</v>
      </c>
      <c r="AI98" s="19">
        <f t="shared" si="10"/>
        <v>63.2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9"/>
        <v>0</v>
      </c>
      <c r="AI99" s="19">
        <f t="shared" si="10"/>
        <v>0</v>
      </c>
    </row>
    <row r="100" spans="1:37" ht="15.75" thickBot="1" x14ac:dyDescent="0.3">
      <c r="A100" s="75" t="s">
        <v>140</v>
      </c>
      <c r="B100" s="74">
        <f t="shared" ref="B100:AF100" si="21">SUM(B15,B20,B22:B23,B48,B50:B51,B53,B55,B101:B105,B127,B133,B139,B148,B150,B162,B169,B172:B173,B180,B182,B184,B188:B190,B192:B194,B199,B205:B206,B208:B210,B218,B223)</f>
        <v>54.199999999999982</v>
      </c>
      <c r="C100" s="74">
        <f t="shared" si="21"/>
        <v>53.239999999999981</v>
      </c>
      <c r="D100" s="74">
        <f t="shared" si="21"/>
        <v>46.139999999999986</v>
      </c>
      <c r="E100" s="74">
        <f t="shared" si="21"/>
        <v>41.240000000000009</v>
      </c>
      <c r="F100" s="74">
        <f t="shared" si="21"/>
        <v>31.840000000000007</v>
      </c>
      <c r="G100" s="74">
        <f t="shared" si="21"/>
        <v>46.14</v>
      </c>
      <c r="H100" s="74">
        <f t="shared" si="21"/>
        <v>76.240000000000009</v>
      </c>
      <c r="I100" s="74">
        <f t="shared" si="21"/>
        <v>107.33999999999996</v>
      </c>
      <c r="J100" s="74">
        <f t="shared" si="21"/>
        <v>-196.86000000000004</v>
      </c>
      <c r="K100" s="74">
        <f>SUM(K15,K20,K22:K23,K48,K50:K51,K53,K55,K101:K105,K127,K133,K139,K148,K150,K162,K169,K172:K173,K180,K182,K184,K188:K190,K192:K194,K199,K205:K206,K208:K210,K218,K223)</f>
        <v>-196.86000000000004</v>
      </c>
      <c r="L100" s="74">
        <f>SUM(L15,L20,L22:L23,L48,L50:L51,L53,L55,L101:L105,L127,L133,L139,L148,L150,L162,L169,L172:L173,L180,L182,L184,L188:L190,L192:L194,L199,L205:L206,L208:L210,L218,L223)</f>
        <v>169.03999999999996</v>
      </c>
      <c r="M100" s="74">
        <f t="shared" si="21"/>
        <v>183.13999999999996</v>
      </c>
      <c r="N100" s="74">
        <f t="shared" si="21"/>
        <v>203.84</v>
      </c>
      <c r="O100" s="74">
        <f t="shared" si="21"/>
        <v>203.74</v>
      </c>
      <c r="P100" s="74">
        <f t="shared" si="21"/>
        <v>214.64</v>
      </c>
      <c r="Q100" s="74">
        <f t="shared" si="21"/>
        <v>189.7</v>
      </c>
      <c r="R100" s="74">
        <f t="shared" si="21"/>
        <v>185.69999999999996</v>
      </c>
      <c r="S100" s="74">
        <f t="shared" si="21"/>
        <v>187.29999999999995</v>
      </c>
      <c r="T100" s="74">
        <f t="shared" si="21"/>
        <v>179.7</v>
      </c>
      <c r="U100" s="74">
        <f t="shared" si="21"/>
        <v>176.7</v>
      </c>
      <c r="V100" s="74">
        <f t="shared" si="21"/>
        <v>156.5</v>
      </c>
      <c r="W100" s="74">
        <f t="shared" si="21"/>
        <v>159.6</v>
      </c>
      <c r="X100" s="74">
        <f t="shared" si="21"/>
        <v>139.59999999999997</v>
      </c>
      <c r="Y100" s="74">
        <f t="shared" si="21"/>
        <v>195.20000000000002</v>
      </c>
      <c r="Z100" s="74">
        <f t="shared" si="21"/>
        <v>238.2</v>
      </c>
      <c r="AA100" s="74">
        <f t="shared" si="21"/>
        <v>192.5</v>
      </c>
      <c r="AB100" s="74">
        <f t="shared" si="21"/>
        <v>187.49999999999994</v>
      </c>
      <c r="AC100" s="74">
        <f t="shared" si="21"/>
        <v>183.79999999999995</v>
      </c>
      <c r="AD100" s="74">
        <f t="shared" si="21"/>
        <v>144.09999999999997</v>
      </c>
      <c r="AE100" s="74">
        <f t="shared" si="21"/>
        <v>83.399999999999949</v>
      </c>
      <c r="AF100" s="74">
        <f t="shared" si="21"/>
        <v>58.69999999999996</v>
      </c>
      <c r="AG100" s="73"/>
      <c r="AH100" s="20">
        <f t="shared" si="9"/>
        <v>238.2</v>
      </c>
      <c r="AI100" s="19">
        <f t="shared" si="10"/>
        <v>-196.86000000000004</v>
      </c>
    </row>
    <row r="101" spans="1:37" x14ac:dyDescent="0.25">
      <c r="A101" s="47" t="s">
        <v>139</v>
      </c>
      <c r="B101" s="72">
        <v>11.7</v>
      </c>
      <c r="C101" s="72">
        <v>8.6999999999999993</v>
      </c>
      <c r="D101" s="72">
        <v>7.4</v>
      </c>
      <c r="E101" s="72">
        <v>9.8000000000000007</v>
      </c>
      <c r="F101" s="72">
        <v>9.8000000000000007</v>
      </c>
      <c r="G101" s="72">
        <v>9.8000000000000007</v>
      </c>
      <c r="H101" s="72">
        <v>9.8000000000000007</v>
      </c>
      <c r="I101" s="72">
        <v>10.199999999999999</v>
      </c>
      <c r="J101" s="72">
        <v>11.5</v>
      </c>
      <c r="K101" s="72">
        <v>11.5</v>
      </c>
      <c r="L101" s="72">
        <v>22.1</v>
      </c>
      <c r="M101" s="72">
        <v>31.2</v>
      </c>
      <c r="N101" s="72">
        <v>32.1</v>
      </c>
      <c r="O101" s="72">
        <v>38.700000000000003</v>
      </c>
      <c r="P101" s="72">
        <v>38.700000000000003</v>
      </c>
      <c r="Q101" s="72">
        <v>31.4</v>
      </c>
      <c r="R101" s="72">
        <v>41.3</v>
      </c>
      <c r="S101" s="72">
        <v>38</v>
      </c>
      <c r="T101" s="72">
        <v>34.5</v>
      </c>
      <c r="U101" s="72">
        <v>32.700000000000003</v>
      </c>
      <c r="V101" s="72">
        <v>37</v>
      </c>
      <c r="W101" s="72">
        <v>34</v>
      </c>
      <c r="X101" s="72">
        <v>25.4</v>
      </c>
      <c r="Y101" s="72">
        <v>35.200000000000003</v>
      </c>
      <c r="Z101" s="72">
        <v>31.3</v>
      </c>
      <c r="AA101" s="72">
        <v>35.799999999999997</v>
      </c>
      <c r="AB101" s="72">
        <v>40.4</v>
      </c>
      <c r="AC101" s="72">
        <v>41.6</v>
      </c>
      <c r="AD101" s="72">
        <v>28.6</v>
      </c>
      <c r="AE101" s="72">
        <v>18.7</v>
      </c>
      <c r="AF101" s="72">
        <v>11.7</v>
      </c>
      <c r="AG101" s="70">
        <v>75</v>
      </c>
      <c r="AH101" s="20">
        <f t="shared" si="9"/>
        <v>41.6</v>
      </c>
      <c r="AI101" s="19">
        <f t="shared" si="10"/>
        <v>7.4</v>
      </c>
    </row>
    <row r="102" spans="1:37" x14ac:dyDescent="0.25">
      <c r="A102" s="44" t="s">
        <v>138</v>
      </c>
      <c r="B102" s="71">
        <v>31</v>
      </c>
      <c r="C102" s="71">
        <v>27</v>
      </c>
      <c r="D102" s="71">
        <v>23</v>
      </c>
      <c r="E102" s="71">
        <v>25.7</v>
      </c>
      <c r="F102" s="71">
        <v>25.7</v>
      </c>
      <c r="G102" s="71">
        <v>25.7</v>
      </c>
      <c r="H102" s="71">
        <v>25.7</v>
      </c>
      <c r="I102" s="71">
        <v>25.7</v>
      </c>
      <c r="J102" s="71">
        <v>25.1</v>
      </c>
      <c r="K102" s="71">
        <v>25.1</v>
      </c>
      <c r="L102" s="71">
        <v>38.4</v>
      </c>
      <c r="M102" s="71">
        <v>49.9</v>
      </c>
      <c r="N102" s="71">
        <v>51.5</v>
      </c>
      <c r="O102" s="71">
        <v>60.6</v>
      </c>
      <c r="P102" s="71">
        <v>60.6</v>
      </c>
      <c r="Q102" s="71">
        <v>52.6</v>
      </c>
      <c r="R102" s="71">
        <v>67.400000000000006</v>
      </c>
      <c r="S102" s="71">
        <v>62</v>
      </c>
      <c r="T102" s="71">
        <v>56.2</v>
      </c>
      <c r="U102" s="71">
        <v>53.4</v>
      </c>
      <c r="V102" s="71">
        <v>58</v>
      </c>
      <c r="W102" s="71">
        <v>54</v>
      </c>
      <c r="X102" s="71">
        <v>42.2</v>
      </c>
      <c r="Y102" s="71">
        <v>54.8</v>
      </c>
      <c r="Z102" s="71">
        <v>49.9</v>
      </c>
      <c r="AA102" s="71">
        <v>57.5</v>
      </c>
      <c r="AB102" s="71">
        <v>62.9</v>
      </c>
      <c r="AC102" s="71">
        <v>65.7</v>
      </c>
      <c r="AD102" s="71">
        <v>48.7</v>
      </c>
      <c r="AE102" s="71">
        <v>35.6</v>
      </c>
      <c r="AF102" s="71">
        <v>25.5</v>
      </c>
      <c r="AG102" s="70">
        <v>240</v>
      </c>
      <c r="AH102" s="20">
        <f t="shared" si="9"/>
        <v>67.400000000000006</v>
      </c>
      <c r="AI102" s="19">
        <f t="shared" si="10"/>
        <v>23</v>
      </c>
    </row>
    <row r="103" spans="1:37" x14ac:dyDescent="0.25">
      <c r="A103" s="44" t="s">
        <v>137</v>
      </c>
      <c r="B103" s="71">
        <v>-149</v>
      </c>
      <c r="C103" s="71">
        <v>-145</v>
      </c>
      <c r="D103" s="71">
        <v>-139</v>
      </c>
      <c r="E103" s="71">
        <f>-64.1-69.5</f>
        <v>-133.6</v>
      </c>
      <c r="F103" s="71">
        <v>-142</v>
      </c>
      <c r="G103" s="71">
        <v>-126</v>
      </c>
      <c r="H103" s="71">
        <f>-48-52</f>
        <v>-100</v>
      </c>
      <c r="I103" s="71">
        <f>-44.9-48.4</f>
        <v>-93.3</v>
      </c>
      <c r="J103" s="71">
        <f>-365-38.5</f>
        <v>-403.5</v>
      </c>
      <c r="K103" s="71">
        <f>-365-38.5</f>
        <v>-403.5</v>
      </c>
      <c r="L103" s="71">
        <f>-29.6-31.9</f>
        <v>-61.5</v>
      </c>
      <c r="M103" s="71">
        <v>-75</v>
      </c>
      <c r="N103" s="71">
        <v>-70</v>
      </c>
      <c r="O103" s="71">
        <v>-90</v>
      </c>
      <c r="P103" s="71">
        <v>-90</v>
      </c>
      <c r="Q103" s="71">
        <v>-92</v>
      </c>
      <c r="R103" s="71">
        <v>-124</v>
      </c>
      <c r="S103" s="71">
        <v>-112</v>
      </c>
      <c r="T103" s="71">
        <f>-53-57.9</f>
        <v>-110.9</v>
      </c>
      <c r="U103" s="71">
        <v>-109</v>
      </c>
      <c r="V103" s="71">
        <v>-122</v>
      </c>
      <c r="W103" s="71">
        <f>-55.3-54.1</f>
        <v>-109.4</v>
      </c>
      <c r="X103" s="71">
        <f>-48-51.8</f>
        <v>-99.8</v>
      </c>
      <c r="Y103" s="71">
        <f>-39-40.8</f>
        <v>-79.8</v>
      </c>
      <c r="Z103" s="71">
        <f>-42.9-46</f>
        <v>-88.9</v>
      </c>
      <c r="AA103" s="71">
        <f>-59.4-57.3</f>
        <v>-116.69999999999999</v>
      </c>
      <c r="AB103" s="71">
        <f>-49.8-52.7</f>
        <v>-102.5</v>
      </c>
      <c r="AC103" s="71">
        <f>-57-60</f>
        <v>-117</v>
      </c>
      <c r="AD103" s="71">
        <f>-56-59</f>
        <v>-115</v>
      </c>
      <c r="AE103" s="71">
        <f>-65-70</f>
        <v>-135</v>
      </c>
      <c r="AF103" s="71">
        <f>-69-72</f>
        <v>-141</v>
      </c>
      <c r="AG103" s="70">
        <v>240</v>
      </c>
      <c r="AH103" s="20">
        <f t="shared" si="9"/>
        <v>-61.5</v>
      </c>
      <c r="AI103" s="19">
        <f t="shared" si="10"/>
        <v>-403.5</v>
      </c>
    </row>
    <row r="104" spans="1:37" x14ac:dyDescent="0.25">
      <c r="A104" s="44" t="s">
        <v>136</v>
      </c>
      <c r="B104" s="71">
        <v>-5.6</v>
      </c>
      <c r="C104" s="71">
        <v>-4.5</v>
      </c>
      <c r="D104" s="71">
        <v>-6.5</v>
      </c>
      <c r="E104" s="71">
        <v>-5.5</v>
      </c>
      <c r="F104" s="71">
        <v>-6.5</v>
      </c>
      <c r="G104" s="71">
        <v>-8.1999999999999993</v>
      </c>
      <c r="H104" s="71">
        <v>-4.0999999999999996</v>
      </c>
      <c r="I104" s="71">
        <v>2.9</v>
      </c>
      <c r="J104" s="71">
        <v>8.1999999999999993</v>
      </c>
      <c r="K104" s="71">
        <v>8.1999999999999993</v>
      </c>
      <c r="L104" s="71">
        <v>8.1999999999999993</v>
      </c>
      <c r="M104" s="71">
        <v>9.1999999999999993</v>
      </c>
      <c r="N104" s="71">
        <v>10.4</v>
      </c>
      <c r="O104" s="71">
        <v>7.5</v>
      </c>
      <c r="P104" s="71">
        <v>7.5</v>
      </c>
      <c r="Q104" s="71">
        <v>8.3000000000000007</v>
      </c>
      <c r="R104" s="71">
        <v>5.9</v>
      </c>
      <c r="S104" s="71">
        <v>5</v>
      </c>
      <c r="T104" s="71">
        <v>5.6</v>
      </c>
      <c r="U104" s="71">
        <v>5.3</v>
      </c>
      <c r="V104" s="71">
        <v>5</v>
      </c>
      <c r="W104" s="71">
        <v>7.5</v>
      </c>
      <c r="X104" s="71">
        <v>8.3000000000000007</v>
      </c>
      <c r="Y104" s="71">
        <v>11.4</v>
      </c>
      <c r="Z104" s="71">
        <v>9.1999999999999993</v>
      </c>
      <c r="AA104" s="71">
        <v>7.6</v>
      </c>
      <c r="AB104" s="71">
        <v>8.1999999999999993</v>
      </c>
      <c r="AC104" s="71">
        <v>5</v>
      </c>
      <c r="AD104" s="71">
        <v>3.3</v>
      </c>
      <c r="AE104" s="71">
        <v>0.6</v>
      </c>
      <c r="AF104" s="71">
        <v>-1</v>
      </c>
      <c r="AG104" s="70">
        <v>60</v>
      </c>
      <c r="AH104" s="20">
        <f t="shared" si="9"/>
        <v>11.4</v>
      </c>
      <c r="AI104" s="19">
        <f t="shared" si="10"/>
        <v>-8.1999999999999993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63.1</v>
      </c>
      <c r="AA105" s="68">
        <v>34.700000000000003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9">
        <v>120</v>
      </c>
      <c r="AH105" s="20">
        <f t="shared" si="9"/>
        <v>63.1</v>
      </c>
      <c r="AI105" s="19">
        <f t="shared" si="10"/>
        <v>0</v>
      </c>
    </row>
    <row r="106" spans="1:37" x14ac:dyDescent="0.25">
      <c r="A106" s="40" t="s">
        <v>134</v>
      </c>
      <c r="B106" s="68">
        <v>24</v>
      </c>
      <c r="C106" s="68">
        <v>20.6</v>
      </c>
      <c r="D106" s="68">
        <v>26</v>
      </c>
      <c r="E106" s="68">
        <v>28.3</v>
      </c>
      <c r="F106" s="68">
        <v>28.3</v>
      </c>
      <c r="G106" s="68">
        <v>28.3</v>
      </c>
      <c r="H106" s="68">
        <v>28.3</v>
      </c>
      <c r="I106" s="68">
        <v>41.1</v>
      </c>
      <c r="J106" s="68">
        <v>53.6</v>
      </c>
      <c r="K106" s="68">
        <v>53.6</v>
      </c>
      <c r="L106" s="68">
        <v>53.6</v>
      </c>
      <c r="M106" s="68">
        <v>59.2</v>
      </c>
      <c r="N106" s="68">
        <v>67.3</v>
      </c>
      <c r="O106" s="68">
        <v>62.8</v>
      </c>
      <c r="P106" s="68">
        <v>62.8</v>
      </c>
      <c r="Q106" s="68">
        <v>72.8</v>
      </c>
      <c r="R106" s="68">
        <v>22.1</v>
      </c>
      <c r="S106" s="68">
        <v>47</v>
      </c>
      <c r="T106" s="68">
        <v>51.3</v>
      </c>
      <c r="U106" s="68">
        <v>47.6</v>
      </c>
      <c r="V106" s="68">
        <v>29</v>
      </c>
      <c r="W106" s="68">
        <v>34.6</v>
      </c>
      <c r="X106" s="68">
        <v>34.6</v>
      </c>
      <c r="Y106" s="68">
        <v>61</v>
      </c>
      <c r="Z106" s="68">
        <v>56.5</v>
      </c>
      <c r="AA106" s="68">
        <v>37</v>
      </c>
      <c r="AB106" s="68">
        <v>34.1</v>
      </c>
      <c r="AC106" s="68">
        <v>23.6</v>
      </c>
      <c r="AD106" s="68">
        <v>34.799999999999997</v>
      </c>
      <c r="AE106" s="68">
        <v>28.2</v>
      </c>
      <c r="AF106" s="68">
        <v>34.9</v>
      </c>
      <c r="AG106" s="69"/>
      <c r="AH106" s="20">
        <f t="shared" si="9"/>
        <v>72.8</v>
      </c>
      <c r="AI106" s="19">
        <f t="shared" si="10"/>
        <v>20.6</v>
      </c>
    </row>
    <row r="107" spans="1:37" x14ac:dyDescent="0.25">
      <c r="A107" s="40" t="s">
        <v>133</v>
      </c>
      <c r="B107" s="68">
        <v>51.4</v>
      </c>
      <c r="C107" s="68">
        <v>60.5</v>
      </c>
      <c r="D107" s="68">
        <v>51.3</v>
      </c>
      <c r="E107" s="68">
        <v>30</v>
      </c>
      <c r="F107" s="68">
        <v>32</v>
      </c>
      <c r="G107" s="68">
        <v>37</v>
      </c>
      <c r="H107" s="68">
        <v>39.700000000000003</v>
      </c>
      <c r="I107" s="68">
        <v>38</v>
      </c>
      <c r="J107" s="68">
        <v>36.700000000000003</v>
      </c>
      <c r="K107" s="68">
        <v>36.700000000000003</v>
      </c>
      <c r="L107" s="68">
        <v>36.700000000000003</v>
      </c>
      <c r="M107" s="68">
        <v>10.199999999999999</v>
      </c>
      <c r="N107" s="68">
        <v>29</v>
      </c>
      <c r="O107" s="68">
        <v>8.3000000000000007</v>
      </c>
      <c r="P107" s="68">
        <v>8.3000000000000007</v>
      </c>
      <c r="Q107" s="68">
        <v>42.2</v>
      </c>
      <c r="R107" s="68">
        <v>-3.4</v>
      </c>
      <c r="S107" s="68">
        <v>13</v>
      </c>
      <c r="T107" s="68">
        <v>27.8</v>
      </c>
      <c r="U107" s="68">
        <v>22.3</v>
      </c>
      <c r="V107" s="68">
        <v>15</v>
      </c>
      <c r="W107" s="68">
        <v>31.3</v>
      </c>
      <c r="X107" s="68">
        <v>31.3</v>
      </c>
      <c r="Y107" s="68">
        <v>28.5</v>
      </c>
      <c r="Z107" s="68">
        <v>37</v>
      </c>
      <c r="AA107" s="68">
        <v>17.399999999999999</v>
      </c>
      <c r="AB107" s="68">
        <v>4.0999999999999996</v>
      </c>
      <c r="AC107" s="68">
        <v>5.0999999999999996</v>
      </c>
      <c r="AD107" s="68">
        <v>36.4</v>
      </c>
      <c r="AE107" s="68">
        <v>54.6</v>
      </c>
      <c r="AF107" s="68">
        <v>8.1</v>
      </c>
      <c r="AG107" s="48"/>
      <c r="AH107" s="20">
        <f t="shared" si="9"/>
        <v>60.5</v>
      </c>
      <c r="AI107" s="19">
        <f t="shared" si="10"/>
        <v>-3.4</v>
      </c>
    </row>
    <row r="108" spans="1:37" x14ac:dyDescent="0.25">
      <c r="A108" s="67" t="s">
        <v>132</v>
      </c>
      <c r="B108" s="66">
        <v>114</v>
      </c>
      <c r="C108" s="66">
        <v>117</v>
      </c>
      <c r="D108" s="66">
        <v>117</v>
      </c>
      <c r="E108" s="66">
        <v>114</v>
      </c>
      <c r="F108" s="66">
        <v>119</v>
      </c>
      <c r="G108" s="66">
        <v>118.5</v>
      </c>
      <c r="H108" s="66">
        <v>119</v>
      </c>
      <c r="I108" s="66">
        <v>113</v>
      </c>
      <c r="J108" s="66">
        <v>117.9</v>
      </c>
      <c r="K108" s="66">
        <v>117.9</v>
      </c>
      <c r="L108" s="66">
        <v>107</v>
      </c>
      <c r="M108" s="66">
        <v>92.8</v>
      </c>
      <c r="N108" s="66">
        <v>112.4</v>
      </c>
      <c r="O108" s="66">
        <v>105.4</v>
      </c>
      <c r="P108" s="66">
        <v>105.4</v>
      </c>
      <c r="Q108" s="66">
        <v>105.7</v>
      </c>
      <c r="R108" s="66">
        <v>104.8</v>
      </c>
      <c r="S108" s="66">
        <v>82</v>
      </c>
      <c r="T108" s="66">
        <v>95.1</v>
      </c>
      <c r="U108" s="66">
        <v>113</v>
      </c>
      <c r="V108" s="66">
        <v>75</v>
      </c>
      <c r="W108" s="66">
        <v>79.2</v>
      </c>
      <c r="X108" s="66">
        <v>96.2</v>
      </c>
      <c r="Y108" s="66">
        <v>92.3</v>
      </c>
      <c r="Z108" s="66">
        <v>97.7</v>
      </c>
      <c r="AA108" s="66">
        <v>97.8</v>
      </c>
      <c r="AB108" s="66">
        <v>100.8</v>
      </c>
      <c r="AC108" s="66">
        <v>100.2</v>
      </c>
      <c r="AD108" s="66">
        <v>103.9</v>
      </c>
      <c r="AE108" s="66">
        <v>109.9</v>
      </c>
      <c r="AF108" s="66">
        <v>113.7</v>
      </c>
      <c r="AG108" s="48"/>
      <c r="AH108" s="20">
        <f t="shared" si="9"/>
        <v>119</v>
      </c>
      <c r="AI108" s="19">
        <f t="shared" si="10"/>
        <v>75</v>
      </c>
    </row>
    <row r="109" spans="1:37" ht="15.75" thickBot="1" x14ac:dyDescent="0.3">
      <c r="A109" s="67" t="s">
        <v>131</v>
      </c>
      <c r="B109" s="66">
        <v>89</v>
      </c>
      <c r="C109" s="66">
        <v>88</v>
      </c>
      <c r="D109" s="66">
        <v>83</v>
      </c>
      <c r="E109" s="66">
        <v>90</v>
      </c>
      <c r="F109" s="66">
        <v>78</v>
      </c>
      <c r="G109" s="66">
        <v>70</v>
      </c>
      <c r="H109" s="66">
        <v>63</v>
      </c>
      <c r="I109" s="66">
        <v>53.3</v>
      </c>
      <c r="J109" s="66">
        <v>43.5</v>
      </c>
      <c r="K109" s="66">
        <v>43.5</v>
      </c>
      <c r="L109" s="66">
        <v>35.1</v>
      </c>
      <c r="M109" s="66">
        <v>52.4</v>
      </c>
      <c r="N109" s="66">
        <v>44.9</v>
      </c>
      <c r="O109" s="66">
        <v>59.6</v>
      </c>
      <c r="P109" s="66">
        <v>59.6</v>
      </c>
      <c r="Q109" s="66">
        <v>57.1</v>
      </c>
      <c r="R109" s="66">
        <v>82.6</v>
      </c>
      <c r="S109" s="66">
        <v>76.599999999999994</v>
      </c>
      <c r="T109" s="66">
        <v>63.7</v>
      </c>
      <c r="U109" s="66">
        <v>66</v>
      </c>
      <c r="V109" s="66">
        <v>85</v>
      </c>
      <c r="W109" s="66">
        <v>68.900000000000006</v>
      </c>
      <c r="X109" s="66">
        <v>57.3</v>
      </c>
      <c r="Y109" s="66">
        <v>50.3</v>
      </c>
      <c r="Z109" s="66">
        <v>53</v>
      </c>
      <c r="AA109" s="66">
        <v>80</v>
      </c>
      <c r="AB109" s="66">
        <v>70.3</v>
      </c>
      <c r="AC109" s="66">
        <v>79</v>
      </c>
      <c r="AD109" s="66">
        <v>71.3</v>
      </c>
      <c r="AE109" s="66">
        <v>89</v>
      </c>
      <c r="AF109" s="66">
        <v>87</v>
      </c>
      <c r="AG109" s="48"/>
      <c r="AH109" s="20">
        <f t="shared" si="9"/>
        <v>90</v>
      </c>
      <c r="AI109" s="19">
        <f t="shared" si="10"/>
        <v>35.1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2">SUM(B111:B215)</f>
        <v>0</v>
      </c>
      <c r="C216" s="36">
        <f t="shared" si="22"/>
        <v>0</v>
      </c>
      <c r="D216" s="36">
        <f t="shared" si="22"/>
        <v>0</v>
      </c>
      <c r="E216" s="36">
        <f t="shared" si="22"/>
        <v>0</v>
      </c>
      <c r="F216" s="36">
        <f t="shared" si="22"/>
        <v>0</v>
      </c>
      <c r="G216" s="36">
        <f t="shared" si="22"/>
        <v>0</v>
      </c>
      <c r="H216" s="36">
        <f t="shared" si="22"/>
        <v>0</v>
      </c>
      <c r="I216" s="36">
        <f t="shared" si="22"/>
        <v>0</v>
      </c>
      <c r="J216" s="36">
        <f t="shared" si="22"/>
        <v>0</v>
      </c>
      <c r="K216" s="36">
        <f t="shared" si="22"/>
        <v>0</v>
      </c>
      <c r="L216" s="36">
        <f t="shared" si="22"/>
        <v>0</v>
      </c>
      <c r="M216" s="36">
        <f t="shared" si="22"/>
        <v>0</v>
      </c>
      <c r="N216" s="36">
        <f t="shared" si="22"/>
        <v>0</v>
      </c>
      <c r="O216" s="36">
        <f t="shared" si="22"/>
        <v>0</v>
      </c>
      <c r="P216" s="36">
        <f t="shared" si="22"/>
        <v>0</v>
      </c>
      <c r="Q216" s="36">
        <f t="shared" si="22"/>
        <v>0</v>
      </c>
      <c r="R216" s="36">
        <f t="shared" si="22"/>
        <v>0</v>
      </c>
      <c r="S216" s="36">
        <f t="shared" si="22"/>
        <v>0</v>
      </c>
      <c r="T216" s="36">
        <f t="shared" si="22"/>
        <v>0</v>
      </c>
      <c r="U216" s="36">
        <f t="shared" si="22"/>
        <v>0</v>
      </c>
      <c r="V216" s="36">
        <f t="shared" si="22"/>
        <v>0</v>
      </c>
      <c r="W216" s="36">
        <f t="shared" si="22"/>
        <v>0</v>
      </c>
      <c r="X216" s="36">
        <f t="shared" si="22"/>
        <v>0</v>
      </c>
      <c r="Y216" s="36">
        <f t="shared" si="22"/>
        <v>0</v>
      </c>
      <c r="Z216" s="36">
        <f t="shared" si="22"/>
        <v>0</v>
      </c>
      <c r="AA216" s="36">
        <f t="shared" si="22"/>
        <v>0</v>
      </c>
      <c r="AB216" s="36">
        <f t="shared" si="22"/>
        <v>0</v>
      </c>
      <c r="AC216" s="36">
        <f t="shared" si="22"/>
        <v>0</v>
      </c>
      <c r="AD216" s="36">
        <f t="shared" si="22"/>
        <v>0</v>
      </c>
      <c r="AE216" s="36">
        <f t="shared" si="22"/>
        <v>0</v>
      </c>
      <c r="AF216" s="51">
        <f t="shared" si="22"/>
        <v>0</v>
      </c>
      <c r="AG216" s="50">
        <f t="shared" si="22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3">AF218</f>
        <v>0</v>
      </c>
      <c r="C218" s="46">
        <v>0.3</v>
      </c>
      <c r="D218" s="46">
        <f t="shared" ref="D218:P223" si="24">C218</f>
        <v>0.3</v>
      </c>
      <c r="E218" s="46">
        <f t="shared" si="24"/>
        <v>0.3</v>
      </c>
      <c r="F218" s="46">
        <f t="shared" si="24"/>
        <v>0.3</v>
      </c>
      <c r="G218" s="46">
        <f t="shared" si="24"/>
        <v>0.3</v>
      </c>
      <c r="H218" s="46">
        <f t="shared" si="24"/>
        <v>0.3</v>
      </c>
      <c r="I218" s="46">
        <f t="shared" si="24"/>
        <v>0.3</v>
      </c>
      <c r="J218" s="46">
        <f t="shared" si="24"/>
        <v>0.3</v>
      </c>
      <c r="K218" s="46">
        <f t="shared" si="24"/>
        <v>0.3</v>
      </c>
      <c r="L218" s="46">
        <f t="shared" si="24"/>
        <v>0.3</v>
      </c>
      <c r="M218" s="46">
        <f t="shared" si="24"/>
        <v>0.3</v>
      </c>
      <c r="N218" s="46">
        <f t="shared" si="24"/>
        <v>0.3</v>
      </c>
      <c r="O218" s="46">
        <f t="shared" si="24"/>
        <v>0.3</v>
      </c>
      <c r="P218" s="46">
        <f t="shared" si="24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3"/>
        <v>0</v>
      </c>
      <c r="C219" s="43">
        <v>0.4</v>
      </c>
      <c r="D219" s="43">
        <f t="shared" si="24"/>
        <v>0.4</v>
      </c>
      <c r="E219" s="43">
        <f t="shared" si="24"/>
        <v>0.4</v>
      </c>
      <c r="F219" s="43">
        <f t="shared" si="24"/>
        <v>0.4</v>
      </c>
      <c r="G219" s="43">
        <f t="shared" si="24"/>
        <v>0.4</v>
      </c>
      <c r="H219" s="43">
        <f t="shared" si="24"/>
        <v>0.4</v>
      </c>
      <c r="I219" s="43">
        <f t="shared" si="24"/>
        <v>0.4</v>
      </c>
      <c r="J219" s="43">
        <f t="shared" si="24"/>
        <v>0.4</v>
      </c>
      <c r="K219" s="43">
        <f t="shared" si="24"/>
        <v>0.4</v>
      </c>
      <c r="L219" s="43">
        <f t="shared" si="24"/>
        <v>0.4</v>
      </c>
      <c r="M219" s="43">
        <f t="shared" si="24"/>
        <v>0.4</v>
      </c>
      <c r="N219" s="43">
        <f t="shared" si="24"/>
        <v>0.4</v>
      </c>
      <c r="O219" s="43">
        <f t="shared" si="24"/>
        <v>0.4</v>
      </c>
      <c r="P219" s="43">
        <f t="shared" si="24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3"/>
        <v>0</v>
      </c>
      <c r="C220" s="43">
        <v>1.5</v>
      </c>
      <c r="D220" s="43">
        <f t="shared" si="24"/>
        <v>1.5</v>
      </c>
      <c r="E220" s="43">
        <f t="shared" si="24"/>
        <v>1.5</v>
      </c>
      <c r="F220" s="43">
        <f t="shared" si="24"/>
        <v>1.5</v>
      </c>
      <c r="G220" s="43">
        <f t="shared" si="24"/>
        <v>1.5</v>
      </c>
      <c r="H220" s="43">
        <f t="shared" si="24"/>
        <v>1.5</v>
      </c>
      <c r="I220" s="43">
        <f t="shared" si="24"/>
        <v>1.5</v>
      </c>
      <c r="J220" s="43">
        <f t="shared" si="24"/>
        <v>1.5</v>
      </c>
      <c r="K220" s="43">
        <f t="shared" si="24"/>
        <v>1.5</v>
      </c>
      <c r="L220" s="43">
        <f t="shared" si="24"/>
        <v>1.5</v>
      </c>
      <c r="M220" s="43">
        <f t="shared" si="24"/>
        <v>1.5</v>
      </c>
      <c r="N220" s="43">
        <f t="shared" si="24"/>
        <v>1.5</v>
      </c>
      <c r="O220" s="43">
        <f t="shared" si="24"/>
        <v>1.5</v>
      </c>
      <c r="P220" s="43">
        <f t="shared" si="24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3"/>
        <v>0</v>
      </c>
      <c r="C221" s="43">
        <v>0.3</v>
      </c>
      <c r="D221" s="43">
        <f t="shared" si="24"/>
        <v>0.3</v>
      </c>
      <c r="E221" s="43">
        <f t="shared" si="24"/>
        <v>0.3</v>
      </c>
      <c r="F221" s="43">
        <f t="shared" si="24"/>
        <v>0.3</v>
      </c>
      <c r="G221" s="43">
        <f t="shared" si="24"/>
        <v>0.3</v>
      </c>
      <c r="H221" s="43">
        <f t="shared" si="24"/>
        <v>0.3</v>
      </c>
      <c r="I221" s="43">
        <f t="shared" si="24"/>
        <v>0.3</v>
      </c>
      <c r="J221" s="43">
        <f t="shared" si="24"/>
        <v>0.3</v>
      </c>
      <c r="K221" s="43">
        <f t="shared" si="24"/>
        <v>0.3</v>
      </c>
      <c r="L221" s="43">
        <f t="shared" si="24"/>
        <v>0.3</v>
      </c>
      <c r="M221" s="43">
        <f t="shared" si="24"/>
        <v>0.3</v>
      </c>
      <c r="N221" s="43">
        <f t="shared" si="24"/>
        <v>0.3</v>
      </c>
      <c r="O221" s="43">
        <f t="shared" si="24"/>
        <v>0.3</v>
      </c>
      <c r="P221" s="43">
        <f t="shared" si="24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3"/>
        <v>0</v>
      </c>
      <c r="C222" s="43">
        <v>0.4</v>
      </c>
      <c r="D222" s="43">
        <f t="shared" si="24"/>
        <v>0.4</v>
      </c>
      <c r="E222" s="43">
        <f t="shared" si="24"/>
        <v>0.4</v>
      </c>
      <c r="F222" s="43">
        <f t="shared" si="24"/>
        <v>0.4</v>
      </c>
      <c r="G222" s="43">
        <f t="shared" si="24"/>
        <v>0.4</v>
      </c>
      <c r="H222" s="43">
        <f t="shared" si="24"/>
        <v>0.4</v>
      </c>
      <c r="I222" s="43">
        <f t="shared" si="24"/>
        <v>0.4</v>
      </c>
      <c r="J222" s="43">
        <f t="shared" si="24"/>
        <v>0.4</v>
      </c>
      <c r="K222" s="43">
        <f t="shared" si="24"/>
        <v>0.4</v>
      </c>
      <c r="L222" s="43">
        <f t="shared" si="24"/>
        <v>0.4</v>
      </c>
      <c r="M222" s="43">
        <f t="shared" si="24"/>
        <v>0.4</v>
      </c>
      <c r="N222" s="43">
        <f t="shared" si="24"/>
        <v>0.4</v>
      </c>
      <c r="O222" s="43">
        <f t="shared" si="24"/>
        <v>0.4</v>
      </c>
      <c r="P222" s="43">
        <f t="shared" si="24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3"/>
        <v>0</v>
      </c>
      <c r="C223" s="39">
        <v>0.64</v>
      </c>
      <c r="D223" s="39">
        <f t="shared" si="24"/>
        <v>0.64</v>
      </c>
      <c r="E223" s="39">
        <f t="shared" si="24"/>
        <v>0.64</v>
      </c>
      <c r="F223" s="39">
        <f t="shared" si="24"/>
        <v>0.64</v>
      </c>
      <c r="G223" s="39">
        <f t="shared" si="24"/>
        <v>0.64</v>
      </c>
      <c r="H223" s="39">
        <f t="shared" si="24"/>
        <v>0.64</v>
      </c>
      <c r="I223" s="39">
        <f t="shared" si="24"/>
        <v>0.64</v>
      </c>
      <c r="J223" s="39">
        <f t="shared" si="24"/>
        <v>0.64</v>
      </c>
      <c r="K223" s="39">
        <f t="shared" si="24"/>
        <v>0.64</v>
      </c>
      <c r="L223" s="39">
        <f t="shared" si="24"/>
        <v>0.64</v>
      </c>
      <c r="M223" s="39">
        <f t="shared" si="24"/>
        <v>0.64</v>
      </c>
      <c r="N223" s="39">
        <f t="shared" si="24"/>
        <v>0.64</v>
      </c>
      <c r="O223" s="39">
        <f t="shared" si="24"/>
        <v>0.64</v>
      </c>
      <c r="P223" s="39">
        <f t="shared" si="24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5">SUM(B218:B223)</f>
        <v>0</v>
      </c>
      <c r="C224" s="36">
        <f t="shared" si="25"/>
        <v>3.54</v>
      </c>
      <c r="D224" s="36">
        <f t="shared" si="25"/>
        <v>3.54</v>
      </c>
      <c r="E224" s="36">
        <f t="shared" si="25"/>
        <v>3.54</v>
      </c>
      <c r="F224" s="36">
        <f t="shared" si="25"/>
        <v>3.54</v>
      </c>
      <c r="G224" s="36">
        <f t="shared" si="25"/>
        <v>3.54</v>
      </c>
      <c r="H224" s="36">
        <f t="shared" si="25"/>
        <v>3.54</v>
      </c>
      <c r="I224" s="36">
        <f t="shared" si="25"/>
        <v>3.54</v>
      </c>
      <c r="J224" s="36">
        <f t="shared" si="25"/>
        <v>3.54</v>
      </c>
      <c r="K224" s="36">
        <f t="shared" si="25"/>
        <v>3.54</v>
      </c>
      <c r="L224" s="36">
        <f t="shared" si="25"/>
        <v>3.54</v>
      </c>
      <c r="M224" s="36">
        <f t="shared" si="25"/>
        <v>3.54</v>
      </c>
      <c r="N224" s="36">
        <f t="shared" si="25"/>
        <v>3.54</v>
      </c>
      <c r="O224" s="36">
        <f t="shared" si="25"/>
        <v>3.54</v>
      </c>
      <c r="P224" s="36">
        <f t="shared" si="25"/>
        <v>3.54</v>
      </c>
      <c r="Q224" s="36">
        <f t="shared" si="25"/>
        <v>0</v>
      </c>
      <c r="R224" s="36">
        <f t="shared" si="25"/>
        <v>0</v>
      </c>
      <c r="S224" s="36">
        <f t="shared" si="25"/>
        <v>0</v>
      </c>
      <c r="T224" s="36">
        <f t="shared" si="25"/>
        <v>0</v>
      </c>
      <c r="U224" s="36">
        <f t="shared" si="25"/>
        <v>0</v>
      </c>
      <c r="V224" s="36">
        <f t="shared" si="25"/>
        <v>0</v>
      </c>
      <c r="W224" s="36">
        <f t="shared" si="25"/>
        <v>0</v>
      </c>
      <c r="X224" s="36">
        <f t="shared" si="25"/>
        <v>0</v>
      </c>
      <c r="Y224" s="36">
        <f t="shared" si="25"/>
        <v>0</v>
      </c>
      <c r="Z224" s="36">
        <f t="shared" si="25"/>
        <v>0</v>
      </c>
      <c r="AA224" s="36">
        <f t="shared" si="25"/>
        <v>0</v>
      </c>
      <c r="AB224" s="36">
        <f t="shared" si="25"/>
        <v>0</v>
      </c>
      <c r="AC224" s="36">
        <f t="shared" si="25"/>
        <v>0</v>
      </c>
      <c r="AD224" s="36">
        <f t="shared" si="25"/>
        <v>0</v>
      </c>
      <c r="AE224" s="36">
        <f t="shared" si="25"/>
        <v>0</v>
      </c>
      <c r="AF224" s="36">
        <f t="shared" si="25"/>
        <v>0</v>
      </c>
      <c r="AG224" s="35">
        <f t="shared" si="25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1813.24</v>
      </c>
      <c r="C233" s="16">
        <f>INDEX(G9:N9,1,MATCH(MAX(G81:N81),G81:N81,0))</f>
        <v>0.375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14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2079/06/14)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2079/06/14)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6">B81</f>
        <v>1770.04</v>
      </c>
      <c r="U238" s="9">
        <f t="shared" si="26"/>
        <v>1768.6399999999999</v>
      </c>
      <c r="V238" s="9">
        <f t="shared" si="26"/>
        <v>1728.24</v>
      </c>
      <c r="W238" s="9">
        <f t="shared" si="26"/>
        <v>1707.54</v>
      </c>
      <c r="X238" s="9">
        <f t="shared" si="26"/>
        <v>1680.84</v>
      </c>
      <c r="Y238" s="9">
        <f t="shared" si="26"/>
        <v>1680.84</v>
      </c>
      <c r="Z238" s="9">
        <f t="shared" si="26"/>
        <v>1680.84</v>
      </c>
      <c r="AA238" s="9">
        <f t="shared" si="26"/>
        <v>1702.24</v>
      </c>
      <c r="AB238" s="9">
        <f t="shared" si="26"/>
        <v>1698.14</v>
      </c>
      <c r="AC238" s="9">
        <f t="shared" si="26"/>
        <v>1698.14</v>
      </c>
      <c r="AD238" s="9">
        <f t="shared" si="26"/>
        <v>1747.14</v>
      </c>
      <c r="AE238" s="9">
        <f t="shared" si="26"/>
        <v>1800.74</v>
      </c>
      <c r="AF238" s="9">
        <f t="shared" si="26"/>
        <v>1813.24</v>
      </c>
      <c r="AG238" s="9">
        <f t="shared" si="26"/>
        <v>1833.6399999999999</v>
      </c>
      <c r="AH238" s="9">
        <f t="shared" si="26"/>
        <v>1845.94</v>
      </c>
      <c r="AI238" s="9">
        <f t="shared" si="26"/>
        <v>1754.94</v>
      </c>
      <c r="AJ238" s="9">
        <f t="shared" si="26"/>
        <v>1840.04</v>
      </c>
      <c r="AK238" s="9">
        <f t="shared" si="26"/>
        <v>1823.54</v>
      </c>
      <c r="AL238" s="9">
        <f t="shared" si="26"/>
        <v>1848.34</v>
      </c>
      <c r="AM238" s="9">
        <f t="shared" si="26"/>
        <v>1843.04</v>
      </c>
      <c r="AN238" s="9">
        <f t="shared" si="26"/>
        <v>1805.34</v>
      </c>
      <c r="AO238" s="9">
        <f t="shared" si="26"/>
        <v>1800.44</v>
      </c>
      <c r="AP238" s="9">
        <f t="shared" si="26"/>
        <v>1789.44</v>
      </c>
      <c r="AQ238" s="9">
        <f t="shared" si="26"/>
        <v>1809.74</v>
      </c>
      <c r="AR238" s="9">
        <f t="shared" si="26"/>
        <v>1850.74</v>
      </c>
      <c r="AS238" s="9">
        <f t="shared" si="26"/>
        <v>1847.74</v>
      </c>
      <c r="AT238" s="9">
        <f t="shared" si="26"/>
        <v>1869.04</v>
      </c>
      <c r="AU238" s="9">
        <f t="shared" si="26"/>
        <v>1880.4399999999998</v>
      </c>
      <c r="AV238" s="9">
        <f t="shared" si="26"/>
        <v>1829.24</v>
      </c>
      <c r="AW238" s="9">
        <f t="shared" si="26"/>
        <v>1776.74</v>
      </c>
      <c r="AX238" s="9">
        <f t="shared" si="26"/>
        <v>1755.8400000000001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7">C223</f>
        <v>0.64</v>
      </c>
      <c r="C259" s="4">
        <f t="shared" si="27"/>
        <v>0.64</v>
      </c>
      <c r="D259" s="4">
        <f t="shared" si="27"/>
        <v>0.64</v>
      </c>
      <c r="E259" s="4">
        <f t="shared" si="27"/>
        <v>0.64</v>
      </c>
      <c r="F259" s="4">
        <f t="shared" si="27"/>
        <v>0.64</v>
      </c>
      <c r="G259" s="4">
        <f t="shared" si="27"/>
        <v>0.64</v>
      </c>
      <c r="H259" s="4">
        <f t="shared" si="27"/>
        <v>0.64</v>
      </c>
      <c r="I259" s="4">
        <f t="shared" si="27"/>
        <v>0.64</v>
      </c>
      <c r="J259" s="4">
        <f t="shared" si="27"/>
        <v>0.64</v>
      </c>
      <c r="K259" s="4">
        <f t="shared" si="27"/>
        <v>0.64</v>
      </c>
      <c r="L259" s="4">
        <f t="shared" si="27"/>
        <v>0.64</v>
      </c>
      <c r="M259" s="4">
        <f t="shared" si="27"/>
        <v>0.64</v>
      </c>
      <c r="N259" s="4">
        <f t="shared" si="27"/>
        <v>0.64</v>
      </c>
      <c r="O259" s="4">
        <f t="shared" si="27"/>
        <v>0.64</v>
      </c>
      <c r="P259" s="4">
        <f t="shared" si="27"/>
        <v>0</v>
      </c>
      <c r="Q259" s="4">
        <f t="shared" si="27"/>
        <v>0</v>
      </c>
      <c r="R259" s="4">
        <f t="shared" si="27"/>
        <v>0</v>
      </c>
      <c r="S259" s="4">
        <f t="shared" si="27"/>
        <v>0</v>
      </c>
      <c r="T259" s="4">
        <f t="shared" si="27"/>
        <v>0</v>
      </c>
      <c r="U259" s="4">
        <f t="shared" si="27"/>
        <v>0</v>
      </c>
      <c r="V259" s="4">
        <f t="shared" si="27"/>
        <v>0</v>
      </c>
      <c r="W259" s="4">
        <f t="shared" si="27"/>
        <v>0</v>
      </c>
      <c r="X259" s="4">
        <f t="shared" si="27"/>
        <v>0</v>
      </c>
      <c r="Y259" s="4">
        <f t="shared" si="27"/>
        <v>0</v>
      </c>
      <c r="Z259" s="4">
        <f t="shared" si="27"/>
        <v>0</v>
      </c>
      <c r="AA259" s="4">
        <f t="shared" si="27"/>
        <v>0</v>
      </c>
      <c r="AB259" s="4">
        <f t="shared" si="27"/>
        <v>0</v>
      </c>
      <c r="AC259" s="4">
        <f t="shared" si="27"/>
        <v>0</v>
      </c>
      <c r="AD259" s="4">
        <f t="shared" si="27"/>
        <v>0</v>
      </c>
      <c r="AE259" s="4">
        <f t="shared" si="27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28">IF(B227&lt;100,"",B227-520)</f>
        <v/>
      </c>
      <c r="C260" s="3" t="str">
        <f t="shared" si="28"/>
        <v/>
      </c>
      <c r="D260" s="3" t="str">
        <f t="shared" si="28"/>
        <v/>
      </c>
      <c r="E260" s="3" t="str">
        <f t="shared" si="28"/>
        <v/>
      </c>
      <c r="F260" s="3" t="str">
        <f t="shared" si="28"/>
        <v/>
      </c>
      <c r="G260" s="3" t="str">
        <f t="shared" si="28"/>
        <v/>
      </c>
      <c r="H260" s="3" t="str">
        <f t="shared" si="28"/>
        <v/>
      </c>
      <c r="I260" s="3" t="str">
        <f t="shared" si="28"/>
        <v/>
      </c>
      <c r="J260" s="3" t="str">
        <f t="shared" si="28"/>
        <v/>
      </c>
      <c r="K260" s="3" t="str">
        <f t="shared" si="28"/>
        <v/>
      </c>
      <c r="L260" s="3" t="str">
        <f t="shared" si="28"/>
        <v/>
      </c>
      <c r="M260" s="3" t="str">
        <f t="shared" si="28"/>
        <v/>
      </c>
      <c r="N260" s="3" t="str">
        <f t="shared" si="28"/>
        <v/>
      </c>
      <c r="O260" s="3" t="str">
        <f t="shared" si="28"/>
        <v/>
      </c>
      <c r="P260" s="3" t="str">
        <f t="shared" si="28"/>
        <v/>
      </c>
      <c r="Q260" s="3" t="str">
        <f t="shared" si="28"/>
        <v/>
      </c>
      <c r="R260" s="3" t="str">
        <f t="shared" si="28"/>
        <v/>
      </c>
      <c r="S260" s="3" t="str">
        <f t="shared" si="28"/>
        <v/>
      </c>
      <c r="T260" s="3" t="str">
        <f t="shared" si="28"/>
        <v/>
      </c>
      <c r="U260" s="3" t="str">
        <f t="shared" si="28"/>
        <v/>
      </c>
      <c r="V260" s="3" t="str">
        <f t="shared" si="28"/>
        <v/>
      </c>
      <c r="W260" s="3" t="str">
        <f t="shared" si="28"/>
        <v/>
      </c>
      <c r="X260" s="3" t="str">
        <f t="shared" si="28"/>
        <v/>
      </c>
      <c r="Y260" s="3" t="str">
        <f t="shared" si="28"/>
        <v/>
      </c>
      <c r="Z260" s="3" t="str">
        <f t="shared" si="28"/>
        <v/>
      </c>
      <c r="AA260" s="3" t="str">
        <f t="shared" si="28"/>
        <v/>
      </c>
      <c r="AB260" s="3" t="str">
        <f t="shared" si="28"/>
        <v/>
      </c>
      <c r="AC260" s="3" t="str">
        <f t="shared" si="28"/>
        <v/>
      </c>
      <c r="AD260" s="3" t="str">
        <f t="shared" si="28"/>
        <v/>
      </c>
      <c r="AE260" s="3" t="str">
        <f t="shared" si="28"/>
        <v/>
      </c>
      <c r="AF260" s="3" t="str">
        <f t="shared" si="28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29">IF(B228&lt;100,"",B228-620)</f>
        <v/>
      </c>
      <c r="C261" s="3" t="str">
        <f t="shared" si="29"/>
        <v/>
      </c>
      <c r="D261" s="3" t="str">
        <f t="shared" si="29"/>
        <v/>
      </c>
      <c r="E261" s="3" t="str">
        <f t="shared" si="29"/>
        <v/>
      </c>
      <c r="F261" s="3" t="str">
        <f t="shared" si="29"/>
        <v/>
      </c>
      <c r="G261" s="3" t="str">
        <f t="shared" si="29"/>
        <v/>
      </c>
      <c r="H261" s="3" t="str">
        <f t="shared" si="29"/>
        <v/>
      </c>
      <c r="I261" s="3" t="str">
        <f t="shared" si="29"/>
        <v/>
      </c>
      <c r="J261" s="3" t="str">
        <f t="shared" si="29"/>
        <v/>
      </c>
      <c r="K261" s="3" t="str">
        <f t="shared" si="29"/>
        <v/>
      </c>
      <c r="L261" s="3" t="str">
        <f t="shared" si="29"/>
        <v/>
      </c>
      <c r="M261" s="3" t="str">
        <f t="shared" si="29"/>
        <v/>
      </c>
      <c r="N261" s="3" t="str">
        <f t="shared" si="29"/>
        <v/>
      </c>
      <c r="O261" s="3" t="str">
        <f t="shared" si="29"/>
        <v/>
      </c>
      <c r="P261" s="3" t="str">
        <f t="shared" si="29"/>
        <v/>
      </c>
      <c r="Q261" s="3" t="str">
        <f t="shared" si="29"/>
        <v/>
      </c>
      <c r="R261" s="3" t="str">
        <f t="shared" si="29"/>
        <v/>
      </c>
      <c r="S261" s="3" t="str">
        <f t="shared" si="29"/>
        <v/>
      </c>
      <c r="T261" s="3" t="str">
        <f t="shared" si="29"/>
        <v/>
      </c>
      <c r="U261" s="3" t="str">
        <f t="shared" si="29"/>
        <v/>
      </c>
      <c r="V261" s="3" t="str">
        <f t="shared" si="29"/>
        <v/>
      </c>
      <c r="W261" s="3" t="str">
        <f t="shared" si="29"/>
        <v/>
      </c>
      <c r="X261" s="3" t="str">
        <f t="shared" si="29"/>
        <v/>
      </c>
      <c r="Y261" s="3" t="str">
        <f t="shared" si="29"/>
        <v/>
      </c>
      <c r="Z261" s="3" t="str">
        <f t="shared" si="29"/>
        <v/>
      </c>
      <c r="AA261" s="3" t="str">
        <f t="shared" si="29"/>
        <v/>
      </c>
      <c r="AB261" s="3" t="str">
        <f t="shared" si="29"/>
        <v/>
      </c>
      <c r="AC261" s="3" t="str">
        <f t="shared" si="29"/>
        <v/>
      </c>
      <c r="AD261" s="3" t="str">
        <f t="shared" si="29"/>
        <v/>
      </c>
      <c r="AE261" s="3" t="str">
        <f t="shared" si="29"/>
        <v/>
      </c>
      <c r="AF261" s="3" t="str">
        <f t="shared" si="29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0">IF(B229&lt;100,"",B229-330)</f>
        <v/>
      </c>
      <c r="C262" s="3" t="str">
        <f t="shared" si="30"/>
        <v/>
      </c>
      <c r="D262" s="3" t="str">
        <f t="shared" si="30"/>
        <v/>
      </c>
      <c r="E262" s="3" t="str">
        <f t="shared" si="30"/>
        <v/>
      </c>
      <c r="F262" s="3" t="str">
        <f t="shared" si="30"/>
        <v/>
      </c>
      <c r="G262" s="3" t="str">
        <f t="shared" si="30"/>
        <v/>
      </c>
      <c r="H262" s="3" t="str">
        <f t="shared" si="30"/>
        <v/>
      </c>
      <c r="I262" s="3" t="str">
        <f t="shared" si="30"/>
        <v/>
      </c>
      <c r="J262" s="3" t="str">
        <f t="shared" si="30"/>
        <v/>
      </c>
      <c r="K262" s="3" t="str">
        <f t="shared" si="30"/>
        <v/>
      </c>
      <c r="L262" s="3" t="str">
        <f t="shared" si="30"/>
        <v/>
      </c>
      <c r="M262" s="3" t="str">
        <f t="shared" si="30"/>
        <v/>
      </c>
      <c r="N262" s="3" t="str">
        <f t="shared" si="30"/>
        <v/>
      </c>
      <c r="O262" s="3" t="str">
        <f t="shared" si="30"/>
        <v/>
      </c>
      <c r="P262" s="3" t="str">
        <f t="shared" si="30"/>
        <v/>
      </c>
      <c r="Q262" s="3" t="str">
        <f t="shared" si="30"/>
        <v/>
      </c>
      <c r="R262" s="3" t="str">
        <f t="shared" si="30"/>
        <v/>
      </c>
      <c r="S262" s="3" t="str">
        <f t="shared" si="30"/>
        <v/>
      </c>
      <c r="T262" s="3" t="str">
        <f t="shared" si="30"/>
        <v/>
      </c>
      <c r="U262" s="3" t="str">
        <f t="shared" si="30"/>
        <v/>
      </c>
      <c r="V262" s="3" t="str">
        <f t="shared" si="30"/>
        <v/>
      </c>
      <c r="W262" s="3" t="str">
        <f t="shared" si="30"/>
        <v/>
      </c>
      <c r="X262" s="3" t="str">
        <f t="shared" si="30"/>
        <v/>
      </c>
      <c r="Y262" s="3" t="str">
        <f t="shared" si="30"/>
        <v/>
      </c>
      <c r="Z262" s="3" t="str">
        <f t="shared" si="30"/>
        <v/>
      </c>
      <c r="AA262" s="3" t="str">
        <f t="shared" si="30"/>
        <v/>
      </c>
      <c r="AB262" s="3" t="str">
        <f t="shared" si="30"/>
        <v/>
      </c>
      <c r="AC262" s="3" t="str">
        <f t="shared" si="30"/>
        <v/>
      </c>
      <c r="AD262" s="3" t="str">
        <f t="shared" si="30"/>
        <v/>
      </c>
      <c r="AE262" s="3" t="str">
        <f t="shared" si="30"/>
        <v/>
      </c>
      <c r="AF262" s="3" t="str">
        <f t="shared" si="30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1">IF(B230&lt;100,"",B230-1500)</f>
        <v/>
      </c>
      <c r="C263" s="3" t="str">
        <f t="shared" si="31"/>
        <v/>
      </c>
      <c r="D263" s="3" t="str">
        <f t="shared" si="31"/>
        <v/>
      </c>
      <c r="E263" s="3" t="str">
        <f t="shared" si="31"/>
        <v/>
      </c>
      <c r="F263" s="3" t="str">
        <f t="shared" si="31"/>
        <v/>
      </c>
      <c r="G263" s="3" t="str">
        <f t="shared" si="31"/>
        <v/>
      </c>
      <c r="H263" s="3" t="str">
        <f t="shared" si="31"/>
        <v/>
      </c>
      <c r="I263" s="3" t="str">
        <f t="shared" si="31"/>
        <v/>
      </c>
      <c r="J263" s="3" t="str">
        <f t="shared" si="31"/>
        <v/>
      </c>
      <c r="K263" s="3" t="str">
        <f t="shared" si="31"/>
        <v/>
      </c>
      <c r="L263" s="3" t="str">
        <f t="shared" si="31"/>
        <v/>
      </c>
      <c r="M263" s="3" t="str">
        <f t="shared" si="31"/>
        <v/>
      </c>
      <c r="N263" s="3" t="str">
        <f t="shared" si="31"/>
        <v/>
      </c>
      <c r="O263" s="3" t="str">
        <f t="shared" si="31"/>
        <v/>
      </c>
      <c r="P263" s="3" t="str">
        <f t="shared" si="31"/>
        <v/>
      </c>
      <c r="Q263" s="3" t="str">
        <f t="shared" si="31"/>
        <v/>
      </c>
      <c r="R263" s="3" t="str">
        <f t="shared" si="31"/>
        <v/>
      </c>
      <c r="S263" s="3" t="str">
        <f t="shared" si="31"/>
        <v/>
      </c>
      <c r="T263" s="3" t="str">
        <f t="shared" si="31"/>
        <v/>
      </c>
      <c r="U263" s="3" t="str">
        <f t="shared" si="31"/>
        <v/>
      </c>
      <c r="V263" s="3" t="str">
        <f t="shared" si="31"/>
        <v/>
      </c>
      <c r="W263" s="3" t="str">
        <f t="shared" si="31"/>
        <v/>
      </c>
      <c r="X263" s="3" t="str">
        <f t="shared" si="31"/>
        <v/>
      </c>
      <c r="Y263" s="3" t="str">
        <f t="shared" si="31"/>
        <v/>
      </c>
      <c r="Z263" s="3" t="str">
        <f t="shared" si="31"/>
        <v/>
      </c>
      <c r="AA263" s="3" t="str">
        <f t="shared" si="31"/>
        <v/>
      </c>
      <c r="AB263" s="3" t="str">
        <f t="shared" si="31"/>
        <v/>
      </c>
      <c r="AC263" s="3" t="str">
        <f t="shared" si="31"/>
        <v/>
      </c>
      <c r="AD263" s="3" t="str">
        <f t="shared" si="31"/>
        <v/>
      </c>
      <c r="AE263" s="3" t="str">
        <f t="shared" si="31"/>
        <v/>
      </c>
      <c r="AF263" s="3" t="str">
        <f t="shared" si="31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D101:AF101 D103:AF108 B16:AF16 AB11:AF11 B20:AF23">
    <cfRule type="expression" dxfId="6110" priority="239">
      <formula>B$9&gt;=20/24</formula>
    </cfRule>
    <cfRule type="expression" dxfId="6109" priority="240">
      <formula>AND(B$9&gt;=14/24,B$9&lt;20/24)</formula>
    </cfRule>
    <cfRule type="expression" dxfId="6108" priority="241">
      <formula>AND(B$9&gt;=8/24,B$9&lt;14/24)</formula>
    </cfRule>
    <cfRule type="expression" dxfId="6107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6106" priority="234">
      <formula>S$9&gt;=20/24</formula>
    </cfRule>
    <cfRule type="expression" dxfId="6105" priority="235">
      <formula>AND(S$9&gt;=14/24,S$9&lt;20/24)</formula>
    </cfRule>
    <cfRule type="expression" dxfId="6104" priority="236">
      <formula>AND(S$9&gt;=8/24,S$9&lt;14/24)</formula>
    </cfRule>
    <cfRule type="expression" dxfId="6103" priority="237">
      <formula>S$9&lt;8/24</formula>
    </cfRule>
  </conditionalFormatting>
  <conditionalFormatting sqref="AG57 S39:AF39 B12:AA16 AB11:AF16 B37:AF37 B18:AF18 B20:AF23">
    <cfRule type="expression" dxfId="6102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6101" priority="232">
      <formula>$AH11=0</formula>
    </cfRule>
  </conditionalFormatting>
  <conditionalFormatting sqref="A106">
    <cfRule type="expression" dxfId="6100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6099" priority="229">
      <formula>$AH37=0</formula>
    </cfRule>
  </conditionalFormatting>
  <conditionalFormatting sqref="A90">
    <cfRule type="expression" dxfId="6098" priority="228">
      <formula>$AH90=0</formula>
    </cfRule>
  </conditionalFormatting>
  <conditionalFormatting sqref="A15">
    <cfRule type="expression" dxfId="6097" priority="227">
      <formula>$AH15=0</formula>
    </cfRule>
  </conditionalFormatting>
  <conditionalFormatting sqref="A188:A193">
    <cfRule type="expression" dxfId="6096" priority="226">
      <formula>$AH188=0</formula>
    </cfRule>
  </conditionalFormatting>
  <conditionalFormatting sqref="A182:A187">
    <cfRule type="expression" dxfId="6095" priority="225">
      <formula>$AH182=0</formula>
    </cfRule>
  </conditionalFormatting>
  <conditionalFormatting sqref="A50">
    <cfRule type="expression" dxfId="6094" priority="224">
      <formula>$AH50=0</formula>
    </cfRule>
  </conditionalFormatting>
  <conditionalFormatting sqref="A86">
    <cfRule type="expression" dxfId="6093" priority="223">
      <formula>$AH86=0</formula>
    </cfRule>
  </conditionalFormatting>
  <conditionalFormatting sqref="D91:AF91">
    <cfRule type="expression" dxfId="6092" priority="219">
      <formula>D$9&gt;=20/24</formula>
    </cfRule>
    <cfRule type="expression" dxfId="6091" priority="220">
      <formula>AND(D$9&gt;=14/24,D$9&lt;20/24)</formula>
    </cfRule>
    <cfRule type="expression" dxfId="6090" priority="221">
      <formula>AND(D$9&gt;=8/24,D$9&lt;14/24)</formula>
    </cfRule>
    <cfRule type="expression" dxfId="6089" priority="222">
      <formula>D$9&lt;8/24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6088" priority="245">
      <formula>C$9&gt;=20/24</formula>
    </cfRule>
    <cfRule type="expression" dxfId="6087" priority="246">
      <formula>AND(C$9&gt;=14/24,C$9&lt;20/24)</formula>
    </cfRule>
    <cfRule type="expression" dxfId="6086" priority="247">
      <formula>AND(C$9&gt;=8/24,C$9&lt;14/24)</formula>
    </cfRule>
    <cfRule type="expression" dxfId="6085" priority="248">
      <formula>C$9&lt;8/24</formula>
    </cfRule>
  </conditionalFormatting>
  <conditionalFormatting sqref="A225">
    <cfRule type="expression" dxfId="6084" priority="249">
      <formula>$AH225=0</formula>
    </cfRule>
  </conditionalFormatting>
  <conditionalFormatting sqref="AG237">
    <cfRule type="expression" dxfId="6083" priority="250">
      <formula>B$9&gt;=20/24</formula>
    </cfRule>
    <cfRule type="expression" dxfId="6082" priority="251">
      <formula>AND(B$9&gt;=14/24,B$9&lt;20/24)</formula>
    </cfRule>
    <cfRule type="expression" dxfId="6081" priority="252">
      <formula>AND(B$9&gt;=8/24,B$9&lt;14/24)</formula>
    </cfRule>
    <cfRule type="expression" dxfId="6080" priority="253">
      <formula>B$9&lt;8/24</formula>
    </cfRule>
  </conditionalFormatting>
  <conditionalFormatting sqref="S8">
    <cfRule type="expression" dxfId="6079" priority="214">
      <formula>U$9&gt;=20/24</formula>
    </cfRule>
    <cfRule type="expression" dxfId="6078" priority="215">
      <formula>AND(U$9&gt;=14/24,U$9&lt;20/24)</formula>
    </cfRule>
    <cfRule type="expression" dxfId="6077" priority="216">
      <formula>AND(U$9&gt;=8/24,U$9&lt;14/24)</formula>
    </cfRule>
    <cfRule type="expression" dxfId="6076" priority="217">
      <formula>U$9&lt;8/24</formula>
    </cfRule>
  </conditionalFormatting>
  <conditionalFormatting sqref="AB8">
    <cfRule type="expression" dxfId="6075" priority="210">
      <formula>AD$9&gt;=20/24</formula>
    </cfRule>
    <cfRule type="expression" dxfId="6074" priority="211">
      <formula>AND(AD$9&gt;=14/24,AD$9&lt;20/24)</formula>
    </cfRule>
    <cfRule type="expression" dxfId="6073" priority="212">
      <formula>AND(AD$9&gt;=8/24,AD$9&lt;14/24)</formula>
    </cfRule>
    <cfRule type="expression" dxfId="6072" priority="213">
      <formula>AD$9&lt;8/24</formula>
    </cfRule>
  </conditionalFormatting>
  <conditionalFormatting sqref="AH237:AX237">
    <cfRule type="expression" dxfId="6071" priority="254">
      <formula>AG$9&gt;=20/24</formula>
    </cfRule>
    <cfRule type="expression" dxfId="6070" priority="255">
      <formula>AND(AG$9&gt;=14/24,AG$9&lt;20/24)</formula>
    </cfRule>
    <cfRule type="expression" dxfId="6069" priority="256">
      <formula>AND(AG$9&gt;=8/24,AG$9&lt;14/24)</formula>
    </cfRule>
    <cfRule type="expression" dxfId="6068" priority="257">
      <formula>AG$9&lt;8/24</formula>
    </cfRule>
  </conditionalFormatting>
  <conditionalFormatting sqref="T237">
    <cfRule type="expression" dxfId="6067" priority="258">
      <formula>AX$9&gt;=20/24</formula>
    </cfRule>
    <cfRule type="expression" dxfId="6066" priority="259">
      <formula>AND(AX$9&gt;=14/24,AX$9&lt;20/24)</formula>
    </cfRule>
    <cfRule type="expression" dxfId="6065" priority="260">
      <formula>AND(AX$9&gt;=8/24,AX$9&lt;14/24)</formula>
    </cfRule>
    <cfRule type="expression" dxfId="6064" priority="261">
      <formula>AX$9&lt;8/24</formula>
    </cfRule>
  </conditionalFormatting>
  <conditionalFormatting sqref="A107:A108">
    <cfRule type="expression" dxfId="6063" priority="209">
      <formula>$AH107=0</formula>
    </cfRule>
  </conditionalFormatting>
  <conditionalFormatting sqref="J63:AF63 AB38:AF38 S46:AF47">
    <cfRule type="expression" dxfId="6062" priority="205">
      <formula>J$9&gt;=20/24</formula>
    </cfRule>
    <cfRule type="expression" dxfId="6061" priority="206">
      <formula>AND(J$9&gt;=14/24,J$9&lt;20/24)</formula>
    </cfRule>
    <cfRule type="expression" dxfId="6060" priority="207">
      <formula>AND(J$9&gt;=8/24,J$9&lt;14/24)</formula>
    </cfRule>
    <cfRule type="expression" dxfId="6059" priority="208">
      <formula>J$9&lt;8/24</formula>
    </cfRule>
  </conditionalFormatting>
  <conditionalFormatting sqref="S45:AF45">
    <cfRule type="expression" dxfId="6058" priority="201">
      <formula>S$9&gt;=20/24</formula>
    </cfRule>
    <cfRule type="expression" dxfId="6057" priority="202">
      <formula>AND(S$9&gt;=14/24,S$9&lt;20/24)</formula>
    </cfRule>
    <cfRule type="expression" dxfId="6056" priority="203">
      <formula>AND(S$9&gt;=8/24,S$9&lt;14/24)</formula>
    </cfRule>
    <cfRule type="expression" dxfId="6055" priority="204">
      <formula>S$9&lt;8/24</formula>
    </cfRule>
  </conditionalFormatting>
  <conditionalFormatting sqref="AB38:AF38 S45:AF47">
    <cfRule type="expression" dxfId="6054" priority="200">
      <formula>S38&gt;$AG38</formula>
    </cfRule>
  </conditionalFormatting>
  <conditionalFormatting sqref="C88:AF88 M39:R39 J64:T65 V38:AA38 C75:AF78 D92:AF98 T59:AF61 AB12:AF14 AB73:AF73 U64:AF67">
    <cfRule type="expression" dxfId="6053" priority="196">
      <formula>C$9&gt;=20/24</formula>
    </cfRule>
    <cfRule type="expression" dxfId="6052" priority="197">
      <formula>AND(C$9&gt;=14/24,C$9&lt;20/24)</formula>
    </cfRule>
    <cfRule type="expression" dxfId="6051" priority="198">
      <formula>AND(C$9&gt;=8/24,C$9&lt;14/24)</formula>
    </cfRule>
    <cfRule type="expression" dxfId="6050" priority="199">
      <formula>C$9&lt;8/24</formula>
    </cfRule>
  </conditionalFormatting>
  <conditionalFormatting sqref="M39:R39 C57:AF57 V38:AA38 T59:AF61">
    <cfRule type="expression" dxfId="6049" priority="191">
      <formula>C38&gt;$AG38</formula>
    </cfRule>
  </conditionalFormatting>
  <conditionalFormatting sqref="AB15:AF15">
    <cfRule type="expression" dxfId="6048" priority="183">
      <formula>AB$9&gt;=20/24</formula>
    </cfRule>
    <cfRule type="expression" dxfId="6047" priority="184">
      <formula>AND(AB$9&gt;=14/24,AB$9&lt;20/24)</formula>
    </cfRule>
    <cfRule type="expression" dxfId="6046" priority="185">
      <formula>AND(AB$9&gt;=8/24,AB$9&lt;14/24)</formula>
    </cfRule>
    <cfRule type="expression" dxfId="6045" priority="186">
      <formula>AB$9&lt;8/24</formula>
    </cfRule>
  </conditionalFormatting>
  <conditionalFormatting sqref="R50:S51 Q48:S49 Q45:R47 O45:P49 T48:AF51">
    <cfRule type="expression" dxfId="6044" priority="169">
      <formula>O$9&gt;=20/24</formula>
    </cfRule>
    <cfRule type="expression" dxfId="6043" priority="170">
      <formula>AND(O$9&gt;=14/24,O$9&lt;20/24)</formula>
    </cfRule>
    <cfRule type="expression" dxfId="6042" priority="171">
      <formula>AND(O$9&gt;=8/24,O$9&lt;14/24)</formula>
    </cfRule>
    <cfRule type="expression" dxfId="6041" priority="172">
      <formula>O$9&lt;8/24</formula>
    </cfRule>
  </conditionalFormatting>
  <conditionalFormatting sqref="R50:S51 Q48:S49 Q45:R47 O45:P49 T48:AF51">
    <cfRule type="expression" dxfId="6040" priority="168">
      <formula>O45&gt;$AG45</formula>
    </cfRule>
  </conditionalFormatting>
  <conditionalFormatting sqref="D45:N45">
    <cfRule type="expression" dxfId="6039" priority="155">
      <formula>D$9&gt;=20/24</formula>
    </cfRule>
    <cfRule type="expression" dxfId="6038" priority="156">
      <formula>AND(D$9&gt;=14/24,D$9&lt;20/24)</formula>
    </cfRule>
    <cfRule type="expression" dxfId="6037" priority="157">
      <formula>AND(D$9&gt;=8/24,D$9&lt;14/24)</formula>
    </cfRule>
    <cfRule type="expression" dxfId="6036" priority="158">
      <formula>D$9&lt;8/24</formula>
    </cfRule>
  </conditionalFormatting>
  <conditionalFormatting sqref="D45:N45">
    <cfRule type="expression" dxfId="6035" priority="154">
      <formula>D45&gt;$AG45</formula>
    </cfRule>
  </conditionalFormatting>
  <conditionalFormatting sqref="B80:AF80 B89:AF89 B101:C101 B103:C108 B11:AA11">
    <cfRule type="expression" dxfId="6034" priority="141">
      <formula>B$9&gt;=20/24</formula>
    </cfRule>
    <cfRule type="expression" dxfId="6033" priority="142">
      <formula>AND(B$9&gt;=14/24,B$9&lt;20/24)</formula>
    </cfRule>
    <cfRule type="expression" dxfId="6032" priority="143">
      <formula>AND(B$9&gt;=8/24,B$9&lt;14/24)</formula>
    </cfRule>
    <cfRule type="expression" dxfId="6031" priority="144">
      <formula>B$9&lt;8/24</formula>
    </cfRule>
  </conditionalFormatting>
  <conditionalFormatting sqref="B39:L39">
    <cfRule type="expression" dxfId="6030" priority="137">
      <formula>B$9&gt;=20/24</formula>
    </cfRule>
    <cfRule type="expression" dxfId="6029" priority="138">
      <formula>AND(B$9&gt;=14/24,B$9&lt;20/24)</formula>
    </cfRule>
    <cfRule type="expression" dxfId="6028" priority="139">
      <formula>AND(B$9&gt;=8/24,B$9&lt;14/24)</formula>
    </cfRule>
    <cfRule type="expression" dxfId="6027" priority="140">
      <formula>B$9&lt;8/24</formula>
    </cfRule>
  </conditionalFormatting>
  <conditionalFormatting sqref="B39:L39 B11:AA11">
    <cfRule type="expression" dxfId="6026" priority="136">
      <formula>B11&gt;$AG11</formula>
    </cfRule>
  </conditionalFormatting>
  <conditionalFormatting sqref="B91:C91">
    <cfRule type="expression" dxfId="6025" priority="132">
      <formula>B$9&gt;=20/24</formula>
    </cfRule>
    <cfRule type="expression" dxfId="6024" priority="133">
      <formula>AND(B$9&gt;=14/24,B$9&lt;20/24)</formula>
    </cfRule>
    <cfRule type="expression" dxfId="6023" priority="134">
      <formula>AND(B$9&gt;=8/24,B$9&lt;14/24)</formula>
    </cfRule>
    <cfRule type="expression" dxfId="6022" priority="135">
      <formula>B$9&lt;8/24</formula>
    </cfRule>
  </conditionalFormatting>
  <conditionalFormatting sqref="B63:I63 B46:N47 B38:U38">
    <cfRule type="expression" dxfId="6021" priority="128">
      <formula>B$9&gt;=20/24</formula>
    </cfRule>
    <cfRule type="expression" dxfId="6020" priority="129">
      <formula>AND(B$9&gt;=14/24,B$9&lt;20/24)</formula>
    </cfRule>
    <cfRule type="expression" dxfId="6019" priority="130">
      <formula>AND(B$9&gt;=8/24,B$9&lt;14/24)</formula>
    </cfRule>
    <cfRule type="expression" dxfId="6018" priority="131">
      <formula>B$9&lt;8/24</formula>
    </cfRule>
  </conditionalFormatting>
  <conditionalFormatting sqref="B45:C45">
    <cfRule type="expression" dxfId="6017" priority="124">
      <formula>B$9&gt;=20/24</formula>
    </cfRule>
    <cfRule type="expression" dxfId="6016" priority="125">
      <formula>AND(B$9&gt;=14/24,B$9&lt;20/24)</formula>
    </cfRule>
    <cfRule type="expression" dxfId="6015" priority="126">
      <formula>AND(B$9&gt;=8/24,B$9&lt;14/24)</formula>
    </cfRule>
    <cfRule type="expression" dxfId="6014" priority="127">
      <formula>B$9&lt;8/24</formula>
    </cfRule>
  </conditionalFormatting>
  <conditionalFormatting sqref="B45:C47 D46:N47 B38:U38">
    <cfRule type="expression" dxfId="6013" priority="123">
      <formula>B38&gt;$AG38</formula>
    </cfRule>
  </conditionalFormatting>
  <conditionalFormatting sqref="B59:B62 B75:B79 B81:AF81 B88 C62:AG62 C79:AG79 B90:AF90 B92:C98 B64:I73 C59:S61 J66:T73 B12:AA14 U68:AA73 B29:AF29 B31:AF34 B25:AF27 AB68:AF72 B18:AF18">
    <cfRule type="expression" dxfId="6012" priority="119">
      <formula>B$9&gt;=20/24</formula>
    </cfRule>
    <cfRule type="expression" dxfId="6011" priority="120">
      <formula>AND(B$9&gt;=14/24,B$9&lt;20/24)</formula>
    </cfRule>
    <cfRule type="expression" dxfId="6010" priority="121">
      <formula>AND(B$9&gt;=8/24,B$9&lt;14/24)</formula>
    </cfRule>
    <cfRule type="expression" dxfId="6009" priority="122">
      <formula>B$9&lt;8/24</formula>
    </cfRule>
  </conditionalFormatting>
  <conditionalFormatting sqref="B35:AF35">
    <cfRule type="expression" dxfId="6008" priority="115">
      <formula>B$9&gt;=20/24</formula>
    </cfRule>
    <cfRule type="expression" dxfId="6007" priority="116">
      <formula>AND(B$9&gt;=14/24,B$9&lt;20/24)</formula>
    </cfRule>
    <cfRule type="expression" dxfId="6006" priority="117">
      <formula>AND(B$9&gt;=8/24,B$9&lt;14/24)</formula>
    </cfRule>
    <cfRule type="expression" dxfId="6005" priority="118">
      <formula>B$9&lt;8/24</formula>
    </cfRule>
  </conditionalFormatting>
  <conditionalFormatting sqref="B57:B62 B40:AG40 C62:AG62 B48:N49 C59:S61 C58:AG58 B31:AF35 B25:AF29">
    <cfRule type="expression" dxfId="6004" priority="114">
      <formula>B25&gt;$AG25</formula>
    </cfRule>
  </conditionalFormatting>
  <conditionalFormatting sqref="B37:AF37">
    <cfRule type="expression" dxfId="6003" priority="110">
      <formula>B$9&gt;=20/24</formula>
    </cfRule>
    <cfRule type="expression" dxfId="6002" priority="111">
      <formula>AND(B$9&gt;=14/24,B$9&lt;20/24)</formula>
    </cfRule>
    <cfRule type="expression" dxfId="6001" priority="112">
      <formula>AND(B$9&gt;=8/24,B$9&lt;14/24)</formula>
    </cfRule>
    <cfRule type="expression" dxfId="6000" priority="113">
      <formula>B$9&lt;8/24</formula>
    </cfRule>
  </conditionalFormatting>
  <conditionalFormatting sqref="B15:AA15">
    <cfRule type="expression" dxfId="5999" priority="106">
      <formula>B$9&gt;=20/24</formula>
    </cfRule>
    <cfRule type="expression" dxfId="5998" priority="107">
      <formula>AND(B$9&gt;=14/24,B$9&lt;20/24)</formula>
    </cfRule>
    <cfRule type="expression" dxfId="5997" priority="108">
      <formula>AND(B$9&gt;=8/24,B$9&lt;14/24)</formula>
    </cfRule>
    <cfRule type="expression" dxfId="5996" priority="109">
      <formula>B$9&lt;8/24</formula>
    </cfRule>
  </conditionalFormatting>
  <conditionalFormatting sqref="B36:AF36">
    <cfRule type="expression" dxfId="5995" priority="102">
      <formula>B$9&gt;=20/24</formula>
    </cfRule>
    <cfRule type="expression" dxfId="5994" priority="103">
      <formula>AND(B$9&gt;=14/24,B$9&lt;20/24)</formula>
    </cfRule>
    <cfRule type="expression" dxfId="5993" priority="104">
      <formula>AND(B$9&gt;=8/24,B$9&lt;14/24)</formula>
    </cfRule>
    <cfRule type="expression" dxfId="5992" priority="105">
      <formula>B$9&lt;8/24</formula>
    </cfRule>
  </conditionalFormatting>
  <conditionalFormatting sqref="B36:AF36">
    <cfRule type="expression" dxfId="5991" priority="101">
      <formula>B36&gt;$AG36</formula>
    </cfRule>
  </conditionalFormatting>
  <conditionalFormatting sqref="B50:Q56 R52:AF56">
    <cfRule type="expression" dxfId="5990" priority="97">
      <formula>B$9&gt;=20/24</formula>
    </cfRule>
    <cfRule type="expression" dxfId="5989" priority="98">
      <formula>AND(B$9&gt;=14/24,B$9&lt;20/24)</formula>
    </cfRule>
    <cfRule type="expression" dxfId="5988" priority="99">
      <formula>AND(B$9&gt;=8/24,B$9&lt;14/24)</formula>
    </cfRule>
    <cfRule type="expression" dxfId="5987" priority="100">
      <formula>B$9&lt;8/24</formula>
    </cfRule>
  </conditionalFormatting>
  <conditionalFormatting sqref="B50:Q56 R52:AF56">
    <cfRule type="expression" dxfId="5986" priority="96">
      <formula>B50&gt;$AG50</formula>
    </cfRule>
  </conditionalFormatting>
  <conditionalFormatting sqref="B28:AF28">
    <cfRule type="expression" dxfId="5985" priority="92">
      <formula>B$9&gt;=20/24</formula>
    </cfRule>
    <cfRule type="expression" dxfId="5984" priority="93">
      <formula>AND(B$9&gt;=14/24,B$9&lt;20/24)</formula>
    </cfRule>
    <cfRule type="expression" dxfId="5983" priority="94">
      <formula>AND(B$9&gt;=8/24,B$9&lt;14/24)</formula>
    </cfRule>
    <cfRule type="expression" dxfId="5982" priority="95">
      <formula>B$9&lt;8/24</formula>
    </cfRule>
  </conditionalFormatting>
  <conditionalFormatting sqref="B19:AF19 B24:AF24">
    <cfRule type="expression" dxfId="5981" priority="88">
      <formula>B$9&gt;=20/24</formula>
    </cfRule>
    <cfRule type="expression" dxfId="5980" priority="89">
      <formula>AND(B$9&gt;=14/24,B$9&lt;20/24)</formula>
    </cfRule>
    <cfRule type="expression" dxfId="5979" priority="90">
      <formula>AND(B$9&gt;=8/24,B$9&lt;14/24)</formula>
    </cfRule>
    <cfRule type="expression" dxfId="5978" priority="91">
      <formula>B$9&lt;8/24</formula>
    </cfRule>
  </conditionalFormatting>
  <conditionalFormatting sqref="B19:AF19 B24:AF24">
    <cfRule type="expression" dxfId="5977" priority="87">
      <formula>B19&gt;$AG19</formula>
    </cfRule>
  </conditionalFormatting>
  <conditionalFormatting sqref="A36">
    <cfRule type="expression" dxfId="5976" priority="86">
      <formula>$AH36=0</formula>
    </cfRule>
  </conditionalFormatting>
  <conditionalFormatting sqref="B74:AF74">
    <cfRule type="expression" dxfId="5975" priority="82">
      <formula>B$9&gt;=20/24</formula>
    </cfRule>
    <cfRule type="expression" dxfId="5974" priority="83">
      <formula>AND(B$9&gt;=14/24,B$9&lt;20/24)</formula>
    </cfRule>
    <cfRule type="expression" dxfId="5973" priority="84">
      <formula>AND(B$9&gt;=8/24,B$9&lt;14/24)</formula>
    </cfRule>
    <cfRule type="expression" dxfId="5972" priority="85">
      <formula>B$9&lt;8/24</formula>
    </cfRule>
  </conditionalFormatting>
  <conditionalFormatting sqref="B83:AF87">
    <cfRule type="expression" dxfId="5971" priority="78">
      <formula>B$9&gt;=20/24</formula>
    </cfRule>
    <cfRule type="expression" dxfId="5970" priority="79">
      <formula>AND(B$9&gt;=14/24,B$9&lt;20/24)</formula>
    </cfRule>
    <cfRule type="expression" dxfId="5969" priority="80">
      <formula>AND(B$9&gt;=8/24,B$9&lt;14/24)</formula>
    </cfRule>
    <cfRule type="expression" dxfId="5968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O41:AF43">
    <cfRule type="expression" dxfId="5967" priority="74">
      <formula>O$9&gt;=20/24</formula>
    </cfRule>
    <cfRule type="expression" dxfId="5966" priority="75">
      <formula>AND(O$9&gt;=14/24,O$9&lt;20/24)</formula>
    </cfRule>
    <cfRule type="expression" dxfId="5965" priority="76">
      <formula>AND(O$9&gt;=8/24,O$9&lt;14/24)</formula>
    </cfRule>
    <cfRule type="expression" dxfId="5964" priority="77">
      <formula>O$9&lt;8/24</formula>
    </cfRule>
  </conditionalFormatting>
  <conditionalFormatting sqref="O41:AF43">
    <cfRule type="expression" dxfId="5963" priority="73">
      <formula>O41&gt;$AG41</formula>
    </cfRule>
  </conditionalFormatting>
  <conditionalFormatting sqref="B41:B44 C44:AG44 C41:N43">
    <cfRule type="expression" dxfId="5962" priority="69">
      <formula>B$9&gt;=20/24</formula>
    </cfRule>
    <cfRule type="expression" dxfId="5961" priority="70">
      <formula>AND(B$9&gt;=14/24,B$9&lt;20/24)</formula>
    </cfRule>
    <cfRule type="expression" dxfId="5960" priority="71">
      <formula>AND(B$9&gt;=8/24,B$9&lt;14/24)</formula>
    </cfRule>
    <cfRule type="expression" dxfId="5959" priority="72">
      <formula>B$9&lt;8/24</formula>
    </cfRule>
  </conditionalFormatting>
  <conditionalFormatting sqref="B41:B44 C44:AG44 C41:N43">
    <cfRule type="expression" dxfId="5958" priority="68">
      <formula>B41&gt;$AG41</formula>
    </cfRule>
  </conditionalFormatting>
  <conditionalFormatting sqref="C99:AF99">
    <cfRule type="expression" dxfId="5957" priority="64">
      <formula>C$9&gt;=20/24</formula>
    </cfRule>
    <cfRule type="expression" dxfId="5956" priority="65">
      <formula>AND(C$9&gt;=14/24,C$9&lt;20/24)</formula>
    </cfRule>
    <cfRule type="expression" dxfId="5955" priority="66">
      <formula>AND(C$9&gt;=8/24,C$9&lt;14/24)</formula>
    </cfRule>
    <cfRule type="expression" dxfId="5954" priority="67">
      <formula>C$9&lt;8/24</formula>
    </cfRule>
  </conditionalFormatting>
  <conditionalFormatting sqref="B99">
    <cfRule type="expression" dxfId="5953" priority="60">
      <formula>B$9&gt;=20/24</formula>
    </cfRule>
    <cfRule type="expression" dxfId="5952" priority="61">
      <formula>AND(B$9&gt;=14/24,B$9&lt;20/24)</formula>
    </cfRule>
    <cfRule type="expression" dxfId="5951" priority="62">
      <formula>AND(B$9&gt;=8/24,B$9&lt;14/24)</formula>
    </cfRule>
    <cfRule type="expression" dxfId="5950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5949" priority="54">
      <formula>$AH33=0</formula>
    </cfRule>
  </conditionalFormatting>
  <conditionalFormatting sqref="A82">
    <cfRule type="expression" dxfId="5948" priority="52">
      <formula>$AH82=0</formula>
    </cfRule>
  </conditionalFormatting>
  <conditionalFormatting sqref="A79">
    <cfRule type="expression" dxfId="5947" priority="53">
      <formula>$AH79=0</formula>
    </cfRule>
  </conditionalFormatting>
  <conditionalFormatting sqref="A109">
    <cfRule type="expression" dxfId="5946" priority="43">
      <formula>$AH109=0</formula>
    </cfRule>
  </conditionalFormatting>
  <conditionalFormatting sqref="D102:AF102">
    <cfRule type="expression" dxfId="5945" priority="39">
      <formula>D$9&gt;=20/24</formula>
    </cfRule>
    <cfRule type="expression" dxfId="5944" priority="40">
      <formula>AND(D$9&gt;=14/24,D$9&lt;20/24)</formula>
    </cfRule>
    <cfRule type="expression" dxfId="5943" priority="41">
      <formula>AND(D$9&gt;=8/24,D$9&lt;14/24)</formula>
    </cfRule>
    <cfRule type="expression" dxfId="5942" priority="42">
      <formula>D$9&lt;8/24</formula>
    </cfRule>
  </conditionalFormatting>
  <conditionalFormatting sqref="A102">
    <cfRule type="expression" dxfId="5941" priority="38">
      <formula>$AH102=0</formula>
    </cfRule>
  </conditionalFormatting>
  <conditionalFormatting sqref="B102:C102">
    <cfRule type="expression" dxfId="5940" priority="34">
      <formula>B$9&gt;=20/24</formula>
    </cfRule>
    <cfRule type="expression" dxfId="5939" priority="35">
      <formula>AND(B$9&gt;=14/24,B$9&lt;20/24)</formula>
    </cfRule>
    <cfRule type="expression" dxfId="5938" priority="36">
      <formula>AND(B$9&gt;=8/24,B$9&lt;14/24)</formula>
    </cfRule>
    <cfRule type="expression" dxfId="5937" priority="37">
      <formula>B$9&lt;8/24</formula>
    </cfRule>
  </conditionalFormatting>
  <conditionalFormatting sqref="B17:AF17">
    <cfRule type="expression" dxfId="5936" priority="27">
      <formula>B17&gt;$AG17</formula>
    </cfRule>
  </conditionalFormatting>
  <conditionalFormatting sqref="A17">
    <cfRule type="expression" dxfId="5935" priority="26">
      <formula>$AH17=0</formula>
    </cfRule>
  </conditionalFormatting>
  <conditionalFormatting sqref="B17:AF17">
    <cfRule type="expression" dxfId="5934" priority="18">
      <formula>B$9&gt;=20/24</formula>
    </cfRule>
    <cfRule type="expression" dxfId="5933" priority="19">
      <formula>AND(B$9&gt;=14/24,B$9&lt;20/24)</formula>
    </cfRule>
    <cfRule type="expression" dxfId="5932" priority="20">
      <formula>AND(B$9&gt;=8/24,B$9&lt;14/24)</formula>
    </cfRule>
    <cfRule type="expression" dxfId="5931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5930" priority="16">
      <formula>$AH30=0</formula>
    </cfRule>
  </conditionalFormatting>
  <conditionalFormatting sqref="AE30:AF30">
    <cfRule type="expression" dxfId="5929" priority="12">
      <formula>AE$9&gt;=20/24</formula>
    </cfRule>
    <cfRule type="expression" dxfId="5928" priority="13">
      <formula>AND(AE$9&gt;=14/24,AE$9&lt;20/24)</formula>
    </cfRule>
    <cfRule type="expression" dxfId="5927" priority="14">
      <formula>AND(AE$9&gt;=8/24,AE$9&lt;14/24)</formula>
    </cfRule>
    <cfRule type="expression" dxfId="5926" priority="15">
      <formula>AE$9&lt;8/24</formula>
    </cfRule>
  </conditionalFormatting>
  <conditionalFormatting sqref="AE30:AF30">
    <cfRule type="expression" dxfId="5925" priority="11">
      <formula>AE30&gt;$AG30</formula>
    </cfRule>
  </conditionalFormatting>
  <conditionalFormatting sqref="B30:AD30">
    <cfRule type="expression" dxfId="5924" priority="2">
      <formula>B$9&gt;=20/24</formula>
    </cfRule>
    <cfRule type="expression" dxfId="5923" priority="3">
      <formula>AND(B$9&gt;=14/24,B$9&lt;20/24)</formula>
    </cfRule>
    <cfRule type="expression" dxfId="5922" priority="4">
      <formula>AND(B$9&gt;=8/24,B$9&lt;14/24)</formula>
    </cfRule>
    <cfRule type="expression" dxfId="5921" priority="5">
      <formula>B$9&lt;8/24</formula>
    </cfRule>
  </conditionalFormatting>
  <conditionalFormatting sqref="B30:AD30">
    <cfRule type="expression" dxfId="5920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2577EF7A-333F-41F0-A48B-496BC65C728D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FC0F7C5D-A115-435C-9E30-0A53350432C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A5533A0A-A7FF-4E7F-AF3D-5F8A4DCCAF0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7A14A946-5483-456B-9580-A5B0E1846413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2F9E3470-181C-499F-B46F-9BACBA87A98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5455BCDC-A62A-4E63-BA02-26ADD9B235D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455EC144-BFE4-4B1D-8653-A9F13438A8A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6EB30E0B-D24B-425E-9B01-47F192EC8F1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D109:AF109</xm:sqref>
        </x14:conditionalFormatting>
        <x14:conditionalFormatting xmlns:xm="http://schemas.microsoft.com/office/excel/2006/main">
          <x14:cfRule type="expression" priority="44" id="{D9B15FDD-69E7-4ACA-BCD3-4BF483BEDF9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AD08EE86-067F-4B3E-BD7D-E796D680D1F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F90F3BBC-01A3-43FF-8FC8-A432FC8B197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8110DF9F-95F1-4B58-8ADA-DC2D722E74E7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B109:C109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L36" sqref="L3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2079/06/15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0</v>
      </c>
      <c r="X5" s="148">
        <f t="shared" si="0"/>
        <v>0</v>
      </c>
      <c r="Y5" s="148">
        <f t="shared" si="0"/>
        <v>0</v>
      </c>
      <c r="Z5" s="148">
        <f t="shared" si="0"/>
        <v>0</v>
      </c>
      <c r="AA5" s="148">
        <f t="shared" si="0"/>
        <v>0</v>
      </c>
      <c r="AB5" s="148">
        <f t="shared" si="0"/>
        <v>0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B74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1727MW at 8:00hr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Load=1642</v>
      </c>
      <c r="B7" s="137">
        <f t="shared" ref="B7:AF7" si="1">B81</f>
        <v>1741.8400000000001</v>
      </c>
      <c r="C7" s="137">
        <f t="shared" si="1"/>
        <v>1735.8400000000001</v>
      </c>
      <c r="D7" s="137">
        <f t="shared" si="1"/>
        <v>1715.14</v>
      </c>
      <c r="E7" s="137">
        <f t="shared" si="1"/>
        <v>1702.9399999999998</v>
      </c>
      <c r="F7" s="137">
        <f t="shared" si="1"/>
        <v>1666.8399999999997</v>
      </c>
      <c r="G7" s="137">
        <f t="shared" si="1"/>
        <v>1666.7399999999998</v>
      </c>
      <c r="H7" s="137">
        <f t="shared" si="1"/>
        <v>1667.2399999999998</v>
      </c>
      <c r="I7" s="137">
        <f t="shared" si="1"/>
        <v>1666.8399999999997</v>
      </c>
      <c r="J7" s="137">
        <f t="shared" si="1"/>
        <v>1668.7399999999998</v>
      </c>
      <c r="K7" s="137">
        <f t="shared" si="1"/>
        <v>1668.5399999999997</v>
      </c>
      <c r="L7" s="137">
        <f t="shared" si="1"/>
        <v>1686.24</v>
      </c>
      <c r="M7" s="137">
        <f t="shared" si="1"/>
        <v>1726.74</v>
      </c>
      <c r="N7" s="137">
        <f t="shared" si="1"/>
        <v>1702.04</v>
      </c>
      <c r="O7" s="137">
        <f t="shared" si="1"/>
        <v>1710.04</v>
      </c>
      <c r="P7" s="137">
        <f t="shared" si="1"/>
        <v>1769.44</v>
      </c>
      <c r="Q7" s="137">
        <f t="shared" si="1"/>
        <v>1732.44</v>
      </c>
      <c r="R7" s="137">
        <f t="shared" si="1"/>
        <v>1758.9399999999998</v>
      </c>
      <c r="S7" s="137">
        <f t="shared" si="1"/>
        <v>1754.9399999999998</v>
      </c>
      <c r="T7" s="137">
        <f t="shared" si="1"/>
        <v>1712.24</v>
      </c>
      <c r="U7" s="137">
        <f t="shared" si="1"/>
        <v>1718.74</v>
      </c>
      <c r="V7" s="137">
        <f t="shared" si="1"/>
        <v>1721.84</v>
      </c>
      <c r="W7" s="137">
        <f t="shared" si="1"/>
        <v>1642.04</v>
      </c>
      <c r="X7" s="137">
        <f t="shared" si="1"/>
        <v>1725.1399999999999</v>
      </c>
      <c r="Y7" s="137">
        <f t="shared" si="1"/>
        <v>1818.54</v>
      </c>
      <c r="Z7" s="137">
        <f t="shared" si="1"/>
        <v>1813.2400000000002</v>
      </c>
      <c r="AA7" s="137">
        <f t="shared" si="1"/>
        <v>1811.8400000000001</v>
      </c>
      <c r="AB7" s="137">
        <f t="shared" si="1"/>
        <v>1816.6399999999999</v>
      </c>
      <c r="AC7" s="137">
        <f t="shared" si="1"/>
        <v>1807.6399999999999</v>
      </c>
      <c r="AD7" s="137">
        <f t="shared" si="1"/>
        <v>1797.6399999999999</v>
      </c>
      <c r="AE7" s="137">
        <f t="shared" si="1"/>
        <v>1758.8400000000001</v>
      </c>
      <c r="AF7" s="137">
        <f t="shared" si="1"/>
        <v>1712.74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53.8</v>
      </c>
      <c r="C11" s="105">
        <v>53.8</v>
      </c>
      <c r="D11" s="105">
        <v>53.8</v>
      </c>
      <c r="E11" s="105">
        <v>53.6</v>
      </c>
      <c r="F11" s="105">
        <v>53.6</v>
      </c>
      <c r="G11" s="105">
        <v>53.6</v>
      </c>
      <c r="H11" s="105">
        <v>53.6</v>
      </c>
      <c r="I11" s="105">
        <v>53.6</v>
      </c>
      <c r="J11" s="105">
        <v>53.6</v>
      </c>
      <c r="K11" s="105">
        <v>53.6</v>
      </c>
      <c r="L11" s="105">
        <v>53.6</v>
      </c>
      <c r="M11" s="105">
        <v>53.6</v>
      </c>
      <c r="N11" s="105">
        <v>53.6</v>
      </c>
      <c r="O11" s="105">
        <v>53.6</v>
      </c>
      <c r="P11" s="105">
        <v>53.6</v>
      </c>
      <c r="Q11" s="105">
        <v>53.6</v>
      </c>
      <c r="R11" s="105">
        <v>53.6</v>
      </c>
      <c r="S11" s="105">
        <v>53.6</v>
      </c>
      <c r="T11" s="105">
        <v>53.6</v>
      </c>
      <c r="U11" s="105">
        <v>53.6</v>
      </c>
      <c r="V11" s="105">
        <v>53.6</v>
      </c>
      <c r="W11" s="105">
        <v>53.8</v>
      </c>
      <c r="X11" s="105">
        <v>53.9</v>
      </c>
      <c r="Y11" s="105">
        <v>53.6</v>
      </c>
      <c r="Z11" s="105">
        <v>53.6</v>
      </c>
      <c r="AA11" s="105">
        <v>53.7</v>
      </c>
      <c r="AB11" s="105">
        <v>53.7</v>
      </c>
      <c r="AC11" s="105">
        <v>53.7</v>
      </c>
      <c r="AD11" s="105">
        <v>53.7</v>
      </c>
      <c r="AE11" s="105">
        <v>53.7</v>
      </c>
      <c r="AF11" s="105">
        <v>53.7</v>
      </c>
      <c r="AG11" s="127">
        <v>52.4</v>
      </c>
      <c r="AH11" s="20">
        <f t="shared" ref="AH11:AH74" si="2">MAX(B11:AF11)</f>
        <v>53.9</v>
      </c>
      <c r="AI11" s="19">
        <f t="shared" ref="AI11:AI74" si="3">MIN(B11:AF11)</f>
        <v>53.6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50.3</v>
      </c>
      <c r="C12" s="105">
        <v>50.3</v>
      </c>
      <c r="D12" s="105">
        <v>50.3</v>
      </c>
      <c r="E12" s="105">
        <v>50.3</v>
      </c>
      <c r="F12" s="105">
        <v>50.3</v>
      </c>
      <c r="G12" s="105">
        <v>50.3</v>
      </c>
      <c r="H12" s="105">
        <v>50.3</v>
      </c>
      <c r="I12" s="105">
        <v>50.3</v>
      </c>
      <c r="J12" s="105">
        <v>50.3</v>
      </c>
      <c r="K12" s="105">
        <v>50.3</v>
      </c>
      <c r="L12" s="105">
        <v>0</v>
      </c>
      <c r="M12" s="105">
        <v>0</v>
      </c>
      <c r="N12" s="105">
        <v>0</v>
      </c>
      <c r="O12" s="105">
        <v>0</v>
      </c>
      <c r="P12" s="105">
        <v>25.6</v>
      </c>
      <c r="Q12" s="105">
        <v>25.6</v>
      </c>
      <c r="R12" s="105">
        <v>50.3</v>
      </c>
      <c r="S12" s="105">
        <v>50.3</v>
      </c>
      <c r="T12" s="105">
        <v>50.3</v>
      </c>
      <c r="U12" s="105">
        <v>50.3</v>
      </c>
      <c r="V12" s="105">
        <v>50.3</v>
      </c>
      <c r="W12" s="105">
        <v>50.4</v>
      </c>
      <c r="X12" s="105">
        <v>50.4</v>
      </c>
      <c r="Y12" s="105">
        <v>50</v>
      </c>
      <c r="Z12" s="105">
        <v>50</v>
      </c>
      <c r="AA12" s="105">
        <v>50.4</v>
      </c>
      <c r="AB12" s="105">
        <v>50.4</v>
      </c>
      <c r="AC12" s="105">
        <v>50.4</v>
      </c>
      <c r="AD12" s="105">
        <v>50.4</v>
      </c>
      <c r="AE12" s="105">
        <v>50.4</v>
      </c>
      <c r="AF12" s="105">
        <v>50.4</v>
      </c>
      <c r="AG12" s="126">
        <v>50</v>
      </c>
      <c r="AH12" s="20">
        <f t="shared" si="2"/>
        <v>50.4</v>
      </c>
      <c r="AI12" s="19">
        <f t="shared" si="3"/>
        <v>0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46.3</v>
      </c>
      <c r="C13" s="105">
        <v>46.3</v>
      </c>
      <c r="D13" s="105">
        <v>46.3</v>
      </c>
      <c r="E13" s="105">
        <v>46.3</v>
      </c>
      <c r="F13" s="105">
        <v>46.3</v>
      </c>
      <c r="G13" s="105">
        <v>46.3</v>
      </c>
      <c r="H13" s="105">
        <v>46.3</v>
      </c>
      <c r="I13" s="105">
        <v>46.3</v>
      </c>
      <c r="J13" s="105">
        <v>46.3</v>
      </c>
      <c r="K13" s="105">
        <v>46.3</v>
      </c>
      <c r="L13" s="105">
        <v>46.3</v>
      </c>
      <c r="M13" s="105">
        <v>46.3</v>
      </c>
      <c r="N13" s="105">
        <v>46.3</v>
      </c>
      <c r="O13" s="105">
        <v>46.3</v>
      </c>
      <c r="P13" s="105">
        <v>46.3</v>
      </c>
      <c r="Q13" s="105">
        <v>46.3</v>
      </c>
      <c r="R13" s="105">
        <v>46.3</v>
      </c>
      <c r="S13" s="105">
        <v>46.3</v>
      </c>
      <c r="T13" s="105">
        <v>46.3</v>
      </c>
      <c r="U13" s="105">
        <v>46.3</v>
      </c>
      <c r="V13" s="105">
        <v>26.4</v>
      </c>
      <c r="W13" s="105">
        <v>23.5</v>
      </c>
      <c r="X13" s="105">
        <v>23.4</v>
      </c>
      <c r="Y13" s="105">
        <v>23.5</v>
      </c>
      <c r="Z13" s="105">
        <v>45.9</v>
      </c>
      <c r="AA13" s="105">
        <v>45.9</v>
      </c>
      <c r="AB13" s="105">
        <v>45.9</v>
      </c>
      <c r="AC13" s="105">
        <v>45.9</v>
      </c>
      <c r="AD13" s="105">
        <v>45.9</v>
      </c>
      <c r="AE13" s="105">
        <v>45.9</v>
      </c>
      <c r="AF13" s="105">
        <v>45.9</v>
      </c>
      <c r="AG13" s="126">
        <v>45</v>
      </c>
      <c r="AH13" s="20">
        <f t="shared" si="2"/>
        <v>46.3</v>
      </c>
      <c r="AI13" s="19">
        <f t="shared" si="3"/>
        <v>23.4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30</v>
      </c>
      <c r="C14" s="105">
        <v>26</v>
      </c>
      <c r="D14" s="105">
        <v>26</v>
      </c>
      <c r="E14" s="105">
        <v>26</v>
      </c>
      <c r="F14" s="105">
        <v>26</v>
      </c>
      <c r="G14" s="105">
        <v>26</v>
      </c>
      <c r="H14" s="105">
        <v>26</v>
      </c>
      <c r="I14" s="105">
        <v>26</v>
      </c>
      <c r="J14" s="105">
        <v>26</v>
      </c>
      <c r="K14" s="105">
        <v>26</v>
      </c>
      <c r="L14" s="105">
        <v>26</v>
      </c>
      <c r="M14" s="105">
        <v>26</v>
      </c>
      <c r="N14" s="105">
        <v>28</v>
      </c>
      <c r="O14" s="105">
        <v>28</v>
      </c>
      <c r="P14" s="105">
        <v>28</v>
      </c>
      <c r="Q14" s="105">
        <v>28</v>
      </c>
      <c r="R14" s="105">
        <v>28</v>
      </c>
      <c r="S14" s="105">
        <v>28</v>
      </c>
      <c r="T14" s="105">
        <v>28</v>
      </c>
      <c r="U14" s="105">
        <v>28</v>
      </c>
      <c r="V14" s="105">
        <v>28</v>
      </c>
      <c r="W14" s="105">
        <v>26</v>
      </c>
      <c r="X14" s="105">
        <v>26</v>
      </c>
      <c r="Y14" s="105">
        <v>35</v>
      </c>
      <c r="Z14" s="105">
        <v>30</v>
      </c>
      <c r="AA14" s="105">
        <v>35</v>
      </c>
      <c r="AB14" s="105">
        <v>39</v>
      </c>
      <c r="AC14" s="105">
        <v>37</v>
      </c>
      <c r="AD14" s="105">
        <v>27</v>
      </c>
      <c r="AE14" s="105">
        <v>27</v>
      </c>
      <c r="AF14" s="105">
        <v>27</v>
      </c>
      <c r="AG14" s="126">
        <v>42</v>
      </c>
      <c r="AH14" s="20">
        <f t="shared" si="2"/>
        <v>39</v>
      </c>
      <c r="AI14" s="19">
        <f t="shared" si="3"/>
        <v>26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15</v>
      </c>
      <c r="N15" s="105">
        <v>16.2</v>
      </c>
      <c r="O15" s="105">
        <v>16.2</v>
      </c>
      <c r="P15" s="105">
        <v>0</v>
      </c>
      <c r="Q15" s="105">
        <v>0</v>
      </c>
      <c r="R15" s="105">
        <v>0</v>
      </c>
      <c r="S15" s="105">
        <v>0</v>
      </c>
      <c r="T15" s="105">
        <v>0</v>
      </c>
      <c r="U15" s="105">
        <v>0</v>
      </c>
      <c r="V15" s="105">
        <v>0</v>
      </c>
      <c r="W15" s="105">
        <v>0</v>
      </c>
      <c r="X15" s="105">
        <v>0</v>
      </c>
      <c r="Y15" s="105">
        <v>30</v>
      </c>
      <c r="Z15" s="105">
        <v>15</v>
      </c>
      <c r="AA15" s="105">
        <v>15</v>
      </c>
      <c r="AB15" s="105">
        <v>15</v>
      </c>
      <c r="AC15" s="105">
        <v>10</v>
      </c>
      <c r="AD15" s="105">
        <v>10</v>
      </c>
      <c r="AE15" s="105">
        <v>0</v>
      </c>
      <c r="AF15" s="105">
        <v>0</v>
      </c>
      <c r="AG15" s="96">
        <v>30</v>
      </c>
      <c r="AH15" s="20">
        <f t="shared" si="2"/>
        <v>30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25</v>
      </c>
      <c r="C16" s="105">
        <v>25</v>
      </c>
      <c r="D16" s="105">
        <v>25</v>
      </c>
      <c r="E16" s="105">
        <v>26</v>
      </c>
      <c r="F16" s="105">
        <v>26</v>
      </c>
      <c r="G16" s="105">
        <v>26</v>
      </c>
      <c r="H16" s="105">
        <v>26</v>
      </c>
      <c r="I16" s="105">
        <v>26</v>
      </c>
      <c r="J16" s="105">
        <v>26</v>
      </c>
      <c r="K16" s="105">
        <v>26</v>
      </c>
      <c r="L16" s="105">
        <v>26</v>
      </c>
      <c r="M16" s="105">
        <v>26</v>
      </c>
      <c r="N16" s="105">
        <v>26</v>
      </c>
      <c r="O16" s="105">
        <v>26</v>
      </c>
      <c r="P16" s="105">
        <v>26</v>
      </c>
      <c r="Q16" s="105">
        <v>26</v>
      </c>
      <c r="R16" s="105">
        <v>26</v>
      </c>
      <c r="S16" s="105">
        <v>26</v>
      </c>
      <c r="T16" s="105">
        <v>26</v>
      </c>
      <c r="U16" s="105">
        <v>26</v>
      </c>
      <c r="V16" s="105">
        <v>26</v>
      </c>
      <c r="W16" s="105">
        <v>25</v>
      </c>
      <c r="X16" s="105">
        <v>25</v>
      </c>
      <c r="Y16" s="105">
        <v>33.1</v>
      </c>
      <c r="Z16" s="105">
        <v>33.1</v>
      </c>
      <c r="AA16" s="105">
        <v>33.200000000000003</v>
      </c>
      <c r="AB16" s="105">
        <v>33.200000000000003</v>
      </c>
      <c r="AC16" s="105">
        <v>33.200000000000003</v>
      </c>
      <c r="AD16" s="105">
        <v>33.200000000000003</v>
      </c>
      <c r="AE16" s="105">
        <v>33.200000000000003</v>
      </c>
      <c r="AF16" s="105">
        <v>25</v>
      </c>
      <c r="AG16" s="126">
        <v>24.2</v>
      </c>
      <c r="AH16" s="20">
        <f t="shared" si="2"/>
        <v>33.200000000000003</v>
      </c>
      <c r="AI16" s="19">
        <f t="shared" si="3"/>
        <v>25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0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5">
        <v>27</v>
      </c>
      <c r="O17" s="105">
        <v>27</v>
      </c>
      <c r="P17" s="105">
        <v>27</v>
      </c>
      <c r="Q17" s="105">
        <v>0</v>
      </c>
      <c r="R17" s="105">
        <v>0</v>
      </c>
      <c r="S17" s="105">
        <v>0</v>
      </c>
      <c r="T17" s="105">
        <v>0</v>
      </c>
      <c r="U17" s="105">
        <v>0</v>
      </c>
      <c r="V17" s="105">
        <v>0</v>
      </c>
      <c r="W17" s="105">
        <v>0</v>
      </c>
      <c r="X17" s="105">
        <v>0</v>
      </c>
      <c r="Y17" s="105">
        <v>27</v>
      </c>
      <c r="Z17" s="105">
        <v>27</v>
      </c>
      <c r="AA17" s="105">
        <v>20</v>
      </c>
      <c r="AB17" s="105">
        <v>20</v>
      </c>
      <c r="AC17" s="105">
        <v>20</v>
      </c>
      <c r="AD17" s="105">
        <v>20</v>
      </c>
      <c r="AE17" s="105">
        <v>0</v>
      </c>
      <c r="AF17" s="105">
        <v>0</v>
      </c>
      <c r="AG17" s="96">
        <v>30</v>
      </c>
      <c r="AH17" s="20">
        <f t="shared" si="2"/>
        <v>27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25.1</v>
      </c>
      <c r="C18" s="105">
        <v>25.1</v>
      </c>
      <c r="D18" s="105">
        <v>25.1</v>
      </c>
      <c r="E18" s="105">
        <v>25.1</v>
      </c>
      <c r="F18" s="105">
        <v>25.1</v>
      </c>
      <c r="G18" s="105">
        <v>25.1</v>
      </c>
      <c r="H18" s="105">
        <v>25.1</v>
      </c>
      <c r="I18" s="105">
        <v>25.1</v>
      </c>
      <c r="J18" s="105">
        <v>25.1</v>
      </c>
      <c r="K18" s="105">
        <v>25.1</v>
      </c>
      <c r="L18" s="105">
        <v>25.1</v>
      </c>
      <c r="M18" s="105">
        <v>25.1</v>
      </c>
      <c r="N18" s="105">
        <v>25.1</v>
      </c>
      <c r="O18" s="105">
        <v>25.1</v>
      </c>
      <c r="P18" s="105">
        <v>25.1</v>
      </c>
      <c r="Q18" s="105">
        <v>25.1</v>
      </c>
      <c r="R18" s="105">
        <v>25.1</v>
      </c>
      <c r="S18" s="105">
        <v>25.1</v>
      </c>
      <c r="T18" s="105">
        <v>25.1</v>
      </c>
      <c r="U18" s="105">
        <v>25.1</v>
      </c>
      <c r="V18" s="105">
        <v>25.1</v>
      </c>
      <c r="W18" s="105">
        <v>25.2</v>
      </c>
      <c r="X18" s="105">
        <v>25.2</v>
      </c>
      <c r="Y18" s="105">
        <v>25.2</v>
      </c>
      <c r="Z18" s="105">
        <v>25.2</v>
      </c>
      <c r="AA18" s="105">
        <v>25.2</v>
      </c>
      <c r="AB18" s="105">
        <v>26</v>
      </c>
      <c r="AC18" s="105">
        <v>26</v>
      </c>
      <c r="AD18" s="105">
        <v>26</v>
      </c>
      <c r="AE18" s="105">
        <v>25.2</v>
      </c>
      <c r="AF18" s="105">
        <v>25.2</v>
      </c>
      <c r="AG18" s="126">
        <v>25</v>
      </c>
      <c r="AH18" s="20">
        <f t="shared" si="2"/>
        <v>26</v>
      </c>
      <c r="AI18" s="19">
        <f t="shared" si="3"/>
        <v>25.1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25</v>
      </c>
      <c r="C19" s="105">
        <v>25</v>
      </c>
      <c r="D19" s="105">
        <v>25</v>
      </c>
      <c r="E19" s="105">
        <v>25</v>
      </c>
      <c r="F19" s="105">
        <v>25</v>
      </c>
      <c r="G19" s="105">
        <v>25</v>
      </c>
      <c r="H19" s="105">
        <v>25</v>
      </c>
      <c r="I19" s="105">
        <v>25</v>
      </c>
      <c r="J19" s="105">
        <v>25</v>
      </c>
      <c r="K19" s="105">
        <v>25</v>
      </c>
      <c r="L19" s="105">
        <v>25</v>
      </c>
      <c r="M19" s="105">
        <v>25</v>
      </c>
      <c r="N19" s="105">
        <v>25</v>
      </c>
      <c r="O19" s="105">
        <v>25</v>
      </c>
      <c r="P19" s="105">
        <v>25</v>
      </c>
      <c r="Q19" s="105">
        <v>25</v>
      </c>
      <c r="R19" s="105">
        <v>25</v>
      </c>
      <c r="S19" s="105">
        <v>25</v>
      </c>
      <c r="T19" s="105">
        <v>0</v>
      </c>
      <c r="U19" s="105">
        <v>0</v>
      </c>
      <c r="V19" s="105">
        <v>25</v>
      </c>
      <c r="W19" s="105">
        <v>25</v>
      </c>
      <c r="X19" s="105">
        <v>25</v>
      </c>
      <c r="Y19" s="105">
        <v>25</v>
      </c>
      <c r="Z19" s="105">
        <v>25</v>
      </c>
      <c r="AA19" s="105">
        <v>25</v>
      </c>
      <c r="AB19" s="105">
        <v>25</v>
      </c>
      <c r="AC19" s="105">
        <v>25</v>
      </c>
      <c r="AD19" s="105">
        <v>25</v>
      </c>
      <c r="AE19" s="105">
        <v>25</v>
      </c>
      <c r="AF19" s="105">
        <v>25</v>
      </c>
      <c r="AG19" s="126">
        <v>25</v>
      </c>
      <c r="AH19" s="20">
        <f t="shared" si="2"/>
        <v>25</v>
      </c>
      <c r="AI19" s="19">
        <f t="shared" si="3"/>
        <v>0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25</v>
      </c>
      <c r="C20" s="105">
        <v>23</v>
      </c>
      <c r="D20" s="105">
        <v>23</v>
      </c>
      <c r="E20" s="105">
        <v>23</v>
      </c>
      <c r="F20" s="105">
        <v>23</v>
      </c>
      <c r="G20" s="105">
        <v>23</v>
      </c>
      <c r="H20" s="105">
        <v>23</v>
      </c>
      <c r="I20" s="105">
        <v>23</v>
      </c>
      <c r="J20" s="105">
        <v>23</v>
      </c>
      <c r="K20" s="105">
        <v>23</v>
      </c>
      <c r="L20" s="105">
        <v>23</v>
      </c>
      <c r="M20" s="105">
        <v>23</v>
      </c>
      <c r="N20" s="105">
        <v>23</v>
      </c>
      <c r="O20" s="105">
        <v>23</v>
      </c>
      <c r="P20" s="105">
        <v>23</v>
      </c>
      <c r="Q20" s="105">
        <v>23</v>
      </c>
      <c r="R20" s="105">
        <v>23</v>
      </c>
      <c r="S20" s="105">
        <v>23</v>
      </c>
      <c r="T20" s="105">
        <v>23</v>
      </c>
      <c r="U20" s="105">
        <v>23</v>
      </c>
      <c r="V20" s="105">
        <v>23</v>
      </c>
      <c r="W20" s="105">
        <v>23</v>
      </c>
      <c r="X20" s="105">
        <v>23</v>
      </c>
      <c r="Y20" s="105">
        <v>23</v>
      </c>
      <c r="Z20" s="105">
        <v>23</v>
      </c>
      <c r="AA20" s="105">
        <v>23</v>
      </c>
      <c r="AB20" s="105">
        <v>23</v>
      </c>
      <c r="AC20" s="105">
        <v>23</v>
      </c>
      <c r="AD20" s="105">
        <v>23</v>
      </c>
      <c r="AE20" s="105">
        <v>23</v>
      </c>
      <c r="AF20" s="105">
        <v>23</v>
      </c>
      <c r="AG20" s="126">
        <v>25</v>
      </c>
      <c r="AH20" s="20">
        <f t="shared" si="2"/>
        <v>25</v>
      </c>
      <c r="AI20" s="19">
        <f t="shared" si="3"/>
        <v>23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23.2</v>
      </c>
      <c r="C21" s="105">
        <v>23.2</v>
      </c>
      <c r="D21" s="105">
        <v>23.2</v>
      </c>
      <c r="E21" s="105">
        <v>23.2</v>
      </c>
      <c r="F21" s="105">
        <v>23.2</v>
      </c>
      <c r="G21" s="105">
        <v>23.2</v>
      </c>
      <c r="H21" s="105">
        <v>23.2</v>
      </c>
      <c r="I21" s="105">
        <v>23.2</v>
      </c>
      <c r="J21" s="105">
        <v>23.2</v>
      </c>
      <c r="K21" s="105">
        <v>23.2</v>
      </c>
      <c r="L21" s="105">
        <v>23.2</v>
      </c>
      <c r="M21" s="105">
        <v>23.2</v>
      </c>
      <c r="N21" s="105">
        <v>23.2</v>
      </c>
      <c r="O21" s="105">
        <v>23.2</v>
      </c>
      <c r="P21" s="105">
        <v>23.2</v>
      </c>
      <c r="Q21" s="105">
        <v>23.2</v>
      </c>
      <c r="R21" s="105">
        <v>23.2</v>
      </c>
      <c r="S21" s="105">
        <v>23.2</v>
      </c>
      <c r="T21" s="105">
        <v>23.2</v>
      </c>
      <c r="U21" s="105">
        <v>23.2</v>
      </c>
      <c r="V21" s="105">
        <v>23.2</v>
      </c>
      <c r="W21" s="105">
        <v>23.2</v>
      </c>
      <c r="X21" s="105">
        <v>23.2</v>
      </c>
      <c r="Y21" s="105">
        <v>23.2</v>
      </c>
      <c r="Z21" s="105">
        <v>23.2</v>
      </c>
      <c r="AA21" s="105">
        <v>23.2</v>
      </c>
      <c r="AB21" s="105">
        <v>23.2</v>
      </c>
      <c r="AC21" s="105">
        <v>23.2</v>
      </c>
      <c r="AD21" s="105">
        <v>23.2</v>
      </c>
      <c r="AE21" s="105">
        <v>23.2</v>
      </c>
      <c r="AF21" s="105">
        <v>23.2</v>
      </c>
      <c r="AG21" s="126">
        <v>23.5</v>
      </c>
      <c r="AH21" s="20">
        <f t="shared" si="2"/>
        <v>23.2</v>
      </c>
      <c r="AI21" s="19">
        <f t="shared" si="3"/>
        <v>23.2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22</v>
      </c>
      <c r="C22" s="105">
        <v>22</v>
      </c>
      <c r="D22" s="105">
        <v>22</v>
      </c>
      <c r="E22" s="105">
        <v>22</v>
      </c>
      <c r="F22" s="105">
        <v>22</v>
      </c>
      <c r="G22" s="105">
        <v>22</v>
      </c>
      <c r="H22" s="105">
        <v>22</v>
      </c>
      <c r="I22" s="105">
        <v>22</v>
      </c>
      <c r="J22" s="105">
        <v>22</v>
      </c>
      <c r="K22" s="105">
        <v>22</v>
      </c>
      <c r="L22" s="105">
        <v>22</v>
      </c>
      <c r="M22" s="105">
        <v>20</v>
      </c>
      <c r="N22" s="105">
        <v>20</v>
      </c>
      <c r="O22" s="105">
        <v>20</v>
      </c>
      <c r="P22" s="105">
        <v>20</v>
      </c>
      <c r="Q22" s="105">
        <v>20</v>
      </c>
      <c r="R22" s="105">
        <v>20</v>
      </c>
      <c r="S22" s="105">
        <v>20</v>
      </c>
      <c r="T22" s="105">
        <v>20</v>
      </c>
      <c r="U22" s="105">
        <v>20</v>
      </c>
      <c r="V22" s="105">
        <v>20</v>
      </c>
      <c r="W22" s="105">
        <v>20</v>
      </c>
      <c r="X22" s="105">
        <v>20</v>
      </c>
      <c r="Y22" s="105">
        <v>20</v>
      </c>
      <c r="Z22" s="105">
        <v>20</v>
      </c>
      <c r="AA22" s="105">
        <v>20</v>
      </c>
      <c r="AB22" s="105">
        <v>20</v>
      </c>
      <c r="AC22" s="105">
        <v>20</v>
      </c>
      <c r="AD22" s="105">
        <v>20</v>
      </c>
      <c r="AE22" s="105">
        <v>20</v>
      </c>
      <c r="AF22" s="105">
        <v>20</v>
      </c>
      <c r="AG22" s="126">
        <v>22.2</v>
      </c>
      <c r="AH22" s="20">
        <f t="shared" si="2"/>
        <v>22</v>
      </c>
      <c r="AI22" s="19">
        <f t="shared" si="3"/>
        <v>20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22</v>
      </c>
      <c r="C23" s="105">
        <v>22</v>
      </c>
      <c r="D23" s="105">
        <v>22</v>
      </c>
      <c r="E23" s="105">
        <v>22</v>
      </c>
      <c r="F23" s="105">
        <v>22</v>
      </c>
      <c r="G23" s="105">
        <v>22</v>
      </c>
      <c r="H23" s="105">
        <v>22</v>
      </c>
      <c r="I23" s="105">
        <v>22</v>
      </c>
      <c r="J23" s="105">
        <v>22</v>
      </c>
      <c r="K23" s="105">
        <v>22</v>
      </c>
      <c r="L23" s="105">
        <v>22</v>
      </c>
      <c r="M23" s="105">
        <v>22</v>
      </c>
      <c r="N23" s="105">
        <v>22</v>
      </c>
      <c r="O23" s="105">
        <v>22</v>
      </c>
      <c r="P23" s="105">
        <v>22</v>
      </c>
      <c r="Q23" s="105">
        <v>22</v>
      </c>
      <c r="R23" s="105">
        <v>22</v>
      </c>
      <c r="S23" s="105">
        <v>22</v>
      </c>
      <c r="T23" s="105">
        <v>22</v>
      </c>
      <c r="U23" s="105">
        <v>22</v>
      </c>
      <c r="V23" s="105">
        <v>22</v>
      </c>
      <c r="W23" s="105">
        <v>22</v>
      </c>
      <c r="X23" s="105">
        <v>22</v>
      </c>
      <c r="Y23" s="105">
        <v>22</v>
      </c>
      <c r="Z23" s="105">
        <v>22</v>
      </c>
      <c r="AA23" s="105">
        <v>22</v>
      </c>
      <c r="AB23" s="105">
        <v>22</v>
      </c>
      <c r="AC23" s="105">
        <v>22</v>
      </c>
      <c r="AD23" s="105">
        <v>22</v>
      </c>
      <c r="AE23" s="105">
        <v>22</v>
      </c>
      <c r="AF23" s="105">
        <v>22</v>
      </c>
      <c r="AG23" s="126">
        <v>22.1</v>
      </c>
      <c r="AH23" s="20">
        <f t="shared" si="2"/>
        <v>22</v>
      </c>
      <c r="AI23" s="19">
        <f t="shared" si="3"/>
        <v>22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22</v>
      </c>
      <c r="C24" s="105">
        <v>22</v>
      </c>
      <c r="D24" s="105">
        <v>22</v>
      </c>
      <c r="E24" s="105">
        <v>22</v>
      </c>
      <c r="F24" s="105">
        <v>22</v>
      </c>
      <c r="G24" s="105">
        <v>22</v>
      </c>
      <c r="H24" s="105">
        <v>22</v>
      </c>
      <c r="I24" s="105">
        <v>22</v>
      </c>
      <c r="J24" s="105">
        <v>22</v>
      </c>
      <c r="K24" s="105">
        <v>22</v>
      </c>
      <c r="L24" s="105">
        <v>22</v>
      </c>
      <c r="M24" s="105">
        <v>22</v>
      </c>
      <c r="N24" s="105">
        <v>22</v>
      </c>
      <c r="O24" s="105">
        <v>22</v>
      </c>
      <c r="P24" s="105">
        <v>22</v>
      </c>
      <c r="Q24" s="105">
        <v>22</v>
      </c>
      <c r="R24" s="105">
        <v>22</v>
      </c>
      <c r="S24" s="105">
        <v>22</v>
      </c>
      <c r="T24" s="105">
        <v>22</v>
      </c>
      <c r="U24" s="105">
        <v>22</v>
      </c>
      <c r="V24" s="105">
        <v>22</v>
      </c>
      <c r="W24" s="105">
        <v>22</v>
      </c>
      <c r="X24" s="105">
        <v>22</v>
      </c>
      <c r="Y24" s="105">
        <v>22</v>
      </c>
      <c r="Z24" s="105">
        <v>22</v>
      </c>
      <c r="AA24" s="105">
        <v>22</v>
      </c>
      <c r="AB24" s="105">
        <v>22</v>
      </c>
      <c r="AC24" s="105">
        <v>22</v>
      </c>
      <c r="AD24" s="105">
        <v>22</v>
      </c>
      <c r="AE24" s="105">
        <v>22</v>
      </c>
      <c r="AF24" s="105">
        <v>22</v>
      </c>
      <c r="AG24" s="126">
        <v>22</v>
      </c>
      <c r="AH24" s="20">
        <f t="shared" si="2"/>
        <v>22</v>
      </c>
      <c r="AI24" s="19">
        <f t="shared" si="3"/>
        <v>22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22</v>
      </c>
      <c r="C25" s="105">
        <v>22</v>
      </c>
      <c r="D25" s="105">
        <v>22</v>
      </c>
      <c r="E25" s="105">
        <v>22</v>
      </c>
      <c r="F25" s="105">
        <v>22</v>
      </c>
      <c r="G25" s="105">
        <v>22</v>
      </c>
      <c r="H25" s="105">
        <v>22</v>
      </c>
      <c r="I25" s="105">
        <v>22</v>
      </c>
      <c r="J25" s="105">
        <v>22</v>
      </c>
      <c r="K25" s="105">
        <v>22</v>
      </c>
      <c r="L25" s="105">
        <v>22</v>
      </c>
      <c r="M25" s="105">
        <v>22</v>
      </c>
      <c r="N25" s="105">
        <v>22</v>
      </c>
      <c r="O25" s="105">
        <v>22</v>
      </c>
      <c r="P25" s="105">
        <v>22</v>
      </c>
      <c r="Q25" s="105">
        <v>22</v>
      </c>
      <c r="R25" s="105">
        <v>22</v>
      </c>
      <c r="S25" s="105">
        <v>22</v>
      </c>
      <c r="T25" s="105">
        <v>22</v>
      </c>
      <c r="U25" s="105">
        <v>22</v>
      </c>
      <c r="V25" s="105">
        <v>22</v>
      </c>
      <c r="W25" s="105">
        <v>22</v>
      </c>
      <c r="X25" s="105">
        <v>22</v>
      </c>
      <c r="Y25" s="105">
        <v>22</v>
      </c>
      <c r="Z25" s="105">
        <v>22</v>
      </c>
      <c r="AA25" s="105">
        <v>22</v>
      </c>
      <c r="AB25" s="105">
        <v>22</v>
      </c>
      <c r="AC25" s="105">
        <v>22</v>
      </c>
      <c r="AD25" s="105">
        <v>22</v>
      </c>
      <c r="AE25" s="105">
        <v>22</v>
      </c>
      <c r="AF25" s="105">
        <v>22</v>
      </c>
      <c r="AG25" s="126">
        <v>22</v>
      </c>
      <c r="AH25" s="20">
        <f t="shared" si="2"/>
        <v>22</v>
      </c>
      <c r="AI25" s="19">
        <f t="shared" si="3"/>
        <v>22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5">
        <v>0</v>
      </c>
      <c r="M26" s="105">
        <v>10</v>
      </c>
      <c r="N26" s="105">
        <v>10</v>
      </c>
      <c r="O26" s="105">
        <v>10</v>
      </c>
      <c r="P26" s="105">
        <v>0</v>
      </c>
      <c r="Q26" s="105">
        <v>0</v>
      </c>
      <c r="R26" s="105">
        <v>0</v>
      </c>
      <c r="S26" s="105">
        <v>0</v>
      </c>
      <c r="T26" s="105">
        <v>0</v>
      </c>
      <c r="U26" s="105">
        <v>0</v>
      </c>
      <c r="V26" s="105">
        <v>0</v>
      </c>
      <c r="W26" s="105">
        <v>0</v>
      </c>
      <c r="X26" s="105">
        <v>0</v>
      </c>
      <c r="Y26" s="105">
        <v>10</v>
      </c>
      <c r="Z26" s="105">
        <v>10</v>
      </c>
      <c r="AA26" s="105">
        <v>10</v>
      </c>
      <c r="AB26" s="105">
        <v>10</v>
      </c>
      <c r="AC26" s="105">
        <v>8</v>
      </c>
      <c r="AD26" s="105">
        <v>8</v>
      </c>
      <c r="AE26" s="105">
        <v>0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14.9</v>
      </c>
      <c r="C27" s="105">
        <v>14.9</v>
      </c>
      <c r="D27" s="105">
        <v>14.9</v>
      </c>
      <c r="E27" s="105">
        <v>14.9</v>
      </c>
      <c r="F27" s="105">
        <v>14.9</v>
      </c>
      <c r="G27" s="105">
        <v>14.9</v>
      </c>
      <c r="H27" s="105">
        <v>14.9</v>
      </c>
      <c r="I27" s="105">
        <v>14.9</v>
      </c>
      <c r="J27" s="105">
        <v>14.9</v>
      </c>
      <c r="K27" s="105">
        <v>14.9</v>
      </c>
      <c r="L27" s="105">
        <v>14.9</v>
      </c>
      <c r="M27" s="105">
        <v>14.9</v>
      </c>
      <c r="N27" s="105">
        <v>14.9</v>
      </c>
      <c r="O27" s="105">
        <v>14.9</v>
      </c>
      <c r="P27" s="105">
        <v>14.9</v>
      </c>
      <c r="Q27" s="105">
        <v>14.9</v>
      </c>
      <c r="R27" s="105">
        <v>14.9</v>
      </c>
      <c r="S27" s="105">
        <v>14.9</v>
      </c>
      <c r="T27" s="105">
        <v>14.9</v>
      </c>
      <c r="U27" s="105">
        <v>14.9</v>
      </c>
      <c r="V27" s="105">
        <v>14.9</v>
      </c>
      <c r="W27" s="105">
        <v>14.9</v>
      </c>
      <c r="X27" s="105">
        <v>14.9</v>
      </c>
      <c r="Y27" s="105">
        <v>14.9</v>
      </c>
      <c r="Z27" s="105">
        <v>14.9</v>
      </c>
      <c r="AA27" s="105">
        <v>14.9</v>
      </c>
      <c r="AB27" s="105">
        <v>14.9</v>
      </c>
      <c r="AC27" s="105">
        <v>14.9</v>
      </c>
      <c r="AD27" s="105">
        <v>14.9</v>
      </c>
      <c r="AE27" s="105">
        <v>14.9</v>
      </c>
      <c r="AF27" s="105">
        <v>14.9</v>
      </c>
      <c r="AG27" s="126">
        <v>14.9</v>
      </c>
      <c r="AH27" s="20">
        <f t="shared" si="2"/>
        <v>14.9</v>
      </c>
      <c r="AI27" s="19">
        <f t="shared" si="3"/>
        <v>14.9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>
        <v>6.8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>
        <v>6.8</v>
      </c>
      <c r="AE28" s="105">
        <v>6.8</v>
      </c>
      <c r="AF28" s="105">
        <v>6.8</v>
      </c>
      <c r="AG28" s="126">
        <v>13.6</v>
      </c>
      <c r="AH28" s="20">
        <f t="shared" si="2"/>
        <v>6.8</v>
      </c>
      <c r="AI28" s="19">
        <f t="shared" si="3"/>
        <v>6.8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13</v>
      </c>
      <c r="C29" s="105">
        <v>13</v>
      </c>
      <c r="D29" s="105">
        <v>13</v>
      </c>
      <c r="E29" s="105">
        <v>13</v>
      </c>
      <c r="F29" s="105">
        <v>13</v>
      </c>
      <c r="G29" s="105">
        <v>13</v>
      </c>
      <c r="H29" s="105">
        <v>13</v>
      </c>
      <c r="I29" s="105">
        <v>13</v>
      </c>
      <c r="J29" s="105">
        <v>13</v>
      </c>
      <c r="K29" s="105">
        <v>13</v>
      </c>
      <c r="L29" s="105">
        <v>13</v>
      </c>
      <c r="M29" s="105">
        <v>13</v>
      </c>
      <c r="N29" s="105">
        <v>13</v>
      </c>
      <c r="O29" s="105">
        <v>13</v>
      </c>
      <c r="P29" s="105">
        <v>13</v>
      </c>
      <c r="Q29" s="105">
        <v>13</v>
      </c>
      <c r="R29" s="105">
        <v>13</v>
      </c>
      <c r="S29" s="105">
        <v>13</v>
      </c>
      <c r="T29" s="105">
        <v>13</v>
      </c>
      <c r="U29" s="105">
        <v>13</v>
      </c>
      <c r="V29" s="105">
        <v>13</v>
      </c>
      <c r="W29" s="105">
        <v>13</v>
      </c>
      <c r="X29" s="105">
        <v>13</v>
      </c>
      <c r="Y29" s="105">
        <v>13</v>
      </c>
      <c r="Z29" s="105">
        <v>13</v>
      </c>
      <c r="AA29" s="105">
        <v>13</v>
      </c>
      <c r="AB29" s="105">
        <v>13</v>
      </c>
      <c r="AC29" s="105">
        <v>13</v>
      </c>
      <c r="AD29" s="105">
        <v>13</v>
      </c>
      <c r="AE29" s="105">
        <v>13</v>
      </c>
      <c r="AF29" s="105">
        <v>13</v>
      </c>
      <c r="AG29" s="126">
        <v>13</v>
      </c>
      <c r="AH29" s="20">
        <f t="shared" si="2"/>
        <v>13</v>
      </c>
      <c r="AI29" s="19">
        <f t="shared" si="3"/>
        <v>13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0</v>
      </c>
      <c r="N30" s="105">
        <v>4</v>
      </c>
      <c r="O30" s="105">
        <v>12</v>
      </c>
      <c r="P30" s="105">
        <v>12</v>
      </c>
      <c r="Q30" s="105">
        <v>0</v>
      </c>
      <c r="R30" s="105">
        <v>0</v>
      </c>
      <c r="S30" s="105">
        <v>0</v>
      </c>
      <c r="T30" s="105">
        <v>0</v>
      </c>
      <c r="U30" s="105">
        <v>0</v>
      </c>
      <c r="V30" s="105">
        <v>0</v>
      </c>
      <c r="W30" s="105">
        <v>0</v>
      </c>
      <c r="X30" s="105">
        <v>0</v>
      </c>
      <c r="Y30" s="105">
        <v>12</v>
      </c>
      <c r="Z30" s="105">
        <v>5</v>
      </c>
      <c r="AA30" s="105">
        <v>5</v>
      </c>
      <c r="AB30" s="105">
        <v>5</v>
      </c>
      <c r="AC30" s="105">
        <v>5</v>
      </c>
      <c r="AD30" s="105">
        <v>5</v>
      </c>
      <c r="AE30" s="105">
        <v>5</v>
      </c>
      <c r="AF30" s="105">
        <v>0</v>
      </c>
      <c r="AG30" s="126">
        <v>12</v>
      </c>
      <c r="AH30" s="20">
        <f t="shared" si="2"/>
        <v>12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6</v>
      </c>
      <c r="C31" s="105">
        <v>6</v>
      </c>
      <c r="D31" s="105">
        <v>6</v>
      </c>
      <c r="E31" s="105">
        <v>6</v>
      </c>
      <c r="F31" s="105">
        <v>6</v>
      </c>
      <c r="G31" s="105">
        <v>6</v>
      </c>
      <c r="H31" s="105">
        <v>6</v>
      </c>
      <c r="I31" s="105">
        <v>6</v>
      </c>
      <c r="J31" s="105">
        <v>6</v>
      </c>
      <c r="K31" s="105">
        <v>6</v>
      </c>
      <c r="L31" s="105">
        <v>6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>
        <v>12</v>
      </c>
      <c r="AE31" s="105">
        <v>12</v>
      </c>
      <c r="AF31" s="105">
        <v>12</v>
      </c>
      <c r="AG31" s="126">
        <v>12</v>
      </c>
      <c r="AH31" s="20">
        <f t="shared" si="2"/>
        <v>12</v>
      </c>
      <c r="AI31" s="19">
        <f t="shared" si="3"/>
        <v>6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2</v>
      </c>
      <c r="C32" s="105">
        <v>2</v>
      </c>
      <c r="D32" s="105">
        <v>2</v>
      </c>
      <c r="E32" s="105">
        <v>2</v>
      </c>
      <c r="F32" s="105">
        <v>2</v>
      </c>
      <c r="G32" s="105">
        <v>2</v>
      </c>
      <c r="H32" s="105">
        <v>2</v>
      </c>
      <c r="I32" s="105">
        <v>2</v>
      </c>
      <c r="J32" s="105">
        <v>2</v>
      </c>
      <c r="K32" s="105">
        <v>2</v>
      </c>
      <c r="L32" s="105">
        <v>2</v>
      </c>
      <c r="M32" s="105">
        <v>2</v>
      </c>
      <c r="N32" s="105">
        <v>2</v>
      </c>
      <c r="O32" s="105">
        <v>2</v>
      </c>
      <c r="P32" s="105">
        <v>2</v>
      </c>
      <c r="Q32" s="105">
        <v>2</v>
      </c>
      <c r="R32" s="105">
        <v>2</v>
      </c>
      <c r="S32" s="105">
        <v>2</v>
      </c>
      <c r="T32" s="105">
        <v>2</v>
      </c>
      <c r="U32" s="105">
        <v>2</v>
      </c>
      <c r="V32" s="105">
        <v>2</v>
      </c>
      <c r="W32" s="105">
        <v>2</v>
      </c>
      <c r="X32" s="105">
        <v>2</v>
      </c>
      <c r="Y32" s="105">
        <v>2</v>
      </c>
      <c r="Z32" s="105">
        <v>2</v>
      </c>
      <c r="AA32" s="105">
        <v>2</v>
      </c>
      <c r="AB32" s="105">
        <v>2</v>
      </c>
      <c r="AC32" s="105">
        <v>2</v>
      </c>
      <c r="AD32" s="105">
        <v>2</v>
      </c>
      <c r="AE32" s="105">
        <v>2</v>
      </c>
      <c r="AF32" s="105">
        <v>2</v>
      </c>
      <c r="AG32" s="126">
        <v>12</v>
      </c>
      <c r="AH32" s="20">
        <f t="shared" si="2"/>
        <v>2</v>
      </c>
      <c r="AI32" s="19">
        <f t="shared" si="3"/>
        <v>2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10</v>
      </c>
      <c r="C33" s="105">
        <v>10</v>
      </c>
      <c r="D33" s="105">
        <v>10</v>
      </c>
      <c r="E33" s="105">
        <v>10</v>
      </c>
      <c r="F33" s="105">
        <v>10</v>
      </c>
      <c r="G33" s="105">
        <v>10</v>
      </c>
      <c r="H33" s="105">
        <v>10</v>
      </c>
      <c r="I33" s="105">
        <v>10</v>
      </c>
      <c r="J33" s="105">
        <v>10</v>
      </c>
      <c r="K33" s="105">
        <v>10</v>
      </c>
      <c r="L33" s="105">
        <v>10</v>
      </c>
      <c r="M33" s="105">
        <v>10</v>
      </c>
      <c r="N33" s="105">
        <v>10</v>
      </c>
      <c r="O33" s="105">
        <v>10</v>
      </c>
      <c r="P33" s="105">
        <v>10</v>
      </c>
      <c r="Q33" s="105">
        <v>10</v>
      </c>
      <c r="R33" s="105">
        <v>10</v>
      </c>
      <c r="S33" s="105">
        <v>10</v>
      </c>
      <c r="T33" s="105">
        <v>10</v>
      </c>
      <c r="U33" s="105">
        <v>10</v>
      </c>
      <c r="V33" s="105">
        <v>10</v>
      </c>
      <c r="W33" s="105">
        <v>10</v>
      </c>
      <c r="X33" s="105">
        <v>10</v>
      </c>
      <c r="Y33" s="105">
        <v>10</v>
      </c>
      <c r="Z33" s="105">
        <v>10</v>
      </c>
      <c r="AA33" s="105">
        <v>10</v>
      </c>
      <c r="AB33" s="105">
        <v>10</v>
      </c>
      <c r="AC33" s="105">
        <v>10</v>
      </c>
      <c r="AD33" s="105">
        <v>10</v>
      </c>
      <c r="AE33" s="105">
        <v>10</v>
      </c>
      <c r="AF33" s="105">
        <v>10</v>
      </c>
      <c r="AG33" s="125">
        <v>22</v>
      </c>
      <c r="AH33" s="20">
        <f t="shared" si="2"/>
        <v>10</v>
      </c>
      <c r="AI33" s="19">
        <f t="shared" si="3"/>
        <v>10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11</v>
      </c>
      <c r="C34" s="105">
        <v>11</v>
      </c>
      <c r="D34" s="105">
        <v>11</v>
      </c>
      <c r="E34" s="105">
        <v>11</v>
      </c>
      <c r="F34" s="105">
        <v>11</v>
      </c>
      <c r="G34" s="105">
        <v>11</v>
      </c>
      <c r="H34" s="105">
        <v>11</v>
      </c>
      <c r="I34" s="105">
        <v>11</v>
      </c>
      <c r="J34" s="105">
        <v>11</v>
      </c>
      <c r="K34" s="105">
        <v>11</v>
      </c>
      <c r="L34" s="105">
        <v>11</v>
      </c>
      <c r="M34" s="105">
        <v>11</v>
      </c>
      <c r="N34" s="105">
        <v>11</v>
      </c>
      <c r="O34" s="105">
        <v>11</v>
      </c>
      <c r="P34" s="105">
        <v>11</v>
      </c>
      <c r="Q34" s="105">
        <v>11</v>
      </c>
      <c r="R34" s="105">
        <v>11</v>
      </c>
      <c r="S34" s="105">
        <v>11</v>
      </c>
      <c r="T34" s="105">
        <v>11</v>
      </c>
      <c r="U34" s="105">
        <v>11</v>
      </c>
      <c r="V34" s="105">
        <v>11</v>
      </c>
      <c r="W34" s="105">
        <v>11</v>
      </c>
      <c r="X34" s="105">
        <v>11</v>
      </c>
      <c r="Y34" s="105">
        <v>11</v>
      </c>
      <c r="Z34" s="105">
        <v>11</v>
      </c>
      <c r="AA34" s="105">
        <v>11</v>
      </c>
      <c r="AB34" s="105">
        <v>11</v>
      </c>
      <c r="AC34" s="105">
        <v>11</v>
      </c>
      <c r="AD34" s="105">
        <v>11</v>
      </c>
      <c r="AE34" s="105">
        <v>11</v>
      </c>
      <c r="AF34" s="105">
        <v>11</v>
      </c>
      <c r="AG34" s="96">
        <v>11.88</v>
      </c>
      <c r="AH34" s="20">
        <f t="shared" si="2"/>
        <v>11</v>
      </c>
      <c r="AI34" s="19">
        <f t="shared" si="3"/>
        <v>11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>
        <v>11</v>
      </c>
      <c r="AG35" s="94">
        <v>11</v>
      </c>
      <c r="AH35" s="20">
        <f t="shared" si="2"/>
        <v>11</v>
      </c>
      <c r="AI35" s="19">
        <f t="shared" si="3"/>
        <v>11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>
        <v>9</v>
      </c>
      <c r="E36" s="105">
        <v>9</v>
      </c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>
        <v>9</v>
      </c>
      <c r="N36" s="105">
        <v>9</v>
      </c>
      <c r="O36" s="105">
        <v>9</v>
      </c>
      <c r="P36" s="105">
        <v>9</v>
      </c>
      <c r="Q36" s="105">
        <v>9</v>
      </c>
      <c r="R36" s="105">
        <v>9</v>
      </c>
      <c r="S36" s="105">
        <v>9</v>
      </c>
      <c r="T36" s="105">
        <v>9</v>
      </c>
      <c r="U36" s="105">
        <v>9</v>
      </c>
      <c r="V36" s="105">
        <v>9</v>
      </c>
      <c r="W36" s="105">
        <v>9</v>
      </c>
      <c r="X36" s="105">
        <v>9</v>
      </c>
      <c r="Y36" s="105">
        <v>9</v>
      </c>
      <c r="Z36" s="105">
        <v>9</v>
      </c>
      <c r="AA36" s="105">
        <v>9</v>
      </c>
      <c r="AB36" s="105">
        <v>9</v>
      </c>
      <c r="AC36" s="105">
        <v>9</v>
      </c>
      <c r="AD36" s="105">
        <v>9</v>
      </c>
      <c r="AE36" s="105">
        <v>9</v>
      </c>
      <c r="AF36" s="105">
        <v>9</v>
      </c>
      <c r="AG36" s="94">
        <v>10</v>
      </c>
      <c r="AH36" s="20">
        <f t="shared" si="2"/>
        <v>9</v>
      </c>
      <c r="AI36" s="19">
        <f t="shared" si="3"/>
        <v>9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2</v>
      </c>
      <c r="N37" s="105">
        <v>2</v>
      </c>
      <c r="O37" s="105">
        <v>2</v>
      </c>
      <c r="P37" s="105">
        <v>2</v>
      </c>
      <c r="Q37" s="105">
        <v>2</v>
      </c>
      <c r="R37" s="105">
        <v>2</v>
      </c>
      <c r="S37" s="105">
        <v>2</v>
      </c>
      <c r="T37" s="105">
        <v>2</v>
      </c>
      <c r="U37" s="105">
        <v>2</v>
      </c>
      <c r="V37" s="105">
        <v>2</v>
      </c>
      <c r="W37" s="105">
        <v>2</v>
      </c>
      <c r="X37" s="105">
        <v>2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2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f>99.7+85</f>
        <v>184.7</v>
      </c>
      <c r="C39" s="119">
        <v>185</v>
      </c>
      <c r="D39" s="119">
        <f>98.4+85.2</f>
        <v>183.60000000000002</v>
      </c>
      <c r="E39" s="119">
        <f>98.4+82</f>
        <v>180.4</v>
      </c>
      <c r="F39" s="119">
        <f>93+75</f>
        <v>168</v>
      </c>
      <c r="G39" s="119">
        <f>92.5+80.9</f>
        <v>173.4</v>
      </c>
      <c r="H39" s="119">
        <f>92.1+81.5</f>
        <v>173.6</v>
      </c>
      <c r="I39" s="119">
        <f>95.3+79.8</f>
        <v>175.1</v>
      </c>
      <c r="J39" s="119">
        <f>94.8+80.7</f>
        <v>175.5</v>
      </c>
      <c r="K39" s="119">
        <f>94.6+81.9</f>
        <v>176.5</v>
      </c>
      <c r="L39" s="113">
        <f>95.1+82.3</f>
        <v>177.39999999999998</v>
      </c>
      <c r="M39" s="113">
        <f>82+94.8</f>
        <v>176.8</v>
      </c>
      <c r="N39" s="113">
        <f>82.2+96.4</f>
        <v>178.60000000000002</v>
      </c>
      <c r="O39" s="113">
        <f>83.4+96.9</f>
        <v>180.3</v>
      </c>
      <c r="P39" s="113">
        <f>50.5+69.7</f>
        <v>120.2</v>
      </c>
      <c r="Q39" s="113">
        <f>63.7+92.6</f>
        <v>156.30000000000001</v>
      </c>
      <c r="R39" s="113">
        <f>77.3+98.4</f>
        <v>175.7</v>
      </c>
      <c r="S39" s="119">
        <f>99.2+76.8</f>
        <v>176</v>
      </c>
      <c r="T39" s="119">
        <f>98.7+50.5</f>
        <v>149.19999999999999</v>
      </c>
      <c r="U39" s="119">
        <f>94.2+50.2</f>
        <v>144.4</v>
      </c>
      <c r="V39" s="119">
        <f>86.6+82.8</f>
        <v>169.39999999999998</v>
      </c>
      <c r="W39" s="119">
        <f>82.7+97.9</f>
        <v>180.60000000000002</v>
      </c>
      <c r="X39" s="119">
        <f>80.7+97.3</f>
        <v>178</v>
      </c>
      <c r="Y39" s="119">
        <f>74.8+95.6</f>
        <v>170.39999999999998</v>
      </c>
      <c r="Z39" s="119">
        <f>74.8+95.6</f>
        <v>170.39999999999998</v>
      </c>
      <c r="AA39" s="119">
        <f>81.3+95.3</f>
        <v>176.6</v>
      </c>
      <c r="AB39" s="119">
        <f>81.3+95.3</f>
        <v>176.6</v>
      </c>
      <c r="AC39" s="119">
        <v>180</v>
      </c>
      <c r="AD39" s="119">
        <v>180</v>
      </c>
      <c r="AE39" s="119">
        <v>180</v>
      </c>
      <c r="AF39" s="119">
        <v>180</v>
      </c>
      <c r="AG39" s="94">
        <v>240</v>
      </c>
      <c r="AH39" s="20">
        <f t="shared" si="2"/>
        <v>185</v>
      </c>
      <c r="AI39" s="19">
        <f t="shared" si="3"/>
        <v>120.2</v>
      </c>
      <c r="AK39" s="41"/>
    </row>
    <row r="40" spans="1:88" ht="15.75" thickBot="1" x14ac:dyDescent="0.3">
      <c r="A40" s="118" t="s">
        <v>195</v>
      </c>
      <c r="B40" s="86">
        <f>SUM(B11:B38)</f>
        <v>775.4</v>
      </c>
      <c r="C40" s="86">
        <f t="shared" ref="C40:AG40" si="4">SUM(C11:C38)</f>
        <v>769.4</v>
      </c>
      <c r="D40" s="86">
        <f t="shared" si="4"/>
        <v>769.4</v>
      </c>
      <c r="E40" s="86">
        <f t="shared" si="4"/>
        <v>770.19999999999993</v>
      </c>
      <c r="F40" s="86">
        <f t="shared" si="4"/>
        <v>770.19999999999993</v>
      </c>
      <c r="G40" s="86">
        <f t="shared" si="4"/>
        <v>770.19999999999993</v>
      </c>
      <c r="H40" s="86">
        <f t="shared" si="4"/>
        <v>770.19999999999993</v>
      </c>
      <c r="I40" s="86">
        <f t="shared" si="4"/>
        <v>770.19999999999993</v>
      </c>
      <c r="J40" s="86">
        <f t="shared" si="4"/>
        <v>770.19999999999993</v>
      </c>
      <c r="K40" s="86">
        <f t="shared" si="4"/>
        <v>770.19999999999993</v>
      </c>
      <c r="L40" s="86">
        <f t="shared" si="4"/>
        <v>719.9</v>
      </c>
      <c r="M40" s="86">
        <f t="shared" si="4"/>
        <v>750.9</v>
      </c>
      <c r="N40" s="86">
        <f t="shared" si="4"/>
        <v>785.09999999999991</v>
      </c>
      <c r="O40" s="86">
        <f t="shared" si="4"/>
        <v>793.09999999999991</v>
      </c>
      <c r="P40" s="86">
        <f t="shared" si="4"/>
        <v>792.5</v>
      </c>
      <c r="Q40" s="86">
        <f t="shared" si="4"/>
        <v>753.5</v>
      </c>
      <c r="R40" s="86">
        <f t="shared" si="4"/>
        <v>778.19999999999993</v>
      </c>
      <c r="S40" s="86">
        <f t="shared" si="4"/>
        <v>778.19999999999993</v>
      </c>
      <c r="T40" s="86">
        <f t="shared" si="4"/>
        <v>753.2</v>
      </c>
      <c r="U40" s="86">
        <f t="shared" si="4"/>
        <v>753.2</v>
      </c>
      <c r="V40" s="86">
        <f t="shared" si="4"/>
        <v>758.3</v>
      </c>
      <c r="W40" s="86">
        <f t="shared" si="4"/>
        <v>752.8</v>
      </c>
      <c r="X40" s="86">
        <f t="shared" si="4"/>
        <v>752.8</v>
      </c>
      <c r="Y40" s="86">
        <f t="shared" si="4"/>
        <v>846.3</v>
      </c>
      <c r="Z40" s="86">
        <f t="shared" si="4"/>
        <v>841.7</v>
      </c>
      <c r="AA40" s="86">
        <f t="shared" si="4"/>
        <v>840.3</v>
      </c>
      <c r="AB40" s="86">
        <f t="shared" si="4"/>
        <v>845.09999999999991</v>
      </c>
      <c r="AC40" s="86">
        <f t="shared" si="4"/>
        <v>836.09999999999991</v>
      </c>
      <c r="AD40" s="86">
        <f t="shared" si="4"/>
        <v>826.09999999999991</v>
      </c>
      <c r="AE40" s="86">
        <f t="shared" si="4"/>
        <v>787.3</v>
      </c>
      <c r="AF40" s="86">
        <f t="shared" si="4"/>
        <v>774.09999999999991</v>
      </c>
      <c r="AG40" s="101">
        <f t="shared" si="4"/>
        <v>707.78000000000009</v>
      </c>
      <c r="AH40" s="20">
        <f t="shared" si="2"/>
        <v>846.3</v>
      </c>
      <c r="AI40" s="19">
        <f t="shared" si="3"/>
        <v>719.9</v>
      </c>
      <c r="AK40" s="41"/>
    </row>
    <row r="41" spans="1:88" x14ac:dyDescent="0.25">
      <c r="A41" s="117" t="s">
        <v>194</v>
      </c>
      <c r="B41" s="105">
        <v>456</v>
      </c>
      <c r="C41" s="105">
        <v>456</v>
      </c>
      <c r="D41" s="105">
        <v>456</v>
      </c>
      <c r="E41" s="105">
        <v>456</v>
      </c>
      <c r="F41" s="105">
        <v>420</v>
      </c>
      <c r="G41" s="105">
        <v>420</v>
      </c>
      <c r="H41" s="105">
        <v>420</v>
      </c>
      <c r="I41" s="105">
        <v>420</v>
      </c>
      <c r="J41" s="105">
        <v>420</v>
      </c>
      <c r="K41" s="105">
        <v>420</v>
      </c>
      <c r="L41" s="105">
        <v>456</v>
      </c>
      <c r="M41" s="105">
        <v>456</v>
      </c>
      <c r="N41" s="105">
        <v>456</v>
      </c>
      <c r="O41" s="105">
        <v>456</v>
      </c>
      <c r="P41" s="105">
        <v>456</v>
      </c>
      <c r="Q41" s="105">
        <v>456</v>
      </c>
      <c r="R41" s="105">
        <v>456</v>
      </c>
      <c r="S41" s="105">
        <v>456</v>
      </c>
      <c r="T41" s="105">
        <v>456</v>
      </c>
      <c r="U41" s="105">
        <v>456</v>
      </c>
      <c r="V41" s="105">
        <v>456</v>
      </c>
      <c r="W41" s="105">
        <v>380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456</v>
      </c>
      <c r="AD41" s="105">
        <v>456</v>
      </c>
      <c r="AE41" s="105">
        <v>456</v>
      </c>
      <c r="AF41" s="105">
        <v>456</v>
      </c>
      <c r="AG41" s="96">
        <v>456</v>
      </c>
      <c r="AH41" s="20">
        <f t="shared" si="2"/>
        <v>456</v>
      </c>
      <c r="AI41" s="19">
        <f t="shared" si="3"/>
        <v>380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>
        <v>60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>
        <v>22</v>
      </c>
      <c r="S43" s="107">
        <v>22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>
        <v>22</v>
      </c>
      <c r="AG43" s="106">
        <v>22.1</v>
      </c>
      <c r="AH43" s="20">
        <f t="shared" si="2"/>
        <v>22</v>
      </c>
      <c r="AI43" s="19">
        <f t="shared" si="3"/>
        <v>22</v>
      </c>
      <c r="AK43" s="41"/>
    </row>
    <row r="44" spans="1:88" ht="15.75" thickBot="1" x14ac:dyDescent="0.3">
      <c r="A44" s="114" t="s">
        <v>191</v>
      </c>
      <c r="B44" s="86">
        <f>SUM(B41:B43)</f>
        <v>538</v>
      </c>
      <c r="C44" s="86">
        <f t="shared" ref="C44:AG44" si="5">SUM(C41:C43)</f>
        <v>538</v>
      </c>
      <c r="D44" s="86">
        <f t="shared" si="5"/>
        <v>538</v>
      </c>
      <c r="E44" s="86">
        <f t="shared" si="5"/>
        <v>538</v>
      </c>
      <c r="F44" s="86">
        <f t="shared" si="5"/>
        <v>502</v>
      </c>
      <c r="G44" s="86">
        <f t="shared" si="5"/>
        <v>502</v>
      </c>
      <c r="H44" s="86">
        <f t="shared" si="5"/>
        <v>502</v>
      </c>
      <c r="I44" s="86">
        <f t="shared" si="5"/>
        <v>502</v>
      </c>
      <c r="J44" s="86">
        <f t="shared" si="5"/>
        <v>502</v>
      </c>
      <c r="K44" s="86">
        <f t="shared" si="5"/>
        <v>502</v>
      </c>
      <c r="L44" s="86">
        <f t="shared" si="5"/>
        <v>538</v>
      </c>
      <c r="M44" s="86">
        <f t="shared" si="5"/>
        <v>538</v>
      </c>
      <c r="N44" s="86">
        <f t="shared" si="5"/>
        <v>538</v>
      </c>
      <c r="O44" s="86">
        <f t="shared" si="5"/>
        <v>538</v>
      </c>
      <c r="P44" s="86">
        <f t="shared" si="5"/>
        <v>538</v>
      </c>
      <c r="Q44" s="86">
        <f t="shared" si="5"/>
        <v>538</v>
      </c>
      <c r="R44" s="86">
        <f t="shared" si="5"/>
        <v>538</v>
      </c>
      <c r="S44" s="86">
        <f t="shared" si="5"/>
        <v>538</v>
      </c>
      <c r="T44" s="86">
        <f t="shared" si="5"/>
        <v>538</v>
      </c>
      <c r="U44" s="86">
        <f t="shared" si="5"/>
        <v>538</v>
      </c>
      <c r="V44" s="86">
        <f t="shared" si="5"/>
        <v>538</v>
      </c>
      <c r="W44" s="86">
        <f t="shared" si="5"/>
        <v>462</v>
      </c>
      <c r="X44" s="86">
        <f t="shared" si="5"/>
        <v>538</v>
      </c>
      <c r="Y44" s="86">
        <f t="shared" si="5"/>
        <v>538</v>
      </c>
      <c r="Z44" s="86">
        <f t="shared" si="5"/>
        <v>538</v>
      </c>
      <c r="AA44" s="86">
        <f t="shared" si="5"/>
        <v>538</v>
      </c>
      <c r="AB44" s="86">
        <f t="shared" si="5"/>
        <v>538</v>
      </c>
      <c r="AC44" s="86">
        <f t="shared" si="5"/>
        <v>538</v>
      </c>
      <c r="AD44" s="86">
        <f t="shared" si="5"/>
        <v>538</v>
      </c>
      <c r="AE44" s="86">
        <f t="shared" si="5"/>
        <v>538</v>
      </c>
      <c r="AF44" s="86">
        <f t="shared" si="5"/>
        <v>538</v>
      </c>
      <c r="AG44" s="101">
        <f t="shared" si="5"/>
        <v>538.1</v>
      </c>
      <c r="AH44" s="20">
        <f t="shared" si="2"/>
        <v>538</v>
      </c>
      <c r="AI44" s="19">
        <f t="shared" si="3"/>
        <v>462</v>
      </c>
      <c r="AK44" s="41"/>
    </row>
    <row r="45" spans="1:88" x14ac:dyDescent="0.25">
      <c r="A45" s="97" t="s">
        <v>190</v>
      </c>
      <c r="B45" s="105">
        <v>144.4</v>
      </c>
      <c r="C45" s="105">
        <v>144.4</v>
      </c>
      <c r="D45" s="105">
        <v>144.69999999999999</v>
      </c>
      <c r="E45" s="105">
        <v>131.6</v>
      </c>
      <c r="F45" s="105">
        <v>131.19999999999999</v>
      </c>
      <c r="G45" s="105">
        <v>131.4</v>
      </c>
      <c r="H45" s="105">
        <v>131.4</v>
      </c>
      <c r="I45" s="105">
        <v>131.4</v>
      </c>
      <c r="J45" s="105">
        <v>131.30000000000001</v>
      </c>
      <c r="K45" s="105">
        <v>131.4</v>
      </c>
      <c r="L45" s="105">
        <v>144.19999999999999</v>
      </c>
      <c r="M45" s="105">
        <v>144.19999999999999</v>
      </c>
      <c r="N45" s="105">
        <v>144.19999999999999</v>
      </c>
      <c r="O45" s="105">
        <v>144.19999999999999</v>
      </c>
      <c r="P45" s="105">
        <v>144.19999999999999</v>
      </c>
      <c r="Q45" s="105">
        <v>144.19999999999999</v>
      </c>
      <c r="R45" s="105">
        <v>145</v>
      </c>
      <c r="S45" s="105">
        <v>145</v>
      </c>
      <c r="T45" s="105">
        <v>138</v>
      </c>
      <c r="U45" s="105">
        <v>144.4</v>
      </c>
      <c r="V45" s="105">
        <v>144.4</v>
      </c>
      <c r="W45" s="105">
        <v>137.9</v>
      </c>
      <c r="X45" s="105">
        <v>144.4</v>
      </c>
      <c r="Y45" s="105">
        <v>144.1</v>
      </c>
      <c r="Z45" s="105">
        <v>144.1</v>
      </c>
      <c r="AA45" s="105">
        <v>144.1</v>
      </c>
      <c r="AB45" s="105">
        <v>144.1</v>
      </c>
      <c r="AC45" s="105">
        <v>144.1</v>
      </c>
      <c r="AD45" s="105">
        <v>144.1</v>
      </c>
      <c r="AE45" s="105">
        <v>144.1</v>
      </c>
      <c r="AF45" s="105">
        <v>131</v>
      </c>
      <c r="AG45" s="96">
        <v>144</v>
      </c>
      <c r="AH45" s="20">
        <f t="shared" si="2"/>
        <v>145</v>
      </c>
      <c r="AI45" s="19">
        <f t="shared" si="3"/>
        <v>131</v>
      </c>
      <c r="AK45" s="41"/>
    </row>
    <row r="46" spans="1:88" x14ac:dyDescent="0.25">
      <c r="A46" s="95" t="s">
        <v>189</v>
      </c>
      <c r="B46" s="80">
        <v>70.599999999999994</v>
      </c>
      <c r="C46" s="80">
        <v>70.599999999999994</v>
      </c>
      <c r="D46" s="80">
        <v>60.1</v>
      </c>
      <c r="E46" s="80">
        <v>60</v>
      </c>
      <c r="F46" s="80">
        <v>60</v>
      </c>
      <c r="G46" s="80">
        <v>60</v>
      </c>
      <c r="H46" s="80">
        <v>60</v>
      </c>
      <c r="I46" s="80">
        <v>60</v>
      </c>
      <c r="J46" s="80">
        <v>62</v>
      </c>
      <c r="K46" s="80">
        <v>61.4</v>
      </c>
      <c r="L46" s="80">
        <v>70.3</v>
      </c>
      <c r="M46" s="80">
        <v>70.3</v>
      </c>
      <c r="N46" s="80">
        <v>70.3</v>
      </c>
      <c r="O46" s="80">
        <v>70.3</v>
      </c>
      <c r="P46" s="80">
        <v>70.3</v>
      </c>
      <c r="Q46" s="80">
        <v>70.3</v>
      </c>
      <c r="R46" s="80">
        <v>71.7</v>
      </c>
      <c r="S46" s="80">
        <v>71.7</v>
      </c>
      <c r="T46" s="80">
        <v>66</v>
      </c>
      <c r="U46" s="80">
        <v>72.400000000000006</v>
      </c>
      <c r="V46" s="80">
        <v>72.400000000000006</v>
      </c>
      <c r="W46" s="80">
        <v>72.5</v>
      </c>
      <c r="X46" s="80">
        <v>73.099999999999994</v>
      </c>
      <c r="Y46" s="80">
        <v>72.400000000000006</v>
      </c>
      <c r="Z46" s="80">
        <v>71.900000000000006</v>
      </c>
      <c r="AA46" s="80">
        <v>71.900000000000006</v>
      </c>
      <c r="AB46" s="80">
        <v>71.900000000000006</v>
      </c>
      <c r="AC46" s="80">
        <v>71.900000000000006</v>
      </c>
      <c r="AD46" s="80">
        <v>71.900000000000006</v>
      </c>
      <c r="AE46" s="80">
        <v>71.900000000000006</v>
      </c>
      <c r="AF46" s="80">
        <v>62</v>
      </c>
      <c r="AG46" s="94">
        <v>70</v>
      </c>
      <c r="AH46" s="20">
        <f t="shared" si="2"/>
        <v>73.099999999999994</v>
      </c>
      <c r="AI46" s="19">
        <f t="shared" si="3"/>
        <v>60</v>
      </c>
      <c r="AK46" s="41"/>
    </row>
    <row r="47" spans="1:88" x14ac:dyDescent="0.25">
      <c r="A47" s="95" t="s">
        <v>188</v>
      </c>
      <c r="B47" s="80">
        <v>62</v>
      </c>
      <c r="C47" s="80">
        <v>62</v>
      </c>
      <c r="D47" s="80">
        <v>61.6</v>
      </c>
      <c r="E47" s="80">
        <v>62.2</v>
      </c>
      <c r="F47" s="80">
        <v>62.5</v>
      </c>
      <c r="G47" s="80">
        <v>62.2</v>
      </c>
      <c r="H47" s="80">
        <v>63.1</v>
      </c>
      <c r="I47" s="80">
        <v>62.3</v>
      </c>
      <c r="J47" s="80">
        <v>62.5</v>
      </c>
      <c r="K47" s="80">
        <v>62.8</v>
      </c>
      <c r="L47" s="80">
        <v>62.1</v>
      </c>
      <c r="M47" s="80">
        <v>62.1</v>
      </c>
      <c r="N47" s="80">
        <v>62.1</v>
      </c>
      <c r="O47" s="80">
        <v>62.1</v>
      </c>
      <c r="P47" s="80">
        <v>62.1</v>
      </c>
      <c r="Q47" s="80">
        <v>62.1</v>
      </c>
      <c r="R47" s="80">
        <v>62</v>
      </c>
      <c r="S47" s="80">
        <v>62</v>
      </c>
      <c r="T47" s="80">
        <v>60</v>
      </c>
      <c r="U47" s="80">
        <v>62.2</v>
      </c>
      <c r="V47" s="80">
        <v>62.2</v>
      </c>
      <c r="W47" s="80">
        <v>62.9</v>
      </c>
      <c r="X47" s="80">
        <v>62.5</v>
      </c>
      <c r="Y47" s="80">
        <v>63.3</v>
      </c>
      <c r="Z47" s="80">
        <v>63.1</v>
      </c>
      <c r="AA47" s="80">
        <v>63.1</v>
      </c>
      <c r="AB47" s="80">
        <v>63.1</v>
      </c>
      <c r="AC47" s="80">
        <v>63.1</v>
      </c>
      <c r="AD47" s="80">
        <v>63.1</v>
      </c>
      <c r="AE47" s="80">
        <v>63.1</v>
      </c>
      <c r="AF47" s="80">
        <v>62.5</v>
      </c>
      <c r="AG47" s="94">
        <v>69</v>
      </c>
      <c r="AH47" s="20">
        <f t="shared" si="2"/>
        <v>63.3</v>
      </c>
      <c r="AI47" s="19">
        <f t="shared" si="3"/>
        <v>60</v>
      </c>
      <c r="AK47" s="41"/>
    </row>
    <row r="48" spans="1:88" x14ac:dyDescent="0.25">
      <c r="A48" s="95" t="s">
        <v>187</v>
      </c>
      <c r="B48" s="113">
        <v>60.7</v>
      </c>
      <c r="C48" s="113">
        <v>60.7</v>
      </c>
      <c r="D48" s="113">
        <v>50.6</v>
      </c>
      <c r="E48" s="113">
        <v>50.6</v>
      </c>
      <c r="F48" s="113">
        <v>50.6</v>
      </c>
      <c r="G48" s="113">
        <v>50.6</v>
      </c>
      <c r="H48" s="113">
        <v>50.2</v>
      </c>
      <c r="I48" s="113">
        <v>50.6</v>
      </c>
      <c r="J48" s="113">
        <v>50.4</v>
      </c>
      <c r="K48" s="113">
        <v>50.4</v>
      </c>
      <c r="L48" s="113">
        <v>61.4</v>
      </c>
      <c r="M48" s="113">
        <v>61.4</v>
      </c>
      <c r="N48" s="113">
        <v>0</v>
      </c>
      <c r="O48" s="113">
        <v>0</v>
      </c>
      <c r="P48" s="113">
        <v>60</v>
      </c>
      <c r="Q48" s="113">
        <v>60</v>
      </c>
      <c r="R48" s="113">
        <v>60</v>
      </c>
      <c r="S48" s="113">
        <v>60</v>
      </c>
      <c r="T48" s="113">
        <v>60</v>
      </c>
      <c r="U48" s="113">
        <v>60</v>
      </c>
      <c r="V48" s="113">
        <v>60</v>
      </c>
      <c r="W48" s="80">
        <v>61.4</v>
      </c>
      <c r="X48" s="80">
        <v>61.4</v>
      </c>
      <c r="Y48" s="80">
        <v>61.4</v>
      </c>
      <c r="Z48" s="80">
        <v>61.4</v>
      </c>
      <c r="AA48" s="80">
        <v>61.4</v>
      </c>
      <c r="AB48" s="80">
        <v>61.4</v>
      </c>
      <c r="AC48" s="80">
        <v>61.4</v>
      </c>
      <c r="AD48" s="80">
        <v>61.4</v>
      </c>
      <c r="AE48" s="80">
        <v>61.4</v>
      </c>
      <c r="AF48" s="113">
        <v>52.6</v>
      </c>
      <c r="AG48" s="94">
        <v>60</v>
      </c>
      <c r="AH48" s="20">
        <f t="shared" si="2"/>
        <v>61.4</v>
      </c>
      <c r="AI48" s="19">
        <f t="shared" si="3"/>
        <v>0</v>
      </c>
      <c r="AK48" s="41"/>
    </row>
    <row r="49" spans="1:41" x14ac:dyDescent="0.25">
      <c r="A49" s="95" t="s">
        <v>186</v>
      </c>
      <c r="B49" s="113">
        <v>29.4</v>
      </c>
      <c r="C49" s="113">
        <v>29.4</v>
      </c>
      <c r="D49" s="113">
        <v>29.4</v>
      </c>
      <c r="E49" s="113">
        <v>28.9</v>
      </c>
      <c r="F49" s="113">
        <v>28.9</v>
      </c>
      <c r="G49" s="113">
        <v>28.9</v>
      </c>
      <c r="H49" s="113">
        <v>28.9</v>
      </c>
      <c r="I49" s="113">
        <v>28.9</v>
      </c>
      <c r="J49" s="113">
        <v>28.9</v>
      </c>
      <c r="K49" s="113">
        <v>28.9</v>
      </c>
      <c r="L49" s="113">
        <v>28.9</v>
      </c>
      <c r="M49" s="113">
        <v>28.9</v>
      </c>
      <c r="N49" s="113">
        <v>29.4</v>
      </c>
      <c r="O49" s="113">
        <v>29.4</v>
      </c>
      <c r="P49" s="113">
        <v>29.4</v>
      </c>
      <c r="Q49" s="113">
        <v>29.4</v>
      </c>
      <c r="R49" s="113">
        <v>29.3</v>
      </c>
      <c r="S49" s="113">
        <v>29.3</v>
      </c>
      <c r="T49" s="113">
        <v>29.3</v>
      </c>
      <c r="U49" s="113">
        <v>29.3</v>
      </c>
      <c r="V49" s="113">
        <v>29.3</v>
      </c>
      <c r="W49" s="80">
        <v>29.7</v>
      </c>
      <c r="X49" s="80">
        <v>29.8</v>
      </c>
      <c r="Y49" s="80">
        <v>29.8</v>
      </c>
      <c r="Z49" s="80">
        <v>29.8</v>
      </c>
      <c r="AA49" s="80">
        <v>29.8</v>
      </c>
      <c r="AB49" s="80">
        <v>29.8</v>
      </c>
      <c r="AC49" s="80">
        <v>29.8</v>
      </c>
      <c r="AD49" s="80">
        <v>29.8</v>
      </c>
      <c r="AE49" s="80">
        <v>29.8</v>
      </c>
      <c r="AF49" s="113">
        <v>29.3</v>
      </c>
      <c r="AG49" s="94">
        <v>30</v>
      </c>
      <c r="AH49" s="20">
        <f t="shared" si="2"/>
        <v>29.8</v>
      </c>
      <c r="AI49" s="19">
        <f t="shared" si="3"/>
        <v>28.9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8</v>
      </c>
      <c r="N50" s="80">
        <v>10</v>
      </c>
      <c r="O50" s="80">
        <v>10</v>
      </c>
      <c r="P50" s="80">
        <v>10</v>
      </c>
      <c r="Q50" s="80">
        <v>12</v>
      </c>
      <c r="R50" s="80">
        <v>12</v>
      </c>
      <c r="S50" s="80">
        <v>8</v>
      </c>
      <c r="T50" s="80">
        <v>5</v>
      </c>
      <c r="U50" s="80">
        <v>3</v>
      </c>
      <c r="V50" s="80">
        <v>1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105">
        <v>0</v>
      </c>
      <c r="AG50" s="94">
        <v>25</v>
      </c>
      <c r="AH50" s="20">
        <f t="shared" si="2"/>
        <v>12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16.600000000000001</v>
      </c>
      <c r="C51" s="80">
        <v>16.600000000000001</v>
      </c>
      <c r="D51" s="80">
        <v>16.600000000000001</v>
      </c>
      <c r="E51" s="80">
        <v>16.8</v>
      </c>
      <c r="F51" s="80">
        <v>16.8</v>
      </c>
      <c r="G51" s="80">
        <v>16.8</v>
      </c>
      <c r="H51" s="80">
        <v>16.8</v>
      </c>
      <c r="I51" s="80">
        <v>16.8</v>
      </c>
      <c r="J51" s="80">
        <v>16.8</v>
      </c>
      <c r="K51" s="80">
        <v>16.8</v>
      </c>
      <c r="L51" s="80">
        <v>16.8</v>
      </c>
      <c r="M51" s="80">
        <v>16.8</v>
      </c>
      <c r="N51" s="80">
        <v>16.8</v>
      </c>
      <c r="O51" s="80">
        <v>16.8</v>
      </c>
      <c r="P51" s="80">
        <v>16.8</v>
      </c>
      <c r="Q51" s="80">
        <v>16.8</v>
      </c>
      <c r="R51" s="80">
        <v>16.600000000000001</v>
      </c>
      <c r="S51" s="80">
        <v>16.600000000000001</v>
      </c>
      <c r="T51" s="80">
        <v>16.600000000000001</v>
      </c>
      <c r="U51" s="80">
        <v>10.7</v>
      </c>
      <c r="V51" s="80">
        <v>10.7</v>
      </c>
      <c r="W51" s="105">
        <v>16.7</v>
      </c>
      <c r="X51" s="105">
        <v>16.899999999999999</v>
      </c>
      <c r="Y51" s="105">
        <v>17</v>
      </c>
      <c r="Z51" s="105">
        <v>17.100000000000001</v>
      </c>
      <c r="AA51" s="105">
        <v>17.100000000000001</v>
      </c>
      <c r="AB51" s="105">
        <v>17.100000000000001</v>
      </c>
      <c r="AC51" s="105">
        <v>17.100000000000001</v>
      </c>
      <c r="AD51" s="105">
        <v>17.100000000000001</v>
      </c>
      <c r="AE51" s="105">
        <v>17.100000000000001</v>
      </c>
      <c r="AF51" s="105">
        <v>17.100000000000001</v>
      </c>
      <c r="AG51" s="94">
        <v>24</v>
      </c>
      <c r="AH51" s="20">
        <f t="shared" si="2"/>
        <v>17.100000000000001</v>
      </c>
      <c r="AI51" s="19">
        <f t="shared" si="3"/>
        <v>10.7</v>
      </c>
      <c r="AK51" s="41"/>
    </row>
    <row r="52" spans="1:41" x14ac:dyDescent="0.25">
      <c r="A52" s="95" t="s">
        <v>183</v>
      </c>
      <c r="B52" s="80">
        <v>3.5</v>
      </c>
      <c r="C52" s="80">
        <v>3.5</v>
      </c>
      <c r="D52" s="80">
        <v>3.5</v>
      </c>
      <c r="E52" s="80">
        <v>3.5</v>
      </c>
      <c r="F52" s="80">
        <v>3.5</v>
      </c>
      <c r="G52" s="80">
        <v>3.5</v>
      </c>
      <c r="H52" s="80">
        <v>3.5</v>
      </c>
      <c r="I52" s="80">
        <v>3.5</v>
      </c>
      <c r="J52" s="80">
        <v>3.5</v>
      </c>
      <c r="K52" s="80">
        <v>3.5</v>
      </c>
      <c r="L52" s="80">
        <v>3.5</v>
      </c>
      <c r="M52" s="80">
        <v>3.5</v>
      </c>
      <c r="N52" s="80">
        <v>3.5</v>
      </c>
      <c r="O52" s="80">
        <v>3.5</v>
      </c>
      <c r="P52" s="80">
        <v>3.5</v>
      </c>
      <c r="Q52" s="80">
        <v>3.5</v>
      </c>
      <c r="R52" s="80">
        <v>3.5</v>
      </c>
      <c r="S52" s="80">
        <v>3.5</v>
      </c>
      <c r="T52" s="80">
        <v>3.5</v>
      </c>
      <c r="U52" s="80">
        <v>3.5</v>
      </c>
      <c r="V52" s="80">
        <v>3.5</v>
      </c>
      <c r="W52" s="80">
        <v>3.5</v>
      </c>
      <c r="X52" s="80">
        <v>3.5</v>
      </c>
      <c r="Y52" s="80">
        <v>3.5</v>
      </c>
      <c r="Z52" s="80">
        <v>3.5</v>
      </c>
      <c r="AA52" s="80">
        <v>3.5</v>
      </c>
      <c r="AB52" s="80">
        <v>3.5</v>
      </c>
      <c r="AC52" s="80">
        <v>3.5</v>
      </c>
      <c r="AD52" s="80">
        <v>3.5</v>
      </c>
      <c r="AE52" s="80">
        <v>3.5</v>
      </c>
      <c r="AF52" s="80">
        <v>3.5</v>
      </c>
      <c r="AG52" s="94">
        <v>15</v>
      </c>
      <c r="AH52" s="20">
        <f t="shared" si="2"/>
        <v>3.5</v>
      </c>
      <c r="AI52" s="19">
        <f t="shared" si="3"/>
        <v>3.5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8</v>
      </c>
      <c r="C53" s="80">
        <v>8</v>
      </c>
      <c r="D53" s="80">
        <v>8</v>
      </c>
      <c r="E53" s="80">
        <v>8</v>
      </c>
      <c r="F53" s="80">
        <v>8</v>
      </c>
      <c r="G53" s="80">
        <v>8</v>
      </c>
      <c r="H53" s="80">
        <v>8</v>
      </c>
      <c r="I53" s="80">
        <v>8</v>
      </c>
      <c r="J53" s="80">
        <v>8</v>
      </c>
      <c r="K53" s="80">
        <v>8</v>
      </c>
      <c r="L53" s="80">
        <v>8</v>
      </c>
      <c r="M53" s="80">
        <v>9.5</v>
      </c>
      <c r="N53" s="80">
        <v>9.5</v>
      </c>
      <c r="O53" s="80">
        <v>9.5</v>
      </c>
      <c r="P53" s="80">
        <v>9.5</v>
      </c>
      <c r="Q53" s="80">
        <v>9.5</v>
      </c>
      <c r="R53" s="80">
        <v>9.5</v>
      </c>
      <c r="S53" s="80">
        <v>9.5</v>
      </c>
      <c r="T53" s="80">
        <v>9.5</v>
      </c>
      <c r="U53" s="80">
        <v>8.9</v>
      </c>
      <c r="V53" s="80">
        <v>8.9</v>
      </c>
      <c r="W53" s="80">
        <v>9.5</v>
      </c>
      <c r="X53" s="80">
        <v>9.6</v>
      </c>
      <c r="Y53" s="80">
        <v>9.6999999999999993</v>
      </c>
      <c r="Z53" s="80">
        <v>9.6</v>
      </c>
      <c r="AA53" s="80">
        <v>9.6</v>
      </c>
      <c r="AB53" s="80">
        <v>9.6</v>
      </c>
      <c r="AC53" s="80">
        <v>9.6</v>
      </c>
      <c r="AD53" s="80">
        <v>9.6</v>
      </c>
      <c r="AE53" s="80">
        <v>9.6</v>
      </c>
      <c r="AF53" s="80">
        <v>9.6</v>
      </c>
      <c r="AG53" s="94">
        <v>14.1</v>
      </c>
      <c r="AH53" s="20">
        <f t="shared" si="2"/>
        <v>9.6999999999999993</v>
      </c>
      <c r="AI53" s="19">
        <f t="shared" si="3"/>
        <v>8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14.5</v>
      </c>
      <c r="C54" s="80">
        <v>14.5</v>
      </c>
      <c r="D54" s="80">
        <v>14.5</v>
      </c>
      <c r="E54" s="80">
        <v>14.4</v>
      </c>
      <c r="F54" s="80">
        <v>14.4</v>
      </c>
      <c r="G54" s="80">
        <v>14.4</v>
      </c>
      <c r="H54" s="80">
        <v>14.4</v>
      </c>
      <c r="I54" s="80">
        <v>14.4</v>
      </c>
      <c r="J54" s="80">
        <v>14.4</v>
      </c>
      <c r="K54" s="80">
        <v>14.4</v>
      </c>
      <c r="L54" s="80">
        <v>14.4</v>
      </c>
      <c r="M54" s="80">
        <v>14.4</v>
      </c>
      <c r="N54" s="80">
        <v>14.4</v>
      </c>
      <c r="O54" s="80">
        <v>14.4</v>
      </c>
      <c r="P54" s="80">
        <v>14.4</v>
      </c>
      <c r="Q54" s="80">
        <v>14.4</v>
      </c>
      <c r="R54" s="80">
        <v>14.4</v>
      </c>
      <c r="S54" s="80">
        <v>14.4</v>
      </c>
      <c r="T54" s="80">
        <v>14.4</v>
      </c>
      <c r="U54" s="80">
        <v>14.4</v>
      </c>
      <c r="V54" s="80">
        <v>14.4</v>
      </c>
      <c r="W54" s="80">
        <v>14.4</v>
      </c>
      <c r="X54" s="80">
        <v>14.4</v>
      </c>
      <c r="Y54" s="80">
        <v>14.3</v>
      </c>
      <c r="Z54" s="80">
        <v>14.3</v>
      </c>
      <c r="AA54" s="80">
        <v>14.3</v>
      </c>
      <c r="AB54" s="80">
        <v>14.3</v>
      </c>
      <c r="AC54" s="80">
        <v>14.3</v>
      </c>
      <c r="AD54" s="80">
        <v>14.3</v>
      </c>
      <c r="AE54" s="80">
        <v>14.3</v>
      </c>
      <c r="AF54" s="80">
        <v>14.3</v>
      </c>
      <c r="AG54" s="94">
        <v>14</v>
      </c>
      <c r="AH54" s="20">
        <f t="shared" si="2"/>
        <v>14.5</v>
      </c>
      <c r="AI54" s="19">
        <f t="shared" si="3"/>
        <v>14.3</v>
      </c>
      <c r="AK54" s="41"/>
    </row>
    <row r="55" spans="1:41" x14ac:dyDescent="0.25">
      <c r="A55" s="95" t="s">
        <v>180</v>
      </c>
      <c r="B55" s="80">
        <v>9.1999999999999993</v>
      </c>
      <c r="C55" s="80">
        <v>9.1999999999999993</v>
      </c>
      <c r="D55" s="80">
        <v>9.1999999999999993</v>
      </c>
      <c r="E55" s="80">
        <v>9.1999999999999993</v>
      </c>
      <c r="F55" s="80">
        <v>9.1999999999999993</v>
      </c>
      <c r="G55" s="80">
        <v>9.1999999999999993</v>
      </c>
      <c r="H55" s="80">
        <v>9.1999999999999993</v>
      </c>
      <c r="I55" s="80">
        <v>9.1999999999999993</v>
      </c>
      <c r="J55" s="80">
        <v>9.1999999999999993</v>
      </c>
      <c r="K55" s="80">
        <v>9.1999999999999993</v>
      </c>
      <c r="L55" s="80">
        <v>9.1999999999999993</v>
      </c>
      <c r="M55" s="80">
        <v>9.1999999999999993</v>
      </c>
      <c r="N55" s="80">
        <v>9.1999999999999993</v>
      </c>
      <c r="O55" s="80">
        <v>9.1999999999999993</v>
      </c>
      <c r="P55" s="80">
        <v>9.1999999999999993</v>
      </c>
      <c r="Q55" s="80">
        <v>9.1999999999999993</v>
      </c>
      <c r="R55" s="80">
        <v>9.1999999999999993</v>
      </c>
      <c r="S55" s="80">
        <v>9.1999999999999993</v>
      </c>
      <c r="T55" s="80">
        <v>9.1999999999999993</v>
      </c>
      <c r="U55" s="80">
        <v>9.1999999999999993</v>
      </c>
      <c r="V55" s="80">
        <v>9.1999999999999993</v>
      </c>
      <c r="W55" s="80">
        <v>9.1999999999999993</v>
      </c>
      <c r="X55" s="80">
        <v>9.1999999999999993</v>
      </c>
      <c r="Y55" s="80">
        <v>9.1999999999999993</v>
      </c>
      <c r="Z55" s="80">
        <v>9.1999999999999993</v>
      </c>
      <c r="AA55" s="80">
        <v>9.1999999999999993</v>
      </c>
      <c r="AB55" s="80">
        <v>9.1999999999999993</v>
      </c>
      <c r="AC55" s="80">
        <v>9.1999999999999993</v>
      </c>
      <c r="AD55" s="80">
        <v>9.1999999999999993</v>
      </c>
      <c r="AE55" s="80">
        <v>9.1999999999999993</v>
      </c>
      <c r="AF55" s="80">
        <v>9.1999999999999993</v>
      </c>
      <c r="AG55" s="94">
        <v>10.050000000000001</v>
      </c>
      <c r="AH55" s="20">
        <f t="shared" si="2"/>
        <v>9.1999999999999993</v>
      </c>
      <c r="AI55" s="19">
        <f t="shared" si="3"/>
        <v>9.1999999999999993</v>
      </c>
      <c r="AK55" s="41"/>
    </row>
    <row r="56" spans="1:41" x14ac:dyDescent="0.25">
      <c r="A56" s="95" t="s">
        <v>179</v>
      </c>
      <c r="B56" s="80">
        <v>6</v>
      </c>
      <c r="C56" s="80">
        <v>6</v>
      </c>
      <c r="D56" s="80">
        <v>6</v>
      </c>
      <c r="E56" s="80">
        <v>6</v>
      </c>
      <c r="F56" s="80">
        <v>6</v>
      </c>
      <c r="G56" s="80">
        <v>6</v>
      </c>
      <c r="H56" s="80">
        <v>6</v>
      </c>
      <c r="I56" s="80">
        <v>6</v>
      </c>
      <c r="J56" s="80">
        <v>6</v>
      </c>
      <c r="K56" s="80">
        <v>6</v>
      </c>
      <c r="L56" s="80">
        <v>6</v>
      </c>
      <c r="M56" s="80">
        <v>6</v>
      </c>
      <c r="N56" s="80">
        <v>6</v>
      </c>
      <c r="O56" s="80">
        <v>6</v>
      </c>
      <c r="P56" s="80">
        <v>6</v>
      </c>
      <c r="Q56" s="80">
        <v>6</v>
      </c>
      <c r="R56" s="80">
        <v>6</v>
      </c>
      <c r="S56" s="80">
        <v>6</v>
      </c>
      <c r="T56" s="80">
        <v>6</v>
      </c>
      <c r="U56" s="80">
        <v>6</v>
      </c>
      <c r="V56" s="80">
        <v>6</v>
      </c>
      <c r="W56" s="80">
        <v>6</v>
      </c>
      <c r="X56" s="80">
        <v>6</v>
      </c>
      <c r="Y56" s="80">
        <v>6</v>
      </c>
      <c r="Z56" s="80">
        <v>6</v>
      </c>
      <c r="AA56" s="80">
        <v>6</v>
      </c>
      <c r="AB56" s="80">
        <v>6</v>
      </c>
      <c r="AC56" s="80">
        <v>6</v>
      </c>
      <c r="AD56" s="80">
        <v>6</v>
      </c>
      <c r="AE56" s="80">
        <v>6</v>
      </c>
      <c r="AF56" s="80">
        <v>6</v>
      </c>
      <c r="AG56" s="94">
        <v>6.2</v>
      </c>
      <c r="AH56" s="20">
        <f t="shared" si="2"/>
        <v>6</v>
      </c>
      <c r="AI56" s="19">
        <f t="shared" si="3"/>
        <v>6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>SUM(B45:B57)</f>
        <v>428.44</v>
      </c>
      <c r="C58" s="86">
        <f t="shared" ref="C58:AG58" si="6">SUM(C45:C57)</f>
        <v>428.44</v>
      </c>
      <c r="D58" s="86">
        <f t="shared" si="6"/>
        <v>407.74</v>
      </c>
      <c r="E58" s="86">
        <f t="shared" si="6"/>
        <v>394.74</v>
      </c>
      <c r="F58" s="86">
        <f t="shared" si="6"/>
        <v>394.64</v>
      </c>
      <c r="G58" s="86">
        <f t="shared" si="6"/>
        <v>394.54</v>
      </c>
      <c r="H58" s="86">
        <f t="shared" si="6"/>
        <v>395.03999999999996</v>
      </c>
      <c r="I58" s="86">
        <f t="shared" si="6"/>
        <v>394.64</v>
      </c>
      <c r="J58" s="86">
        <f t="shared" si="6"/>
        <v>396.53999999999996</v>
      </c>
      <c r="K58" s="86">
        <f t="shared" si="6"/>
        <v>396.34</v>
      </c>
      <c r="L58" s="86">
        <f t="shared" si="6"/>
        <v>428.34</v>
      </c>
      <c r="M58" s="86">
        <f t="shared" si="6"/>
        <v>437.84</v>
      </c>
      <c r="N58" s="86">
        <f t="shared" si="6"/>
        <v>378.94</v>
      </c>
      <c r="O58" s="86">
        <f t="shared" si="6"/>
        <v>378.94</v>
      </c>
      <c r="P58" s="86">
        <f t="shared" si="6"/>
        <v>438.94</v>
      </c>
      <c r="Q58" s="86">
        <f t="shared" si="6"/>
        <v>440.94</v>
      </c>
      <c r="R58" s="86">
        <f t="shared" si="6"/>
        <v>442.74</v>
      </c>
      <c r="S58" s="86">
        <f t="shared" si="6"/>
        <v>438.74</v>
      </c>
      <c r="T58" s="86">
        <f t="shared" si="6"/>
        <v>421.04</v>
      </c>
      <c r="U58" s="86">
        <f t="shared" si="6"/>
        <v>427.53999999999996</v>
      </c>
      <c r="V58" s="86">
        <f t="shared" si="6"/>
        <v>425.53999999999996</v>
      </c>
      <c r="W58" s="86">
        <f t="shared" si="6"/>
        <v>427.23999999999995</v>
      </c>
      <c r="X58" s="86">
        <f t="shared" si="6"/>
        <v>434.34</v>
      </c>
      <c r="Y58" s="86">
        <f t="shared" si="6"/>
        <v>434.24</v>
      </c>
      <c r="Z58" s="86">
        <f t="shared" si="6"/>
        <v>433.54000000000008</v>
      </c>
      <c r="AA58" s="86">
        <f t="shared" si="6"/>
        <v>433.54000000000008</v>
      </c>
      <c r="AB58" s="86">
        <f t="shared" si="6"/>
        <v>433.54000000000008</v>
      </c>
      <c r="AC58" s="86">
        <f t="shared" si="6"/>
        <v>433.54000000000008</v>
      </c>
      <c r="AD58" s="86">
        <f t="shared" si="6"/>
        <v>433.54000000000008</v>
      </c>
      <c r="AE58" s="86">
        <f t="shared" si="6"/>
        <v>433.54000000000008</v>
      </c>
      <c r="AF58" s="86">
        <f t="shared" si="6"/>
        <v>400.6400000000001</v>
      </c>
      <c r="AG58" s="101">
        <f t="shared" si="6"/>
        <v>489.91</v>
      </c>
      <c r="AH58" s="20">
        <f t="shared" si="2"/>
        <v>442.74</v>
      </c>
      <c r="AI58" s="19">
        <f t="shared" si="3"/>
        <v>378.94</v>
      </c>
      <c r="AK58" s="41"/>
    </row>
    <row r="59" spans="1:41" x14ac:dyDescent="0.25">
      <c r="A59" s="97" t="s">
        <v>177</v>
      </c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>
        <v>0</v>
      </c>
      <c r="S59" s="105"/>
      <c r="T59" s="105"/>
      <c r="U59" s="105"/>
      <c r="V59" s="105"/>
      <c r="W59" s="105">
        <v>0</v>
      </c>
      <c r="X59" s="105">
        <v>0</v>
      </c>
      <c r="Y59" s="105">
        <v>0</v>
      </c>
      <c r="Z59" s="105"/>
      <c r="AA59" s="105">
        <v>0</v>
      </c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/>
      <c r="T60" s="80"/>
      <c r="U60" s="80"/>
      <c r="V60" s="80"/>
      <c r="W60" s="80">
        <v>0</v>
      </c>
      <c r="X60" s="80">
        <v>0</v>
      </c>
      <c r="Y60" s="80">
        <v>0</v>
      </c>
      <c r="Z60" s="80"/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/>
      <c r="T61" s="107"/>
      <c r="U61" s="107"/>
      <c r="V61" s="107"/>
      <c r="W61" s="107">
        <v>0</v>
      </c>
      <c r="X61" s="107">
        <v>0</v>
      </c>
      <c r="Y61" s="107">
        <v>0</v>
      </c>
      <c r="Z61" s="107"/>
      <c r="AA61" s="107">
        <v>0</v>
      </c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>SUM(B59:B61)</f>
        <v>0</v>
      </c>
      <c r="C62" s="86">
        <f t="shared" ref="C62:AG62" si="7">SUM(C59:C61)</f>
        <v>0</v>
      </c>
      <c r="D62" s="86">
        <f t="shared" si="7"/>
        <v>0</v>
      </c>
      <c r="E62" s="86">
        <f t="shared" si="7"/>
        <v>0</v>
      </c>
      <c r="F62" s="86">
        <f t="shared" si="7"/>
        <v>0</v>
      </c>
      <c r="G62" s="86">
        <f t="shared" si="7"/>
        <v>0</v>
      </c>
      <c r="H62" s="86">
        <f t="shared" si="7"/>
        <v>0</v>
      </c>
      <c r="I62" s="86">
        <f t="shared" si="7"/>
        <v>0</v>
      </c>
      <c r="J62" s="86">
        <f t="shared" si="7"/>
        <v>0</v>
      </c>
      <c r="K62" s="86">
        <f t="shared" si="7"/>
        <v>0</v>
      </c>
      <c r="L62" s="86">
        <f t="shared" si="7"/>
        <v>0</v>
      </c>
      <c r="M62" s="86">
        <f t="shared" si="7"/>
        <v>0</v>
      </c>
      <c r="N62" s="86">
        <f t="shared" si="7"/>
        <v>0</v>
      </c>
      <c r="O62" s="86">
        <f t="shared" si="7"/>
        <v>0</v>
      </c>
      <c r="P62" s="86">
        <f t="shared" si="7"/>
        <v>0</v>
      </c>
      <c r="Q62" s="86">
        <f t="shared" si="7"/>
        <v>0</v>
      </c>
      <c r="R62" s="86">
        <f t="shared" si="7"/>
        <v>0</v>
      </c>
      <c r="S62" s="86">
        <f t="shared" si="7"/>
        <v>0</v>
      </c>
      <c r="T62" s="86">
        <f t="shared" si="7"/>
        <v>0</v>
      </c>
      <c r="U62" s="86">
        <f t="shared" si="7"/>
        <v>0</v>
      </c>
      <c r="V62" s="86">
        <f t="shared" si="7"/>
        <v>0</v>
      </c>
      <c r="W62" s="86">
        <f t="shared" si="7"/>
        <v>0</v>
      </c>
      <c r="X62" s="86">
        <f t="shared" si="7"/>
        <v>0</v>
      </c>
      <c r="Y62" s="86">
        <f t="shared" si="7"/>
        <v>0</v>
      </c>
      <c r="Z62" s="86">
        <f t="shared" si="7"/>
        <v>0</v>
      </c>
      <c r="AA62" s="86">
        <f t="shared" si="7"/>
        <v>0</v>
      </c>
      <c r="AB62" s="86">
        <f t="shared" si="7"/>
        <v>0</v>
      </c>
      <c r="AC62" s="86">
        <f t="shared" si="7"/>
        <v>0</v>
      </c>
      <c r="AD62" s="86">
        <f t="shared" si="7"/>
        <v>0</v>
      </c>
      <c r="AE62" s="86">
        <f t="shared" si="7"/>
        <v>0</v>
      </c>
      <c r="AF62" s="86">
        <f t="shared" si="7"/>
        <v>0</v>
      </c>
      <c r="AG62" s="101">
        <f t="shared" si="7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>
        <v>0</v>
      </c>
      <c r="S63" s="105">
        <v>0</v>
      </c>
      <c r="T63" s="105">
        <v>0</v>
      </c>
      <c r="U63" s="105">
        <v>0</v>
      </c>
      <c r="V63" s="105">
        <v>0</v>
      </c>
      <c r="W63" s="105">
        <v>0</v>
      </c>
      <c r="X63" s="105">
        <v>0</v>
      </c>
      <c r="Y63" s="105">
        <v>0</v>
      </c>
      <c r="Z63" s="105">
        <v>0</v>
      </c>
      <c r="AA63" s="105">
        <v>0</v>
      </c>
      <c r="AB63" s="105">
        <v>0</v>
      </c>
      <c r="AC63" s="105">
        <v>0</v>
      </c>
      <c r="AD63" s="105">
        <v>0</v>
      </c>
      <c r="AE63" s="105">
        <v>0</v>
      </c>
      <c r="AF63" s="105">
        <v>0</v>
      </c>
      <c r="AG63" s="96"/>
      <c r="AH63" s="20">
        <f t="shared" si="2"/>
        <v>0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-387.3</v>
      </c>
      <c r="C65" s="80">
        <v>-408.5</v>
      </c>
      <c r="D65" s="80">
        <v>-418.7</v>
      </c>
      <c r="E65" s="80">
        <v>-422</v>
      </c>
      <c r="F65" s="80">
        <v>-415</v>
      </c>
      <c r="G65" s="80">
        <v>-410</v>
      </c>
      <c r="H65" s="80">
        <v>-400</v>
      </c>
      <c r="I65" s="80">
        <v>-425</v>
      </c>
      <c r="J65" s="80">
        <v>-430</v>
      </c>
      <c r="K65" s="80">
        <v>-415</v>
      </c>
      <c r="L65" s="80">
        <v>-410</v>
      </c>
      <c r="M65" s="80">
        <v>-383.7</v>
      </c>
      <c r="N65" s="80">
        <v>-387.4</v>
      </c>
      <c r="O65" s="80">
        <v>-364.1</v>
      </c>
      <c r="P65" s="80">
        <v>-388</v>
      </c>
      <c r="Q65" s="80">
        <v>-377.1</v>
      </c>
      <c r="R65" s="80">
        <v>-418</v>
      </c>
      <c r="S65" s="80">
        <v>-424</v>
      </c>
      <c r="T65" s="80">
        <v>-365</v>
      </c>
      <c r="U65" s="80">
        <v>-413</v>
      </c>
      <c r="V65" s="80">
        <v>-463</v>
      </c>
      <c r="W65" s="80">
        <v>-405.2</v>
      </c>
      <c r="X65" s="80">
        <v>-400.4</v>
      </c>
      <c r="Y65" s="80">
        <v>-329.6</v>
      </c>
      <c r="Z65" s="80">
        <v>-310.39999999999998</v>
      </c>
      <c r="AA65" s="80">
        <v>-335.9</v>
      </c>
      <c r="AB65" s="80">
        <v>-363</v>
      </c>
      <c r="AC65" s="80">
        <v>-371</v>
      </c>
      <c r="AD65" s="80">
        <v>-400</v>
      </c>
      <c r="AE65" s="80">
        <v>-420</v>
      </c>
      <c r="AF65" s="80">
        <v>-430</v>
      </c>
      <c r="AG65" s="102"/>
      <c r="AH65" s="20">
        <f t="shared" si="2"/>
        <v>-310.39999999999998</v>
      </c>
      <c r="AI65" s="19">
        <f t="shared" si="3"/>
        <v>-463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>SUMIF(B63:B73,"&gt;0")</f>
        <v>0</v>
      </c>
      <c r="C74" s="86">
        <f t="shared" ref="C74:AF74" si="8">SUMIF(C63:C73,"&gt;0")</f>
        <v>0</v>
      </c>
      <c r="D74" s="86">
        <f t="shared" si="8"/>
        <v>0</v>
      </c>
      <c r="E74" s="86">
        <f t="shared" si="8"/>
        <v>0</v>
      </c>
      <c r="F74" s="86">
        <f t="shared" si="8"/>
        <v>0</v>
      </c>
      <c r="G74" s="86">
        <f t="shared" si="8"/>
        <v>0</v>
      </c>
      <c r="H74" s="86">
        <f t="shared" si="8"/>
        <v>0</v>
      </c>
      <c r="I74" s="86">
        <f t="shared" si="8"/>
        <v>0</v>
      </c>
      <c r="J74" s="86">
        <f t="shared" si="8"/>
        <v>0</v>
      </c>
      <c r="K74" s="86">
        <f t="shared" si="8"/>
        <v>0</v>
      </c>
      <c r="L74" s="86">
        <f t="shared" si="8"/>
        <v>0</v>
      </c>
      <c r="M74" s="86">
        <f t="shared" si="8"/>
        <v>0</v>
      </c>
      <c r="N74" s="86">
        <f t="shared" si="8"/>
        <v>0</v>
      </c>
      <c r="O74" s="86">
        <f t="shared" si="8"/>
        <v>0</v>
      </c>
      <c r="P74" s="86">
        <f t="shared" si="8"/>
        <v>0</v>
      </c>
      <c r="Q74" s="86">
        <f t="shared" si="8"/>
        <v>0</v>
      </c>
      <c r="R74" s="86">
        <f t="shared" si="8"/>
        <v>0</v>
      </c>
      <c r="S74" s="86">
        <f t="shared" si="8"/>
        <v>0</v>
      </c>
      <c r="T74" s="86">
        <f t="shared" si="8"/>
        <v>0</v>
      </c>
      <c r="U74" s="86">
        <f t="shared" si="8"/>
        <v>0</v>
      </c>
      <c r="V74" s="86">
        <f t="shared" si="8"/>
        <v>0</v>
      </c>
      <c r="W74" s="86">
        <f t="shared" si="8"/>
        <v>0</v>
      </c>
      <c r="X74" s="86">
        <f t="shared" si="8"/>
        <v>0</v>
      </c>
      <c r="Y74" s="86">
        <f t="shared" si="8"/>
        <v>0</v>
      </c>
      <c r="Z74" s="86">
        <f t="shared" si="8"/>
        <v>0</v>
      </c>
      <c r="AA74" s="86">
        <f t="shared" si="8"/>
        <v>0</v>
      </c>
      <c r="AB74" s="86">
        <f t="shared" si="8"/>
        <v>0</v>
      </c>
      <c r="AC74" s="86">
        <f t="shared" si="8"/>
        <v>0</v>
      </c>
      <c r="AD74" s="86">
        <f t="shared" si="8"/>
        <v>0</v>
      </c>
      <c r="AE74" s="86">
        <f t="shared" si="8"/>
        <v>0</v>
      </c>
      <c r="AF74" s="86">
        <f t="shared" si="8"/>
        <v>0</v>
      </c>
      <c r="AG74" s="85">
        <f>SUM(AG63:AG73)</f>
        <v>0</v>
      </c>
      <c r="AH74" s="20">
        <f t="shared" si="2"/>
        <v>0</v>
      </c>
      <c r="AI74" s="19">
        <f t="shared" si="3"/>
        <v>0</v>
      </c>
      <c r="AK74" s="41"/>
    </row>
    <row r="75" spans="1:37" x14ac:dyDescent="0.25">
      <c r="A75" s="97" t="s">
        <v>164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/>
      <c r="T75" s="93"/>
      <c r="U75" s="93"/>
      <c r="V75" s="93"/>
      <c r="W75" s="93"/>
      <c r="X75" s="93">
        <v>0</v>
      </c>
      <c r="Y75" s="93">
        <v>0</v>
      </c>
      <c r="Z75" s="93"/>
      <c r="AA75" s="93"/>
      <c r="AB75" s="93"/>
      <c r="AC75" s="93"/>
      <c r="AD75" s="93"/>
      <c r="AE75" s="93"/>
      <c r="AF75" s="93"/>
      <c r="AG75" s="104">
        <v>39</v>
      </c>
      <c r="AH75" s="20">
        <f t="shared" ref="AH75:AH109" si="9">MAX(B75:AF75)</f>
        <v>0</v>
      </c>
      <c r="AI75" s="19">
        <f t="shared" ref="AI75:AI109" si="10">MIN(B75:AF75)</f>
        <v>0</v>
      </c>
      <c r="AK75" s="41"/>
    </row>
    <row r="76" spans="1:37" x14ac:dyDescent="0.25">
      <c r="A76" s="95" t="s">
        <v>163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>
        <v>0</v>
      </c>
      <c r="N76" s="103">
        <v>0</v>
      </c>
      <c r="O76" s="103">
        <v>0</v>
      </c>
      <c r="P76" s="103">
        <v>0</v>
      </c>
      <c r="Q76" s="103">
        <v>0</v>
      </c>
      <c r="R76" s="103">
        <v>0</v>
      </c>
      <c r="S76" s="103"/>
      <c r="T76" s="103"/>
      <c r="U76" s="103"/>
      <c r="V76" s="103"/>
      <c r="W76" s="103"/>
      <c r="X76" s="103">
        <v>0</v>
      </c>
      <c r="Y76" s="103">
        <v>0</v>
      </c>
      <c r="Z76" s="103"/>
      <c r="AA76" s="103"/>
      <c r="AB76" s="103"/>
      <c r="AC76" s="103"/>
      <c r="AD76" s="103"/>
      <c r="AE76" s="103"/>
      <c r="AF76" s="103"/>
      <c r="AG76" s="102">
        <v>14.4</v>
      </c>
      <c r="AH76" s="20">
        <f t="shared" si="9"/>
        <v>0</v>
      </c>
      <c r="AI76" s="19">
        <f t="shared" si="10"/>
        <v>0</v>
      </c>
      <c r="AK76" s="41"/>
    </row>
    <row r="77" spans="1:37" ht="15.75" thickBot="1" x14ac:dyDescent="0.3">
      <c r="A77" s="91" t="s">
        <v>162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/>
      <c r="T77" s="90"/>
      <c r="U77" s="90"/>
      <c r="V77" s="90"/>
      <c r="W77" s="90"/>
      <c r="X77" s="90">
        <v>0</v>
      </c>
      <c r="Y77" s="90">
        <v>0</v>
      </c>
      <c r="Z77" s="90"/>
      <c r="AA77" s="90"/>
      <c r="AB77" s="90"/>
      <c r="AC77" s="90"/>
      <c r="AD77" s="90"/>
      <c r="AE77" s="90"/>
      <c r="AF77" s="90"/>
      <c r="AG77" s="89">
        <v>2</v>
      </c>
      <c r="AH77" s="20">
        <f t="shared" si="9"/>
        <v>0</v>
      </c>
      <c r="AI77" s="19">
        <f t="shared" si="10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9"/>
        <v>0</v>
      </c>
      <c r="AI78" s="19">
        <f t="shared" si="10"/>
        <v>0</v>
      </c>
    </row>
    <row r="79" spans="1:37" ht="15.75" thickBot="1" x14ac:dyDescent="0.3">
      <c r="A79" s="87" t="s">
        <v>160</v>
      </c>
      <c r="B79" s="98">
        <f>B40+B44+B62+B58+B74+B78</f>
        <v>1741.8400000000001</v>
      </c>
      <c r="C79" s="98">
        <f t="shared" ref="C79:AG79" si="11">C40+C44+C62+C58+C74+C78</f>
        <v>1735.8400000000001</v>
      </c>
      <c r="D79" s="98">
        <f t="shared" si="11"/>
        <v>1715.14</v>
      </c>
      <c r="E79" s="98">
        <f t="shared" si="11"/>
        <v>1702.9399999999998</v>
      </c>
      <c r="F79" s="98">
        <f t="shared" si="11"/>
        <v>1666.8399999999997</v>
      </c>
      <c r="G79" s="98">
        <f t="shared" si="11"/>
        <v>1666.7399999999998</v>
      </c>
      <c r="H79" s="98">
        <f t="shared" si="11"/>
        <v>1667.2399999999998</v>
      </c>
      <c r="I79" s="98">
        <f t="shared" si="11"/>
        <v>1666.8399999999997</v>
      </c>
      <c r="J79" s="98">
        <f t="shared" si="11"/>
        <v>1668.7399999999998</v>
      </c>
      <c r="K79" s="98">
        <f t="shared" si="11"/>
        <v>1668.5399999999997</v>
      </c>
      <c r="L79" s="98">
        <f t="shared" si="11"/>
        <v>1686.24</v>
      </c>
      <c r="M79" s="98">
        <f t="shared" si="11"/>
        <v>1726.74</v>
      </c>
      <c r="N79" s="98">
        <f t="shared" si="11"/>
        <v>1702.04</v>
      </c>
      <c r="O79" s="98">
        <f t="shared" si="11"/>
        <v>1710.04</v>
      </c>
      <c r="P79" s="98">
        <f t="shared" si="11"/>
        <v>1769.44</v>
      </c>
      <c r="Q79" s="98">
        <f t="shared" si="11"/>
        <v>1732.44</v>
      </c>
      <c r="R79" s="98">
        <f t="shared" si="11"/>
        <v>1758.9399999999998</v>
      </c>
      <c r="S79" s="98">
        <f t="shared" si="11"/>
        <v>1754.9399999999998</v>
      </c>
      <c r="T79" s="98">
        <f t="shared" si="11"/>
        <v>1712.24</v>
      </c>
      <c r="U79" s="98">
        <f t="shared" si="11"/>
        <v>1718.74</v>
      </c>
      <c r="V79" s="98">
        <f t="shared" si="11"/>
        <v>1721.84</v>
      </c>
      <c r="W79" s="98">
        <f t="shared" si="11"/>
        <v>1642.04</v>
      </c>
      <c r="X79" s="98">
        <f t="shared" si="11"/>
        <v>1725.1399999999999</v>
      </c>
      <c r="Y79" s="98">
        <f t="shared" si="11"/>
        <v>1818.54</v>
      </c>
      <c r="Z79" s="98">
        <f t="shared" si="11"/>
        <v>1813.2400000000002</v>
      </c>
      <c r="AA79" s="98">
        <f t="shared" si="11"/>
        <v>1811.8400000000001</v>
      </c>
      <c r="AB79" s="98">
        <f t="shared" si="11"/>
        <v>1816.6399999999999</v>
      </c>
      <c r="AC79" s="98">
        <f t="shared" si="11"/>
        <v>1807.6399999999999</v>
      </c>
      <c r="AD79" s="98">
        <f t="shared" si="11"/>
        <v>1797.6399999999999</v>
      </c>
      <c r="AE79" s="98">
        <f t="shared" si="11"/>
        <v>1758.8400000000001</v>
      </c>
      <c r="AF79" s="98">
        <f t="shared" si="11"/>
        <v>1712.74</v>
      </c>
      <c r="AG79" s="101">
        <f t="shared" si="11"/>
        <v>1897.1900000000003</v>
      </c>
      <c r="AH79" s="20">
        <f t="shared" si="9"/>
        <v>1818.54</v>
      </c>
      <c r="AI79" s="19">
        <f t="shared" si="10"/>
        <v>1642.04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9"/>
        <v>0</v>
      </c>
      <c r="AI80" s="19">
        <f t="shared" si="10"/>
        <v>0</v>
      </c>
    </row>
    <row r="81" spans="1:37" ht="15.75" thickBot="1" x14ac:dyDescent="0.3">
      <c r="A81" s="87" t="s">
        <v>158</v>
      </c>
      <c r="B81" s="98">
        <f>B79+B80</f>
        <v>1741.8400000000001</v>
      </c>
      <c r="C81" s="98">
        <f t="shared" ref="C81:AF81" si="12">C79+C80</f>
        <v>1735.8400000000001</v>
      </c>
      <c r="D81" s="98">
        <f t="shared" si="12"/>
        <v>1715.14</v>
      </c>
      <c r="E81" s="98">
        <f t="shared" si="12"/>
        <v>1702.9399999999998</v>
      </c>
      <c r="F81" s="98">
        <f t="shared" si="12"/>
        <v>1666.8399999999997</v>
      </c>
      <c r="G81" s="98">
        <f t="shared" si="12"/>
        <v>1666.7399999999998</v>
      </c>
      <c r="H81" s="98">
        <f t="shared" si="12"/>
        <v>1667.2399999999998</v>
      </c>
      <c r="I81" s="98">
        <f t="shared" si="12"/>
        <v>1666.8399999999997</v>
      </c>
      <c r="J81" s="98">
        <f t="shared" si="12"/>
        <v>1668.7399999999998</v>
      </c>
      <c r="K81" s="98">
        <f t="shared" si="12"/>
        <v>1668.5399999999997</v>
      </c>
      <c r="L81" s="98">
        <f t="shared" si="12"/>
        <v>1686.24</v>
      </c>
      <c r="M81" s="98">
        <f t="shared" si="12"/>
        <v>1726.74</v>
      </c>
      <c r="N81" s="98">
        <f t="shared" si="12"/>
        <v>1702.04</v>
      </c>
      <c r="O81" s="98">
        <f t="shared" si="12"/>
        <v>1710.04</v>
      </c>
      <c r="P81" s="98">
        <f t="shared" si="12"/>
        <v>1769.44</v>
      </c>
      <c r="Q81" s="98">
        <f t="shared" si="12"/>
        <v>1732.44</v>
      </c>
      <c r="R81" s="98">
        <f t="shared" si="12"/>
        <v>1758.9399999999998</v>
      </c>
      <c r="S81" s="98">
        <f t="shared" si="12"/>
        <v>1754.9399999999998</v>
      </c>
      <c r="T81" s="98">
        <f t="shared" si="12"/>
        <v>1712.24</v>
      </c>
      <c r="U81" s="98">
        <f t="shared" si="12"/>
        <v>1718.74</v>
      </c>
      <c r="V81" s="98">
        <f t="shared" si="12"/>
        <v>1721.84</v>
      </c>
      <c r="W81" s="98">
        <f t="shared" si="12"/>
        <v>1642.04</v>
      </c>
      <c r="X81" s="98">
        <f t="shared" si="12"/>
        <v>1725.1399999999999</v>
      </c>
      <c r="Y81" s="98">
        <f t="shared" si="12"/>
        <v>1818.54</v>
      </c>
      <c r="Z81" s="98">
        <f t="shared" si="12"/>
        <v>1813.2400000000002</v>
      </c>
      <c r="AA81" s="98">
        <f t="shared" si="12"/>
        <v>1811.8400000000001</v>
      </c>
      <c r="AB81" s="98">
        <f t="shared" si="12"/>
        <v>1816.6399999999999</v>
      </c>
      <c r="AC81" s="98">
        <f t="shared" si="12"/>
        <v>1807.6399999999999</v>
      </c>
      <c r="AD81" s="98">
        <f t="shared" si="12"/>
        <v>1797.6399999999999</v>
      </c>
      <c r="AE81" s="98">
        <f t="shared" si="12"/>
        <v>1758.8400000000001</v>
      </c>
      <c r="AF81" s="98">
        <f t="shared" si="12"/>
        <v>1712.74</v>
      </c>
      <c r="AG81" s="85">
        <f>AG78+AG74+AG62+AG58+AG40+AG80</f>
        <v>1359.0900000000001</v>
      </c>
      <c r="AH81" s="20">
        <f t="shared" si="9"/>
        <v>1818.54</v>
      </c>
      <c r="AI81" s="19">
        <f t="shared" si="10"/>
        <v>1642.04</v>
      </c>
    </row>
    <row r="82" spans="1:37" ht="15.75" thickBot="1" x14ac:dyDescent="0.3">
      <c r="A82" s="87" t="s">
        <v>157</v>
      </c>
      <c r="B82" s="98">
        <f>B81-B89</f>
        <v>1354.5400000000002</v>
      </c>
      <c r="C82" s="98">
        <f t="shared" ref="C82:AF82" si="13">C81-C89</f>
        <v>1327.3400000000001</v>
      </c>
      <c r="D82" s="98">
        <f t="shared" si="13"/>
        <v>1296.44</v>
      </c>
      <c r="E82" s="98">
        <f t="shared" si="13"/>
        <v>1280.9399999999998</v>
      </c>
      <c r="F82" s="98">
        <f t="shared" si="13"/>
        <v>1251.8399999999997</v>
      </c>
      <c r="G82" s="98">
        <f t="shared" si="13"/>
        <v>1256.7399999999998</v>
      </c>
      <c r="H82" s="98">
        <f t="shared" si="13"/>
        <v>1267.2399999999998</v>
      </c>
      <c r="I82" s="98">
        <f t="shared" si="13"/>
        <v>1241.8399999999997</v>
      </c>
      <c r="J82" s="98">
        <f t="shared" si="13"/>
        <v>1238.7399999999998</v>
      </c>
      <c r="K82" s="98">
        <f t="shared" si="13"/>
        <v>1253.5399999999997</v>
      </c>
      <c r="L82" s="98">
        <f t="shared" si="13"/>
        <v>1276.24</v>
      </c>
      <c r="M82" s="98">
        <f t="shared" si="13"/>
        <v>1343.04</v>
      </c>
      <c r="N82" s="98">
        <f t="shared" si="13"/>
        <v>1314.6399999999999</v>
      </c>
      <c r="O82" s="98">
        <f t="shared" si="13"/>
        <v>1345.94</v>
      </c>
      <c r="P82" s="98">
        <f t="shared" si="13"/>
        <v>1381.44</v>
      </c>
      <c r="Q82" s="98">
        <f t="shared" si="13"/>
        <v>1355.3400000000001</v>
      </c>
      <c r="R82" s="98">
        <f t="shared" si="13"/>
        <v>1340.9399999999998</v>
      </c>
      <c r="S82" s="98">
        <f t="shared" si="13"/>
        <v>1330.9399999999998</v>
      </c>
      <c r="T82" s="98">
        <f t="shared" si="13"/>
        <v>1347.24</v>
      </c>
      <c r="U82" s="98">
        <f t="shared" si="13"/>
        <v>1305.74</v>
      </c>
      <c r="V82" s="98">
        <f t="shared" si="13"/>
        <v>1258.8399999999999</v>
      </c>
      <c r="W82" s="98">
        <f t="shared" si="13"/>
        <v>1236.8399999999999</v>
      </c>
      <c r="X82" s="98">
        <f t="shared" si="13"/>
        <v>1324.7399999999998</v>
      </c>
      <c r="Y82" s="98">
        <f t="shared" si="13"/>
        <v>1488.94</v>
      </c>
      <c r="Z82" s="98">
        <f t="shared" si="13"/>
        <v>1502.8400000000001</v>
      </c>
      <c r="AA82" s="98">
        <f t="shared" si="13"/>
        <v>1475.94</v>
      </c>
      <c r="AB82" s="98">
        <f t="shared" si="13"/>
        <v>1453.6399999999999</v>
      </c>
      <c r="AC82" s="98">
        <f t="shared" si="13"/>
        <v>1436.6399999999999</v>
      </c>
      <c r="AD82" s="98">
        <f t="shared" si="13"/>
        <v>1397.6399999999999</v>
      </c>
      <c r="AE82" s="98">
        <f t="shared" si="13"/>
        <v>1338.8400000000001</v>
      </c>
      <c r="AF82" s="98">
        <f t="shared" si="13"/>
        <v>1282.74</v>
      </c>
      <c r="AG82" s="85"/>
      <c r="AH82" s="20">
        <f t="shared" si="9"/>
        <v>1502.8400000000001</v>
      </c>
      <c r="AI82" s="19">
        <f t="shared" si="10"/>
        <v>1236.8399999999999</v>
      </c>
    </row>
    <row r="83" spans="1:37" x14ac:dyDescent="0.25">
      <c r="A83" s="97" t="s">
        <v>156</v>
      </c>
      <c r="B83" s="93">
        <f>IF(B66&lt;0,B66*-1,0)</f>
        <v>0</v>
      </c>
      <c r="C83" s="93">
        <f t="shared" ref="C83:AF83" si="14">IF(C66&lt;0,C66*-1,0)</f>
        <v>0</v>
      </c>
      <c r="D83" s="93">
        <f t="shared" si="14"/>
        <v>0</v>
      </c>
      <c r="E83" s="93">
        <f t="shared" si="14"/>
        <v>0</v>
      </c>
      <c r="F83" s="93">
        <f t="shared" si="14"/>
        <v>0</v>
      </c>
      <c r="G83" s="93">
        <f t="shared" si="14"/>
        <v>0</v>
      </c>
      <c r="H83" s="93">
        <f t="shared" si="14"/>
        <v>0</v>
      </c>
      <c r="I83" s="93">
        <f t="shared" si="14"/>
        <v>0</v>
      </c>
      <c r="J83" s="93">
        <f t="shared" si="14"/>
        <v>0</v>
      </c>
      <c r="K83" s="93">
        <f t="shared" si="14"/>
        <v>0</v>
      </c>
      <c r="L83" s="93">
        <f t="shared" si="14"/>
        <v>0</v>
      </c>
      <c r="M83" s="93">
        <f t="shared" si="14"/>
        <v>0</v>
      </c>
      <c r="N83" s="93">
        <f t="shared" si="14"/>
        <v>0</v>
      </c>
      <c r="O83" s="93">
        <f t="shared" si="14"/>
        <v>0</v>
      </c>
      <c r="P83" s="93">
        <f t="shared" si="14"/>
        <v>0</v>
      </c>
      <c r="Q83" s="93">
        <f t="shared" si="14"/>
        <v>0</v>
      </c>
      <c r="R83" s="93">
        <f t="shared" si="14"/>
        <v>0</v>
      </c>
      <c r="S83" s="93">
        <f t="shared" si="14"/>
        <v>0</v>
      </c>
      <c r="T83" s="93">
        <f t="shared" si="14"/>
        <v>0</v>
      </c>
      <c r="U83" s="93">
        <f t="shared" si="14"/>
        <v>0</v>
      </c>
      <c r="V83" s="93">
        <f t="shared" si="14"/>
        <v>0</v>
      </c>
      <c r="W83" s="93">
        <f t="shared" si="14"/>
        <v>0</v>
      </c>
      <c r="X83" s="93">
        <f t="shared" si="14"/>
        <v>0</v>
      </c>
      <c r="Y83" s="93">
        <f t="shared" si="14"/>
        <v>0</v>
      </c>
      <c r="Z83" s="93">
        <f t="shared" si="14"/>
        <v>0</v>
      </c>
      <c r="AA83" s="93">
        <f t="shared" si="14"/>
        <v>0</v>
      </c>
      <c r="AB83" s="93">
        <f t="shared" si="14"/>
        <v>0</v>
      </c>
      <c r="AC83" s="93">
        <f t="shared" si="14"/>
        <v>0</v>
      </c>
      <c r="AD83" s="93">
        <f t="shared" si="14"/>
        <v>0</v>
      </c>
      <c r="AE83" s="93">
        <f t="shared" si="14"/>
        <v>0</v>
      </c>
      <c r="AF83" s="93">
        <f t="shared" si="14"/>
        <v>0</v>
      </c>
      <c r="AG83" s="96"/>
      <c r="AH83" s="20">
        <f t="shared" si="9"/>
        <v>0</v>
      </c>
      <c r="AI83" s="19">
        <f t="shared" si="10"/>
        <v>0</v>
      </c>
    </row>
    <row r="84" spans="1:37" x14ac:dyDescent="0.25">
      <c r="A84" s="95" t="s">
        <v>155</v>
      </c>
      <c r="B84" s="93">
        <f>IF(B64&lt;0,B64*-1,0)</f>
        <v>0</v>
      </c>
      <c r="C84" s="93">
        <f t="shared" ref="C84:AF84" si="15">IF(C64&lt;0,C64*-1,0)</f>
        <v>0</v>
      </c>
      <c r="D84" s="93">
        <f t="shared" si="15"/>
        <v>0</v>
      </c>
      <c r="E84" s="93">
        <f t="shared" si="15"/>
        <v>0</v>
      </c>
      <c r="F84" s="93">
        <f t="shared" si="15"/>
        <v>0</v>
      </c>
      <c r="G84" s="93">
        <f t="shared" si="15"/>
        <v>0</v>
      </c>
      <c r="H84" s="93">
        <f t="shared" si="15"/>
        <v>0</v>
      </c>
      <c r="I84" s="93">
        <f t="shared" si="15"/>
        <v>0</v>
      </c>
      <c r="J84" s="93">
        <f t="shared" si="15"/>
        <v>0</v>
      </c>
      <c r="K84" s="93">
        <f t="shared" si="15"/>
        <v>0</v>
      </c>
      <c r="L84" s="93">
        <f t="shared" si="15"/>
        <v>0</v>
      </c>
      <c r="M84" s="93">
        <f t="shared" si="15"/>
        <v>0</v>
      </c>
      <c r="N84" s="93">
        <f t="shared" si="15"/>
        <v>0</v>
      </c>
      <c r="O84" s="93">
        <f t="shared" si="15"/>
        <v>0</v>
      </c>
      <c r="P84" s="93">
        <f t="shared" si="15"/>
        <v>0</v>
      </c>
      <c r="Q84" s="93">
        <f t="shared" si="15"/>
        <v>0</v>
      </c>
      <c r="R84" s="93">
        <f t="shared" si="15"/>
        <v>0</v>
      </c>
      <c r="S84" s="93">
        <f t="shared" si="15"/>
        <v>0</v>
      </c>
      <c r="T84" s="93">
        <f t="shared" si="15"/>
        <v>0</v>
      </c>
      <c r="U84" s="93">
        <f t="shared" si="15"/>
        <v>0</v>
      </c>
      <c r="V84" s="93">
        <f t="shared" si="15"/>
        <v>0</v>
      </c>
      <c r="W84" s="93">
        <f t="shared" si="15"/>
        <v>0</v>
      </c>
      <c r="X84" s="93">
        <f t="shared" si="15"/>
        <v>0</v>
      </c>
      <c r="Y84" s="93">
        <f t="shared" si="15"/>
        <v>0</v>
      </c>
      <c r="Z84" s="93">
        <f t="shared" si="15"/>
        <v>0</v>
      </c>
      <c r="AA84" s="93">
        <f t="shared" si="15"/>
        <v>0</v>
      </c>
      <c r="AB84" s="93">
        <f t="shared" si="15"/>
        <v>0</v>
      </c>
      <c r="AC84" s="93">
        <f t="shared" si="15"/>
        <v>0</v>
      </c>
      <c r="AD84" s="93">
        <f t="shared" si="15"/>
        <v>0</v>
      </c>
      <c r="AE84" s="93">
        <f t="shared" si="15"/>
        <v>0</v>
      </c>
      <c r="AF84" s="93">
        <f t="shared" si="15"/>
        <v>0</v>
      </c>
      <c r="AG84" s="94"/>
      <c r="AH84" s="20">
        <f t="shared" si="9"/>
        <v>0</v>
      </c>
      <c r="AI84" s="19">
        <f t="shared" si="10"/>
        <v>0</v>
      </c>
    </row>
    <row r="85" spans="1:37" x14ac:dyDescent="0.25">
      <c r="A85" s="91" t="s">
        <v>154</v>
      </c>
      <c r="B85" s="93">
        <f>IF(B67&lt;0,B67*-1,0)</f>
        <v>0</v>
      </c>
      <c r="C85" s="93">
        <f t="shared" ref="C85:AF85" si="16">IF(C67&lt;0,C67*-1,0)</f>
        <v>0</v>
      </c>
      <c r="D85" s="93">
        <f t="shared" si="16"/>
        <v>0</v>
      </c>
      <c r="E85" s="93">
        <f t="shared" si="16"/>
        <v>0</v>
      </c>
      <c r="F85" s="93">
        <f t="shared" si="16"/>
        <v>0</v>
      </c>
      <c r="G85" s="93">
        <f t="shared" si="16"/>
        <v>0</v>
      </c>
      <c r="H85" s="93">
        <f t="shared" si="16"/>
        <v>0</v>
      </c>
      <c r="I85" s="93">
        <f t="shared" si="16"/>
        <v>0</v>
      </c>
      <c r="J85" s="93">
        <f t="shared" si="16"/>
        <v>0</v>
      </c>
      <c r="K85" s="93">
        <f t="shared" si="16"/>
        <v>0</v>
      </c>
      <c r="L85" s="93">
        <f t="shared" si="16"/>
        <v>0</v>
      </c>
      <c r="M85" s="93">
        <f t="shared" si="16"/>
        <v>0</v>
      </c>
      <c r="N85" s="93">
        <f t="shared" si="16"/>
        <v>0</v>
      </c>
      <c r="O85" s="93">
        <f t="shared" si="16"/>
        <v>0</v>
      </c>
      <c r="P85" s="93">
        <f t="shared" si="16"/>
        <v>0</v>
      </c>
      <c r="Q85" s="93">
        <f t="shared" si="16"/>
        <v>0</v>
      </c>
      <c r="R85" s="93">
        <f t="shared" si="16"/>
        <v>0</v>
      </c>
      <c r="S85" s="93">
        <f t="shared" si="16"/>
        <v>0</v>
      </c>
      <c r="T85" s="93">
        <f t="shared" si="16"/>
        <v>0</v>
      </c>
      <c r="U85" s="93">
        <f t="shared" si="16"/>
        <v>0</v>
      </c>
      <c r="V85" s="93">
        <f t="shared" si="16"/>
        <v>0</v>
      </c>
      <c r="W85" s="93">
        <f t="shared" si="16"/>
        <v>0</v>
      </c>
      <c r="X85" s="93">
        <f t="shared" si="16"/>
        <v>0</v>
      </c>
      <c r="Y85" s="93">
        <f t="shared" si="16"/>
        <v>0</v>
      </c>
      <c r="Z85" s="93">
        <f t="shared" si="16"/>
        <v>0</v>
      </c>
      <c r="AA85" s="93">
        <f t="shared" si="16"/>
        <v>0</v>
      </c>
      <c r="AB85" s="93">
        <f t="shared" si="16"/>
        <v>0</v>
      </c>
      <c r="AC85" s="93">
        <f t="shared" si="16"/>
        <v>0</v>
      </c>
      <c r="AD85" s="93">
        <f t="shared" si="16"/>
        <v>0</v>
      </c>
      <c r="AE85" s="93">
        <f t="shared" si="16"/>
        <v>0</v>
      </c>
      <c r="AF85" s="93">
        <f t="shared" si="16"/>
        <v>0</v>
      </c>
      <c r="AG85" s="92"/>
      <c r="AH85" s="20">
        <f t="shared" si="9"/>
        <v>0</v>
      </c>
      <c r="AI85" s="19">
        <f t="shared" si="10"/>
        <v>0</v>
      </c>
    </row>
    <row r="86" spans="1:37" x14ac:dyDescent="0.25">
      <c r="A86" s="91" t="s">
        <v>153</v>
      </c>
      <c r="B86" s="93">
        <f>IF(B65&lt;0,B65*-1,0)</f>
        <v>387.3</v>
      </c>
      <c r="C86" s="93">
        <f t="shared" ref="C86:AF86" si="17">IF(C65&lt;0,C65*-1,0)</f>
        <v>408.5</v>
      </c>
      <c r="D86" s="93">
        <f t="shared" si="17"/>
        <v>418.7</v>
      </c>
      <c r="E86" s="93">
        <f t="shared" si="17"/>
        <v>422</v>
      </c>
      <c r="F86" s="93">
        <f t="shared" si="17"/>
        <v>415</v>
      </c>
      <c r="G86" s="93">
        <f t="shared" si="17"/>
        <v>410</v>
      </c>
      <c r="H86" s="93">
        <f t="shared" si="17"/>
        <v>400</v>
      </c>
      <c r="I86" s="93">
        <f t="shared" si="17"/>
        <v>425</v>
      </c>
      <c r="J86" s="93">
        <f t="shared" si="17"/>
        <v>430</v>
      </c>
      <c r="K86" s="93">
        <f t="shared" si="17"/>
        <v>415</v>
      </c>
      <c r="L86" s="93">
        <f t="shared" si="17"/>
        <v>410</v>
      </c>
      <c r="M86" s="93">
        <f t="shared" si="17"/>
        <v>383.7</v>
      </c>
      <c r="N86" s="93">
        <f t="shared" si="17"/>
        <v>387.4</v>
      </c>
      <c r="O86" s="93">
        <f t="shared" si="17"/>
        <v>364.1</v>
      </c>
      <c r="P86" s="93">
        <f t="shared" si="17"/>
        <v>388</v>
      </c>
      <c r="Q86" s="93">
        <f t="shared" si="17"/>
        <v>377.1</v>
      </c>
      <c r="R86" s="93">
        <f t="shared" si="17"/>
        <v>418</v>
      </c>
      <c r="S86" s="93">
        <f t="shared" si="17"/>
        <v>424</v>
      </c>
      <c r="T86" s="93">
        <f t="shared" si="17"/>
        <v>365</v>
      </c>
      <c r="U86" s="93">
        <f t="shared" si="17"/>
        <v>413</v>
      </c>
      <c r="V86" s="93">
        <f t="shared" si="17"/>
        <v>463</v>
      </c>
      <c r="W86" s="93">
        <f t="shared" si="17"/>
        <v>405.2</v>
      </c>
      <c r="X86" s="93">
        <f t="shared" si="17"/>
        <v>400.4</v>
      </c>
      <c r="Y86" s="93">
        <f t="shared" si="17"/>
        <v>329.6</v>
      </c>
      <c r="Z86" s="93">
        <f t="shared" si="17"/>
        <v>310.39999999999998</v>
      </c>
      <c r="AA86" s="93">
        <f t="shared" si="17"/>
        <v>335.9</v>
      </c>
      <c r="AB86" s="93">
        <f t="shared" si="17"/>
        <v>363</v>
      </c>
      <c r="AC86" s="93">
        <f t="shared" si="17"/>
        <v>371</v>
      </c>
      <c r="AD86" s="93">
        <f t="shared" si="17"/>
        <v>400</v>
      </c>
      <c r="AE86" s="93">
        <f t="shared" si="17"/>
        <v>420</v>
      </c>
      <c r="AF86" s="93">
        <f t="shared" si="17"/>
        <v>430</v>
      </c>
      <c r="AG86" s="92"/>
      <c r="AH86" s="20">
        <f t="shared" si="9"/>
        <v>463</v>
      </c>
      <c r="AI86" s="19">
        <f t="shared" si="10"/>
        <v>310.39999999999998</v>
      </c>
    </row>
    <row r="87" spans="1:37" x14ac:dyDescent="0.25">
      <c r="A87" s="91" t="s">
        <v>152</v>
      </c>
      <c r="B87" s="93">
        <f>IF(B63&lt;0,B63*-1,0)</f>
        <v>0</v>
      </c>
      <c r="C87" s="93">
        <f t="shared" ref="C87:AF87" si="18">IF(C63&lt;0,C63*-1,0)</f>
        <v>0</v>
      </c>
      <c r="D87" s="93">
        <f t="shared" si="18"/>
        <v>0</v>
      </c>
      <c r="E87" s="93">
        <f t="shared" si="18"/>
        <v>0</v>
      </c>
      <c r="F87" s="93">
        <f t="shared" si="18"/>
        <v>0</v>
      </c>
      <c r="G87" s="93">
        <f t="shared" si="18"/>
        <v>0</v>
      </c>
      <c r="H87" s="93">
        <f t="shared" si="18"/>
        <v>0</v>
      </c>
      <c r="I87" s="93">
        <f t="shared" si="18"/>
        <v>0</v>
      </c>
      <c r="J87" s="93">
        <f t="shared" si="18"/>
        <v>0</v>
      </c>
      <c r="K87" s="93">
        <f t="shared" si="18"/>
        <v>0</v>
      </c>
      <c r="L87" s="93">
        <f t="shared" si="18"/>
        <v>0</v>
      </c>
      <c r="M87" s="93">
        <f t="shared" si="18"/>
        <v>0</v>
      </c>
      <c r="N87" s="93">
        <f t="shared" si="18"/>
        <v>0</v>
      </c>
      <c r="O87" s="93">
        <f t="shared" si="18"/>
        <v>0</v>
      </c>
      <c r="P87" s="93">
        <f t="shared" si="18"/>
        <v>0</v>
      </c>
      <c r="Q87" s="93">
        <f t="shared" si="18"/>
        <v>0</v>
      </c>
      <c r="R87" s="93">
        <f t="shared" si="18"/>
        <v>0</v>
      </c>
      <c r="S87" s="93">
        <f t="shared" si="18"/>
        <v>0</v>
      </c>
      <c r="T87" s="93">
        <f t="shared" si="18"/>
        <v>0</v>
      </c>
      <c r="U87" s="93">
        <f t="shared" si="18"/>
        <v>0</v>
      </c>
      <c r="V87" s="93">
        <f t="shared" si="18"/>
        <v>0</v>
      </c>
      <c r="W87" s="93">
        <f t="shared" si="18"/>
        <v>0</v>
      </c>
      <c r="X87" s="93">
        <f t="shared" si="18"/>
        <v>0</v>
      </c>
      <c r="Y87" s="93">
        <f t="shared" si="18"/>
        <v>0</v>
      </c>
      <c r="Z87" s="93">
        <f t="shared" si="18"/>
        <v>0</v>
      </c>
      <c r="AA87" s="93">
        <f t="shared" si="18"/>
        <v>0</v>
      </c>
      <c r="AB87" s="93">
        <f t="shared" si="18"/>
        <v>0</v>
      </c>
      <c r="AC87" s="93">
        <f t="shared" si="18"/>
        <v>0</v>
      </c>
      <c r="AD87" s="93">
        <f t="shared" si="18"/>
        <v>0</v>
      </c>
      <c r="AE87" s="93">
        <f t="shared" si="18"/>
        <v>0</v>
      </c>
      <c r="AF87" s="93">
        <f t="shared" si="18"/>
        <v>0</v>
      </c>
      <c r="AG87" s="92"/>
      <c r="AH87" s="20">
        <f t="shared" si="9"/>
        <v>0</v>
      </c>
      <c r="AI87" s="19">
        <f t="shared" si="10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9"/>
        <v>0</v>
      </c>
      <c r="AI88" s="19">
        <f t="shared" si="10"/>
        <v>0</v>
      </c>
    </row>
    <row r="89" spans="1:37" ht="15.75" thickBot="1" x14ac:dyDescent="0.3">
      <c r="A89" s="88" t="s">
        <v>150</v>
      </c>
      <c r="B89" s="86">
        <f t="shared" ref="B89:AF89" si="19">SUM(B83:B88)</f>
        <v>387.3</v>
      </c>
      <c r="C89" s="86">
        <f t="shared" si="19"/>
        <v>408.5</v>
      </c>
      <c r="D89" s="86">
        <f t="shared" si="19"/>
        <v>418.7</v>
      </c>
      <c r="E89" s="86">
        <f t="shared" si="19"/>
        <v>422</v>
      </c>
      <c r="F89" s="86">
        <f t="shared" si="19"/>
        <v>415</v>
      </c>
      <c r="G89" s="86">
        <f t="shared" si="19"/>
        <v>410</v>
      </c>
      <c r="H89" s="86">
        <f t="shared" si="19"/>
        <v>400</v>
      </c>
      <c r="I89" s="86">
        <f t="shared" si="19"/>
        <v>425</v>
      </c>
      <c r="J89" s="86">
        <f t="shared" si="19"/>
        <v>430</v>
      </c>
      <c r="K89" s="86">
        <f t="shared" si="19"/>
        <v>415</v>
      </c>
      <c r="L89" s="86">
        <f t="shared" si="19"/>
        <v>410</v>
      </c>
      <c r="M89" s="86">
        <f t="shared" si="19"/>
        <v>383.7</v>
      </c>
      <c r="N89" s="86">
        <f t="shared" si="19"/>
        <v>387.4</v>
      </c>
      <c r="O89" s="86">
        <f t="shared" si="19"/>
        <v>364.1</v>
      </c>
      <c r="P89" s="86">
        <f t="shared" si="19"/>
        <v>388</v>
      </c>
      <c r="Q89" s="86">
        <f t="shared" si="19"/>
        <v>377.1</v>
      </c>
      <c r="R89" s="86">
        <f t="shared" si="19"/>
        <v>418</v>
      </c>
      <c r="S89" s="86">
        <f t="shared" si="19"/>
        <v>424</v>
      </c>
      <c r="T89" s="86">
        <f t="shared" si="19"/>
        <v>365</v>
      </c>
      <c r="U89" s="86">
        <f t="shared" si="19"/>
        <v>413</v>
      </c>
      <c r="V89" s="86">
        <f t="shared" si="19"/>
        <v>463</v>
      </c>
      <c r="W89" s="86">
        <f t="shared" si="19"/>
        <v>405.2</v>
      </c>
      <c r="X89" s="86">
        <f t="shared" si="19"/>
        <v>400.4</v>
      </c>
      <c r="Y89" s="86">
        <f t="shared" si="19"/>
        <v>329.6</v>
      </c>
      <c r="Z89" s="86">
        <f t="shared" si="19"/>
        <v>310.39999999999998</v>
      </c>
      <c r="AA89" s="86">
        <f t="shared" si="19"/>
        <v>335.9</v>
      </c>
      <c r="AB89" s="86">
        <f t="shared" si="19"/>
        <v>363</v>
      </c>
      <c r="AC89" s="86">
        <f t="shared" si="19"/>
        <v>371</v>
      </c>
      <c r="AD89" s="86">
        <f t="shared" si="19"/>
        <v>400</v>
      </c>
      <c r="AE89" s="86">
        <f t="shared" si="19"/>
        <v>420</v>
      </c>
      <c r="AF89" s="86">
        <f t="shared" si="19"/>
        <v>430</v>
      </c>
      <c r="AG89" s="85"/>
      <c r="AH89" s="20">
        <f t="shared" si="9"/>
        <v>463</v>
      </c>
      <c r="AI89" s="19">
        <f t="shared" si="10"/>
        <v>310.39999999999998</v>
      </c>
      <c r="AK89" s="41"/>
    </row>
    <row r="90" spans="1:37" ht="15.75" thickBot="1" x14ac:dyDescent="0.3">
      <c r="A90" s="87" t="s">
        <v>149</v>
      </c>
      <c r="B90" s="86">
        <f t="shared" ref="B90:AF90" si="20">B74-B89</f>
        <v>-387.3</v>
      </c>
      <c r="C90" s="86">
        <f t="shared" si="20"/>
        <v>-408.5</v>
      </c>
      <c r="D90" s="86">
        <f t="shared" si="20"/>
        <v>-418.7</v>
      </c>
      <c r="E90" s="86">
        <f t="shared" si="20"/>
        <v>-422</v>
      </c>
      <c r="F90" s="86">
        <f t="shared" si="20"/>
        <v>-415</v>
      </c>
      <c r="G90" s="86">
        <f t="shared" si="20"/>
        <v>-410</v>
      </c>
      <c r="H90" s="86">
        <f t="shared" si="20"/>
        <v>-400</v>
      </c>
      <c r="I90" s="86">
        <f t="shared" si="20"/>
        <v>-425</v>
      </c>
      <c r="J90" s="86">
        <f t="shared" si="20"/>
        <v>-430</v>
      </c>
      <c r="K90" s="86">
        <f t="shared" si="20"/>
        <v>-415</v>
      </c>
      <c r="L90" s="86">
        <f t="shared" si="20"/>
        <v>-410</v>
      </c>
      <c r="M90" s="86">
        <f t="shared" si="20"/>
        <v>-383.7</v>
      </c>
      <c r="N90" s="86">
        <f t="shared" si="20"/>
        <v>-387.4</v>
      </c>
      <c r="O90" s="86">
        <f t="shared" si="20"/>
        <v>-364.1</v>
      </c>
      <c r="P90" s="86">
        <f t="shared" si="20"/>
        <v>-388</v>
      </c>
      <c r="Q90" s="86">
        <f t="shared" si="20"/>
        <v>-377.1</v>
      </c>
      <c r="R90" s="86">
        <f t="shared" si="20"/>
        <v>-418</v>
      </c>
      <c r="S90" s="86">
        <f t="shared" si="20"/>
        <v>-424</v>
      </c>
      <c r="T90" s="86">
        <f t="shared" si="20"/>
        <v>-365</v>
      </c>
      <c r="U90" s="86">
        <f t="shared" si="20"/>
        <v>-413</v>
      </c>
      <c r="V90" s="86">
        <f t="shared" si="20"/>
        <v>-463</v>
      </c>
      <c r="W90" s="86">
        <f t="shared" si="20"/>
        <v>-405.2</v>
      </c>
      <c r="X90" s="86">
        <f t="shared" si="20"/>
        <v>-400.4</v>
      </c>
      <c r="Y90" s="86">
        <f t="shared" si="20"/>
        <v>-329.6</v>
      </c>
      <c r="Z90" s="86">
        <f t="shared" si="20"/>
        <v>-310.39999999999998</v>
      </c>
      <c r="AA90" s="86">
        <f t="shared" si="20"/>
        <v>-335.9</v>
      </c>
      <c r="AB90" s="86">
        <f t="shared" si="20"/>
        <v>-363</v>
      </c>
      <c r="AC90" s="86">
        <f t="shared" si="20"/>
        <v>-371</v>
      </c>
      <c r="AD90" s="86">
        <f t="shared" si="20"/>
        <v>-400</v>
      </c>
      <c r="AE90" s="86">
        <f t="shared" si="20"/>
        <v>-420</v>
      </c>
      <c r="AF90" s="86">
        <f t="shared" si="20"/>
        <v>-430</v>
      </c>
      <c r="AG90" s="85"/>
      <c r="AH90" s="20">
        <f t="shared" si="9"/>
        <v>-310.39999999999998</v>
      </c>
      <c r="AI90" s="19">
        <f t="shared" si="10"/>
        <v>-463</v>
      </c>
    </row>
    <row r="91" spans="1:37" x14ac:dyDescent="0.25">
      <c r="A91" s="47" t="s">
        <v>148</v>
      </c>
      <c r="B91" s="84">
        <v>50.05</v>
      </c>
      <c r="C91" s="84">
        <v>50.015999999999998</v>
      </c>
      <c r="D91" s="84">
        <v>50.011000000000003</v>
      </c>
      <c r="E91" s="84">
        <v>50.048999999999999</v>
      </c>
      <c r="F91" s="84">
        <v>50.039000000000001</v>
      </c>
      <c r="G91" s="84">
        <v>49.973999999999997</v>
      </c>
      <c r="H91" s="84">
        <v>50.055</v>
      </c>
      <c r="I91" s="84">
        <v>50.012999999999998</v>
      </c>
      <c r="J91" s="84">
        <v>49.981999999999999</v>
      </c>
      <c r="K91" s="84">
        <v>50.03</v>
      </c>
      <c r="L91" s="84">
        <v>50.057000000000002</v>
      </c>
      <c r="M91" s="84">
        <v>50.040999999999997</v>
      </c>
      <c r="N91" s="84">
        <v>50.07</v>
      </c>
      <c r="O91" s="84">
        <v>50.052999999999997</v>
      </c>
      <c r="P91" s="84">
        <v>50.012</v>
      </c>
      <c r="Q91" s="84">
        <v>49.988999999999997</v>
      </c>
      <c r="R91" s="84">
        <v>50.045000000000002</v>
      </c>
      <c r="S91" s="84">
        <v>50.05</v>
      </c>
      <c r="T91" s="84">
        <v>50.000999999999998</v>
      </c>
      <c r="U91" s="84">
        <v>50.01</v>
      </c>
      <c r="V91" s="84">
        <v>49.962000000000003</v>
      </c>
      <c r="W91" s="84">
        <v>49.93</v>
      </c>
      <c r="X91" s="84">
        <v>49.8</v>
      </c>
      <c r="Y91" s="84">
        <v>49.97</v>
      </c>
      <c r="Z91" s="84">
        <v>49.97</v>
      </c>
      <c r="AA91" s="84">
        <v>50.03</v>
      </c>
      <c r="AB91" s="84">
        <v>50.09</v>
      </c>
      <c r="AC91" s="84">
        <v>50.05</v>
      </c>
      <c r="AD91" s="84">
        <v>50.04</v>
      </c>
      <c r="AE91" s="84">
        <v>50.06</v>
      </c>
      <c r="AF91" s="84">
        <v>49.97</v>
      </c>
      <c r="AG91" s="83"/>
      <c r="AH91" s="20">
        <f t="shared" si="9"/>
        <v>50.09</v>
      </c>
      <c r="AI91" s="19">
        <f t="shared" si="10"/>
        <v>49.8</v>
      </c>
    </row>
    <row r="92" spans="1:37" x14ac:dyDescent="0.25">
      <c r="A92" s="44" t="s">
        <v>147</v>
      </c>
      <c r="B92" s="80">
        <v>124.9</v>
      </c>
      <c r="C92" s="80">
        <v>125.4</v>
      </c>
      <c r="D92" s="80">
        <v>126.4</v>
      </c>
      <c r="E92" s="80">
        <v>127.1</v>
      </c>
      <c r="F92" s="80">
        <v>125.2</v>
      </c>
      <c r="G92" s="80">
        <v>126.1</v>
      </c>
      <c r="H92" s="80">
        <v>127</v>
      </c>
      <c r="I92" s="80">
        <v>127</v>
      </c>
      <c r="J92" s="80">
        <v>126.5</v>
      </c>
      <c r="K92" s="80">
        <v>126.6</v>
      </c>
      <c r="L92" s="80">
        <v>125.9</v>
      </c>
      <c r="M92" s="80">
        <v>124</v>
      </c>
      <c r="N92" s="80">
        <v>122.7</v>
      </c>
      <c r="O92" s="80">
        <v>123.3</v>
      </c>
      <c r="P92" s="80">
        <v>124.7</v>
      </c>
      <c r="Q92" s="80">
        <v>124.7</v>
      </c>
      <c r="R92" s="80">
        <v>125.4</v>
      </c>
      <c r="S92" s="80">
        <v>125.8</v>
      </c>
      <c r="T92" s="80">
        <v>127</v>
      </c>
      <c r="U92" s="80">
        <v>125.3</v>
      </c>
      <c r="V92" s="80">
        <v>125.2</v>
      </c>
      <c r="W92" s="80">
        <v>125.8</v>
      </c>
      <c r="X92" s="80">
        <v>125.8</v>
      </c>
      <c r="Y92" s="80">
        <v>125</v>
      </c>
      <c r="Z92" s="80">
        <v>125</v>
      </c>
      <c r="AA92" s="80">
        <v>124.7</v>
      </c>
      <c r="AB92" s="80">
        <v>125.6</v>
      </c>
      <c r="AC92" s="80">
        <v>125.6</v>
      </c>
      <c r="AD92" s="80">
        <v>125.6</v>
      </c>
      <c r="AE92" s="80">
        <v>125.6</v>
      </c>
      <c r="AF92" s="80">
        <v>125.6</v>
      </c>
      <c r="AG92" s="79"/>
      <c r="AH92" s="20">
        <f t="shared" si="9"/>
        <v>127.1</v>
      </c>
      <c r="AI92" s="19">
        <f t="shared" si="10"/>
        <v>122.7</v>
      </c>
    </row>
    <row r="93" spans="1:37" x14ac:dyDescent="0.25">
      <c r="A93" s="44" t="s">
        <v>146</v>
      </c>
      <c r="B93" s="80">
        <v>129.80000000000001</v>
      </c>
      <c r="C93" s="80">
        <v>130.1</v>
      </c>
      <c r="D93" s="80">
        <v>130.9</v>
      </c>
      <c r="E93" s="80">
        <v>131.69999999999999</v>
      </c>
      <c r="F93" s="80">
        <v>130.4</v>
      </c>
      <c r="G93" s="80">
        <v>130.6</v>
      </c>
      <c r="H93" s="80">
        <v>131.1</v>
      </c>
      <c r="I93" s="80">
        <v>130.9</v>
      </c>
      <c r="J93" s="80">
        <v>130.19999999999999</v>
      </c>
      <c r="K93" s="80">
        <v>129.9</v>
      </c>
      <c r="L93" s="80">
        <v>129.4</v>
      </c>
      <c r="M93" s="80">
        <v>127.7</v>
      </c>
      <c r="N93" s="80">
        <v>126.2</v>
      </c>
      <c r="O93" s="80">
        <v>126.8</v>
      </c>
      <c r="P93" s="80">
        <v>128.5</v>
      </c>
      <c r="Q93" s="80">
        <v>128.69999999999999</v>
      </c>
      <c r="R93" s="80">
        <v>129.5</v>
      </c>
      <c r="S93" s="80">
        <v>129.80000000000001</v>
      </c>
      <c r="T93" s="80">
        <v>131.1</v>
      </c>
      <c r="U93" s="80">
        <v>129</v>
      </c>
      <c r="V93" s="80">
        <v>129</v>
      </c>
      <c r="W93" s="80">
        <v>129.1</v>
      </c>
      <c r="X93" s="80">
        <v>125.5</v>
      </c>
      <c r="Y93" s="80">
        <v>127.9</v>
      </c>
      <c r="Z93" s="80">
        <v>127.9</v>
      </c>
      <c r="AA93" s="80">
        <v>128.5</v>
      </c>
      <c r="AB93" s="80">
        <v>129</v>
      </c>
      <c r="AC93" s="80">
        <v>129</v>
      </c>
      <c r="AD93" s="80">
        <v>129</v>
      </c>
      <c r="AE93" s="80">
        <v>129</v>
      </c>
      <c r="AF93" s="80">
        <v>129</v>
      </c>
      <c r="AG93" s="79"/>
      <c r="AH93" s="20">
        <f t="shared" si="9"/>
        <v>131.69999999999999</v>
      </c>
      <c r="AI93" s="19">
        <f t="shared" si="10"/>
        <v>125.5</v>
      </c>
    </row>
    <row r="94" spans="1:37" x14ac:dyDescent="0.25">
      <c r="A94" s="44" t="s">
        <v>145</v>
      </c>
      <c r="B94" s="80">
        <v>129.9</v>
      </c>
      <c r="C94" s="80">
        <v>129.9</v>
      </c>
      <c r="D94" s="80">
        <v>130.69999999999999</v>
      </c>
      <c r="E94" s="80">
        <v>129.4</v>
      </c>
      <c r="F94" s="80">
        <v>130</v>
      </c>
      <c r="G94" s="80">
        <v>130.69999999999999</v>
      </c>
      <c r="H94" s="80">
        <v>130.80000000000001</v>
      </c>
      <c r="I94" s="80">
        <v>133.5</v>
      </c>
      <c r="J94" s="80">
        <v>129.69999999999999</v>
      </c>
      <c r="K94" s="80">
        <v>129.19999999999999</v>
      </c>
      <c r="L94" s="80">
        <v>128.30000000000001</v>
      </c>
      <c r="M94" s="80">
        <v>127.2</v>
      </c>
      <c r="N94" s="80">
        <v>128.30000000000001</v>
      </c>
      <c r="O94" s="80">
        <v>129.4</v>
      </c>
      <c r="P94" s="80">
        <v>130.19999999999999</v>
      </c>
      <c r="Q94" s="80">
        <v>127.4</v>
      </c>
      <c r="R94" s="80">
        <v>128.5</v>
      </c>
      <c r="S94" s="80">
        <v>128.4</v>
      </c>
      <c r="T94" s="80">
        <v>130.6</v>
      </c>
      <c r="U94" s="80">
        <v>130</v>
      </c>
      <c r="V94" s="80">
        <v>128.1</v>
      </c>
      <c r="W94" s="80">
        <v>128.69999999999999</v>
      </c>
      <c r="X94" s="80">
        <v>128.6</v>
      </c>
      <c r="Y94" s="80">
        <v>129.9</v>
      </c>
      <c r="Z94" s="80">
        <v>129.9</v>
      </c>
      <c r="AA94" s="80">
        <v>127.1</v>
      </c>
      <c r="AB94" s="80">
        <v>129</v>
      </c>
      <c r="AC94" s="80">
        <v>129</v>
      </c>
      <c r="AD94" s="80">
        <v>129</v>
      </c>
      <c r="AE94" s="80">
        <v>129</v>
      </c>
      <c r="AF94" s="80">
        <v>129</v>
      </c>
      <c r="AG94" s="79"/>
      <c r="AH94" s="20">
        <f t="shared" si="9"/>
        <v>133.5</v>
      </c>
      <c r="AI94" s="19">
        <f t="shared" si="10"/>
        <v>127.1</v>
      </c>
    </row>
    <row r="95" spans="1:37" x14ac:dyDescent="0.25">
      <c r="A95" s="82" t="s">
        <v>144</v>
      </c>
      <c r="B95" s="80">
        <v>133.5</v>
      </c>
      <c r="C95" s="80">
        <v>132.1</v>
      </c>
      <c r="D95" s="80">
        <v>132.6</v>
      </c>
      <c r="E95" s="80">
        <v>131.1</v>
      </c>
      <c r="F95" s="80">
        <v>131.4</v>
      </c>
      <c r="G95" s="80">
        <v>131.30000000000001</v>
      </c>
      <c r="H95" s="80">
        <v>133.4</v>
      </c>
      <c r="I95" s="80">
        <v>132.6</v>
      </c>
      <c r="J95" s="80">
        <v>131.6</v>
      </c>
      <c r="K95" s="80">
        <v>131.1</v>
      </c>
      <c r="L95" s="80">
        <v>131.69999999999999</v>
      </c>
      <c r="M95" s="80">
        <v>130.69999999999999</v>
      </c>
      <c r="N95" s="80">
        <v>131.30000000000001</v>
      </c>
      <c r="O95" s="80">
        <v>132.30000000000001</v>
      </c>
      <c r="P95" s="80">
        <v>134.30000000000001</v>
      </c>
      <c r="Q95" s="80">
        <v>131.4</v>
      </c>
      <c r="R95" s="80">
        <v>131.19999999999999</v>
      </c>
      <c r="S95" s="80">
        <v>131.19999999999999</v>
      </c>
      <c r="T95" s="80">
        <v>134</v>
      </c>
      <c r="U95" s="80">
        <v>133.30000000000001</v>
      </c>
      <c r="V95" s="80">
        <v>131.4</v>
      </c>
      <c r="W95" s="80">
        <v>131.4</v>
      </c>
      <c r="X95" s="80">
        <v>125.8</v>
      </c>
      <c r="Y95" s="80">
        <v>131.9</v>
      </c>
      <c r="Z95" s="80">
        <v>131.9</v>
      </c>
      <c r="AA95" s="80">
        <v>130</v>
      </c>
      <c r="AB95" s="80">
        <v>132</v>
      </c>
      <c r="AC95" s="80">
        <v>132</v>
      </c>
      <c r="AD95" s="80">
        <v>132</v>
      </c>
      <c r="AE95" s="80">
        <v>132</v>
      </c>
      <c r="AF95" s="80">
        <v>132</v>
      </c>
      <c r="AG95" s="79"/>
      <c r="AH95" s="20">
        <f t="shared" si="9"/>
        <v>134.30000000000001</v>
      </c>
      <c r="AI95" s="19">
        <f t="shared" si="10"/>
        <v>125.8</v>
      </c>
    </row>
    <row r="96" spans="1:37" x14ac:dyDescent="0.25">
      <c r="A96" s="82" t="s">
        <v>143</v>
      </c>
      <c r="B96" s="66">
        <v>133.1</v>
      </c>
      <c r="C96" s="66">
        <v>131.19999999999999</v>
      </c>
      <c r="D96" s="66">
        <v>132.69999999999999</v>
      </c>
      <c r="E96" s="66">
        <v>135.1</v>
      </c>
      <c r="F96" s="66">
        <v>131.80000000000001</v>
      </c>
      <c r="G96" s="66">
        <v>131.5</v>
      </c>
      <c r="H96" s="66">
        <v>131.9</v>
      </c>
      <c r="I96" s="66">
        <v>131.1</v>
      </c>
      <c r="J96" s="66">
        <v>133.5</v>
      </c>
      <c r="K96" s="66">
        <v>133.69999999999999</v>
      </c>
      <c r="L96" s="66">
        <v>132.69999999999999</v>
      </c>
      <c r="M96" s="66">
        <v>132.5</v>
      </c>
      <c r="N96" s="66">
        <v>132.1</v>
      </c>
      <c r="O96" s="66">
        <v>133.80000000000001</v>
      </c>
      <c r="P96" s="66">
        <v>132.4</v>
      </c>
      <c r="Q96" s="66">
        <v>132.5</v>
      </c>
      <c r="R96" s="66">
        <v>132.6</v>
      </c>
      <c r="S96" s="66">
        <v>134.69999999999999</v>
      </c>
      <c r="T96" s="66">
        <v>131.30000000000001</v>
      </c>
      <c r="U96" s="66">
        <v>132</v>
      </c>
      <c r="V96" s="66">
        <v>132.9</v>
      </c>
      <c r="W96" s="66">
        <v>134.5</v>
      </c>
      <c r="X96" s="66">
        <v>130.1</v>
      </c>
      <c r="Y96" s="66">
        <v>132.4</v>
      </c>
      <c r="Z96" s="66">
        <v>132.4</v>
      </c>
      <c r="AA96" s="66">
        <v>130.4</v>
      </c>
      <c r="AB96" s="66">
        <v>132</v>
      </c>
      <c r="AC96" s="66">
        <v>132</v>
      </c>
      <c r="AD96" s="66">
        <v>132</v>
      </c>
      <c r="AE96" s="66">
        <v>132</v>
      </c>
      <c r="AF96" s="66">
        <v>132</v>
      </c>
      <c r="AG96" s="81"/>
      <c r="AH96" s="20">
        <f t="shared" si="9"/>
        <v>135.1</v>
      </c>
      <c r="AI96" s="19">
        <f t="shared" si="10"/>
        <v>130.1</v>
      </c>
    </row>
    <row r="97" spans="1:37" x14ac:dyDescent="0.25">
      <c r="A97" s="44" t="s">
        <v>142</v>
      </c>
      <c r="B97" s="80">
        <v>131.19999999999999</v>
      </c>
      <c r="C97" s="80">
        <v>129.9</v>
      </c>
      <c r="D97" s="80">
        <v>135.19999999999999</v>
      </c>
      <c r="E97" s="80">
        <v>136.6</v>
      </c>
      <c r="F97" s="80">
        <v>131.5</v>
      </c>
      <c r="G97" s="80">
        <v>130.1</v>
      </c>
      <c r="H97" s="80">
        <v>129.69999999999999</v>
      </c>
      <c r="I97" s="80">
        <v>130</v>
      </c>
      <c r="J97" s="80">
        <v>131.4</v>
      </c>
      <c r="K97" s="80">
        <v>133.30000000000001</v>
      </c>
      <c r="L97" s="80">
        <v>130.9</v>
      </c>
      <c r="M97" s="80">
        <v>130.1</v>
      </c>
      <c r="N97" s="80">
        <v>134.19999999999999</v>
      </c>
      <c r="O97" s="80">
        <v>127.1</v>
      </c>
      <c r="P97" s="80">
        <v>127.8</v>
      </c>
      <c r="Q97" s="80">
        <v>128.6</v>
      </c>
      <c r="R97" s="80">
        <v>126.6</v>
      </c>
      <c r="S97" s="80">
        <v>131</v>
      </c>
      <c r="T97" s="80">
        <v>126.5</v>
      </c>
      <c r="U97" s="80">
        <v>128.30000000000001</v>
      </c>
      <c r="V97" s="80">
        <v>130</v>
      </c>
      <c r="W97" s="80">
        <v>131</v>
      </c>
      <c r="X97" s="80">
        <v>130.9</v>
      </c>
      <c r="Y97" s="80">
        <v>129.30000000000001</v>
      </c>
      <c r="Z97" s="80">
        <v>129.30000000000001</v>
      </c>
      <c r="AA97" s="80">
        <v>124.3</v>
      </c>
      <c r="AB97" s="80">
        <v>129</v>
      </c>
      <c r="AC97" s="80">
        <v>129</v>
      </c>
      <c r="AD97" s="80">
        <v>129</v>
      </c>
      <c r="AE97" s="80">
        <v>129</v>
      </c>
      <c r="AF97" s="80">
        <v>129</v>
      </c>
      <c r="AG97" s="79"/>
      <c r="AH97" s="20">
        <f t="shared" si="9"/>
        <v>136.6</v>
      </c>
      <c r="AI97" s="19">
        <f t="shared" si="10"/>
        <v>124.3</v>
      </c>
    </row>
    <row r="98" spans="1:37" ht="15.75" thickBot="1" x14ac:dyDescent="0.3">
      <c r="A98" s="44" t="s">
        <v>141</v>
      </c>
      <c r="B98" s="77">
        <v>65.5</v>
      </c>
      <c r="C98" s="77">
        <v>65.7</v>
      </c>
      <c r="D98" s="77">
        <v>66.099999999999994</v>
      </c>
      <c r="E98" s="77">
        <v>66.5</v>
      </c>
      <c r="F98" s="77">
        <v>65.8</v>
      </c>
      <c r="G98" s="77">
        <v>65.900000000000006</v>
      </c>
      <c r="H98" s="77">
        <v>66.099999999999994</v>
      </c>
      <c r="I98" s="77">
        <v>65.8</v>
      </c>
      <c r="J98" s="77">
        <v>65.599999999999994</v>
      </c>
      <c r="K98" s="77">
        <v>65.3</v>
      </c>
      <c r="L98" s="77">
        <v>65.2</v>
      </c>
      <c r="M98" s="77">
        <v>64.3</v>
      </c>
      <c r="N98" s="77">
        <v>63.5</v>
      </c>
      <c r="O98" s="77">
        <v>63.9</v>
      </c>
      <c r="P98" s="77">
        <v>64.7</v>
      </c>
      <c r="Q98" s="77">
        <v>64.900000000000006</v>
      </c>
      <c r="R98" s="77">
        <v>65.400000000000006</v>
      </c>
      <c r="S98" s="77">
        <v>65.400000000000006</v>
      </c>
      <c r="T98" s="77">
        <v>65.400000000000006</v>
      </c>
      <c r="U98" s="77">
        <v>64.900000000000006</v>
      </c>
      <c r="V98" s="77">
        <v>65.099999999999994</v>
      </c>
      <c r="W98" s="77">
        <v>65.2</v>
      </c>
      <c r="X98" s="77">
        <v>64.900000000000006</v>
      </c>
      <c r="Y98" s="77">
        <v>64.5</v>
      </c>
      <c r="Z98" s="77">
        <v>64.5</v>
      </c>
      <c r="AA98" s="77">
        <v>65</v>
      </c>
      <c r="AB98" s="77">
        <v>65</v>
      </c>
      <c r="AC98" s="77">
        <v>65</v>
      </c>
      <c r="AD98" s="77">
        <v>65</v>
      </c>
      <c r="AE98" s="77">
        <v>65</v>
      </c>
      <c r="AF98" s="77">
        <v>65</v>
      </c>
      <c r="AG98" s="76"/>
      <c r="AH98" s="20">
        <f t="shared" si="9"/>
        <v>66.5</v>
      </c>
      <c r="AI98" s="19">
        <f t="shared" si="10"/>
        <v>63.5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9"/>
        <v>0</v>
      </c>
      <c r="AI99" s="19">
        <f t="shared" si="10"/>
        <v>0</v>
      </c>
    </row>
    <row r="100" spans="1:37" ht="15.75" thickBot="1" x14ac:dyDescent="0.3">
      <c r="A100" s="75" t="s">
        <v>140</v>
      </c>
      <c r="B100" s="74">
        <f t="shared" ref="B100:AF100" si="21">SUM(B15,B20,B22:B23,B48,B50:B51,B53,B55,B101:B105,B127,B133,B139,B148,B150,B162,B169,B172:B173,B180,B182,B184,B188:B190,B192:B194,B199,B205:B206,B208:B210,B218,B223)</f>
        <v>42.099999999999987</v>
      </c>
      <c r="C100" s="74">
        <f t="shared" si="21"/>
        <v>33.140000000000015</v>
      </c>
      <c r="D100" s="74">
        <f t="shared" si="21"/>
        <v>35.439999999999948</v>
      </c>
      <c r="E100" s="74">
        <f t="shared" si="21"/>
        <v>41.339999999999989</v>
      </c>
      <c r="F100" s="74">
        <f t="shared" si="21"/>
        <v>42.839999999999989</v>
      </c>
      <c r="G100" s="74">
        <f t="shared" si="21"/>
        <v>54.939999999999991</v>
      </c>
      <c r="H100" s="74">
        <f t="shared" si="21"/>
        <v>78.939999999999984</v>
      </c>
      <c r="I100" s="74">
        <f t="shared" si="21"/>
        <v>95.94</v>
      </c>
      <c r="J100" s="74">
        <f t="shared" si="21"/>
        <v>125.64</v>
      </c>
      <c r="K100" s="74">
        <f t="shared" si="21"/>
        <v>131.54</v>
      </c>
      <c r="L100" s="74">
        <f t="shared" si="21"/>
        <v>141.34</v>
      </c>
      <c r="M100" s="74">
        <f t="shared" si="21"/>
        <v>174.23999999999998</v>
      </c>
      <c r="N100" s="74">
        <f t="shared" si="21"/>
        <v>172.44</v>
      </c>
      <c r="O100" s="74">
        <f t="shared" si="21"/>
        <v>165.14000000000001</v>
      </c>
      <c r="P100" s="74">
        <f t="shared" si="21"/>
        <v>127.04</v>
      </c>
      <c r="Q100" s="74">
        <f t="shared" si="21"/>
        <v>130</v>
      </c>
      <c r="R100" s="74">
        <f t="shared" si="21"/>
        <v>124.9</v>
      </c>
      <c r="S100" s="74">
        <f t="shared" si="21"/>
        <v>124.89999999999999</v>
      </c>
      <c r="T100" s="74">
        <f t="shared" si="21"/>
        <v>140.59999999999997</v>
      </c>
      <c r="U100" s="74">
        <f t="shared" si="21"/>
        <v>137.30000000000001</v>
      </c>
      <c r="V100" s="74">
        <f t="shared" si="21"/>
        <v>137.09999999999997</v>
      </c>
      <c r="W100" s="74">
        <f t="shared" si="21"/>
        <v>149.39999999999998</v>
      </c>
      <c r="X100" s="74">
        <f t="shared" si="21"/>
        <v>193.20000000000002</v>
      </c>
      <c r="Y100" s="74">
        <f>SUM(Y15,Y20,Y22:Y23,Y48,Y50:Y51,Y53,Y55,Y101:Y106,Y127,Y133,Y139,Y148,Y150,Y162,Y169,Y172:Y173,Y180,Y182,Y184,Y188:Y190,Y192:Y194,Y199,Y205:Y206,Y208:Y210,Y218,Y223)</f>
        <v>286.79999999999995</v>
      </c>
      <c r="Z100" s="74">
        <f t="shared" si="21"/>
        <v>215.1</v>
      </c>
      <c r="AA100" s="74">
        <f t="shared" si="21"/>
        <v>188.89999999999998</v>
      </c>
      <c r="AB100" s="74">
        <f t="shared" si="21"/>
        <v>169.89999999999998</v>
      </c>
      <c r="AC100" s="74">
        <f t="shared" si="21"/>
        <v>164.89999999999998</v>
      </c>
      <c r="AD100" s="74">
        <f t="shared" si="21"/>
        <v>172.29999999999998</v>
      </c>
      <c r="AE100" s="74">
        <f t="shared" si="21"/>
        <v>87.299999999999983</v>
      </c>
      <c r="AF100" s="74">
        <f t="shared" si="21"/>
        <v>55.499999999999972</v>
      </c>
      <c r="AG100" s="73"/>
      <c r="AH100" s="20">
        <f t="shared" si="9"/>
        <v>286.79999999999995</v>
      </c>
      <c r="AI100" s="19">
        <f t="shared" si="10"/>
        <v>33.140000000000015</v>
      </c>
    </row>
    <row r="101" spans="1:37" x14ac:dyDescent="0.25">
      <c r="A101" s="47" t="s">
        <v>139</v>
      </c>
      <c r="B101" s="72">
        <v>6.9</v>
      </c>
      <c r="C101" s="72">
        <v>6.4</v>
      </c>
      <c r="D101" s="72">
        <v>8.6999999999999993</v>
      </c>
      <c r="E101" s="72">
        <v>13</v>
      </c>
      <c r="F101" s="72">
        <v>14</v>
      </c>
      <c r="G101" s="72">
        <v>11</v>
      </c>
      <c r="H101" s="72">
        <v>13</v>
      </c>
      <c r="I101" s="72">
        <v>15</v>
      </c>
      <c r="J101" s="72">
        <v>20</v>
      </c>
      <c r="K101" s="72">
        <v>21</v>
      </c>
      <c r="L101" s="72">
        <v>13</v>
      </c>
      <c r="M101" s="72">
        <v>13.1</v>
      </c>
      <c r="N101" s="72">
        <v>30.8</v>
      </c>
      <c r="O101" s="72">
        <v>29.8</v>
      </c>
      <c r="P101" s="72">
        <v>19.5</v>
      </c>
      <c r="Q101" s="72">
        <v>15</v>
      </c>
      <c r="R101" s="72">
        <v>14.9</v>
      </c>
      <c r="S101" s="72">
        <v>18.5</v>
      </c>
      <c r="T101" s="72">
        <v>13.6</v>
      </c>
      <c r="U101" s="72">
        <v>27</v>
      </c>
      <c r="V101" s="72">
        <v>28.7</v>
      </c>
      <c r="W101" s="72">
        <v>29</v>
      </c>
      <c r="X101" s="72">
        <v>31.8</v>
      </c>
      <c r="Y101" s="72">
        <v>29.9</v>
      </c>
      <c r="Z101" s="72">
        <v>24.6</v>
      </c>
      <c r="AA101" s="72">
        <v>22.5</v>
      </c>
      <c r="AB101" s="72">
        <v>28.6</v>
      </c>
      <c r="AC101" s="72">
        <v>28.6</v>
      </c>
      <c r="AD101" s="72"/>
      <c r="AE101" s="72">
        <v>20</v>
      </c>
      <c r="AF101" s="72">
        <v>15</v>
      </c>
      <c r="AG101" s="70">
        <v>75</v>
      </c>
      <c r="AH101" s="20">
        <f t="shared" si="9"/>
        <v>31.8</v>
      </c>
      <c r="AI101" s="19">
        <f t="shared" si="10"/>
        <v>6.4</v>
      </c>
    </row>
    <row r="102" spans="1:37" x14ac:dyDescent="0.25">
      <c r="A102" s="44" t="s">
        <v>138</v>
      </c>
      <c r="B102" s="71">
        <v>21.3</v>
      </c>
      <c r="C102" s="71">
        <v>20.3</v>
      </c>
      <c r="D102" s="71">
        <v>22.6</v>
      </c>
      <c r="E102" s="71">
        <v>28</v>
      </c>
      <c r="F102" s="71">
        <v>30</v>
      </c>
      <c r="G102" s="71">
        <v>27</v>
      </c>
      <c r="H102" s="71">
        <v>25</v>
      </c>
      <c r="I102" s="71">
        <v>27</v>
      </c>
      <c r="J102" s="71">
        <v>33</v>
      </c>
      <c r="K102" s="71">
        <v>33</v>
      </c>
      <c r="L102" s="71">
        <v>19</v>
      </c>
      <c r="M102" s="71">
        <v>20.7</v>
      </c>
      <c r="N102" s="71">
        <v>46.3</v>
      </c>
      <c r="O102" s="71">
        <v>46.8</v>
      </c>
      <c r="P102" s="71">
        <v>32.4</v>
      </c>
      <c r="Q102" s="71">
        <v>26.9</v>
      </c>
      <c r="R102" s="71">
        <v>28.3</v>
      </c>
      <c r="S102" s="71">
        <v>32.4</v>
      </c>
      <c r="T102" s="71">
        <v>26.1</v>
      </c>
      <c r="U102" s="71">
        <v>43.2</v>
      </c>
      <c r="V102" s="71">
        <v>44.4</v>
      </c>
      <c r="W102" s="71">
        <v>41.5</v>
      </c>
      <c r="X102" s="71">
        <v>46</v>
      </c>
      <c r="Y102" s="71">
        <v>47.2</v>
      </c>
      <c r="Z102" s="71">
        <v>41.5</v>
      </c>
      <c r="AA102" s="71">
        <v>38.5</v>
      </c>
      <c r="AB102" s="71">
        <v>46</v>
      </c>
      <c r="AC102" s="71">
        <v>46</v>
      </c>
      <c r="AD102" s="71"/>
      <c r="AE102" s="71">
        <v>35</v>
      </c>
      <c r="AF102" s="71">
        <v>29</v>
      </c>
      <c r="AG102" s="70">
        <v>240</v>
      </c>
      <c r="AH102" s="20">
        <f t="shared" si="9"/>
        <v>47.2</v>
      </c>
      <c r="AI102" s="19">
        <f t="shared" si="10"/>
        <v>19</v>
      </c>
    </row>
    <row r="103" spans="1:37" x14ac:dyDescent="0.25">
      <c r="A103" s="44" t="s">
        <v>137</v>
      </c>
      <c r="B103" s="71">
        <f>-70-74</f>
        <v>-144</v>
      </c>
      <c r="C103" s="71">
        <f>-72-77</f>
        <v>-149</v>
      </c>
      <c r="D103" s="71">
        <f>-70-73.8</f>
        <v>-143.80000000000001</v>
      </c>
      <c r="E103" s="71">
        <v>-146</v>
      </c>
      <c r="F103" s="71">
        <v>-147</v>
      </c>
      <c r="G103" s="71">
        <v>-133</v>
      </c>
      <c r="H103" s="71">
        <v>-110</v>
      </c>
      <c r="I103" s="71">
        <v>-100</v>
      </c>
      <c r="J103" s="71">
        <v>-83</v>
      </c>
      <c r="K103" s="71">
        <v>-80</v>
      </c>
      <c r="L103" s="71">
        <v>-62</v>
      </c>
      <c r="M103" s="71">
        <v>-54</v>
      </c>
      <c r="N103" s="71">
        <v>-46</v>
      </c>
      <c r="O103" s="71">
        <v>-52</v>
      </c>
      <c r="P103" s="71">
        <v>-103</v>
      </c>
      <c r="Q103" s="71">
        <v>-91</v>
      </c>
      <c r="R103" s="71">
        <v>-96</v>
      </c>
      <c r="S103" s="71">
        <f>-49-51</f>
        <v>-100</v>
      </c>
      <c r="T103" s="71">
        <f>-34-36</f>
        <v>-70</v>
      </c>
      <c r="U103" s="71">
        <f>-47-50</f>
        <v>-97</v>
      </c>
      <c r="V103" s="71">
        <f>-47-51</f>
        <v>-98</v>
      </c>
      <c r="W103" s="71">
        <f>-43.8-47.1</f>
        <v>-90.9</v>
      </c>
      <c r="X103" s="71">
        <f>-29-31.5</f>
        <v>-60.5</v>
      </c>
      <c r="Y103" s="71">
        <v>-84.2</v>
      </c>
      <c r="Z103" s="71">
        <v>-98.2</v>
      </c>
      <c r="AA103" s="71">
        <f>-56.7-61.4</f>
        <v>-118.1</v>
      </c>
      <c r="AB103" s="71">
        <v>-90</v>
      </c>
      <c r="AC103" s="71">
        <v>-90</v>
      </c>
      <c r="AD103" s="71"/>
      <c r="AE103" s="71">
        <v>-130</v>
      </c>
      <c r="AF103" s="71">
        <v>-140</v>
      </c>
      <c r="AG103" s="70">
        <v>240</v>
      </c>
      <c r="AH103" s="20">
        <f t="shared" si="9"/>
        <v>-46</v>
      </c>
      <c r="AI103" s="19">
        <f t="shared" si="10"/>
        <v>-149</v>
      </c>
    </row>
    <row r="104" spans="1:37" x14ac:dyDescent="0.25">
      <c r="A104" s="44" t="s">
        <v>136</v>
      </c>
      <c r="B104" s="71">
        <v>-5.6</v>
      </c>
      <c r="C104" s="71">
        <v>-7</v>
      </c>
      <c r="D104" s="71">
        <v>-4.4000000000000004</v>
      </c>
      <c r="E104" s="71">
        <v>-6.2</v>
      </c>
      <c r="F104" s="71">
        <v>-6.7</v>
      </c>
      <c r="G104" s="71">
        <v>-2.6</v>
      </c>
      <c r="H104" s="71">
        <v>-1.2</v>
      </c>
      <c r="I104" s="71">
        <v>1.4</v>
      </c>
      <c r="J104" s="71">
        <v>3.3</v>
      </c>
      <c r="K104" s="71">
        <v>5.2</v>
      </c>
      <c r="L104" s="71">
        <v>8</v>
      </c>
      <c r="M104" s="71">
        <v>8.6</v>
      </c>
      <c r="N104" s="71">
        <v>13.7</v>
      </c>
      <c r="O104" s="71">
        <v>12.9</v>
      </c>
      <c r="P104" s="71">
        <v>6.7</v>
      </c>
      <c r="Q104" s="71">
        <v>6.6</v>
      </c>
      <c r="R104" s="71">
        <v>5.4</v>
      </c>
      <c r="S104" s="71">
        <v>5.7</v>
      </c>
      <c r="T104" s="71">
        <v>5.6</v>
      </c>
      <c r="U104" s="71">
        <v>7.3</v>
      </c>
      <c r="V104" s="71">
        <v>7.2</v>
      </c>
      <c r="W104" s="71">
        <v>8</v>
      </c>
      <c r="X104" s="71">
        <v>13.8</v>
      </c>
      <c r="Y104" s="71">
        <v>7.8</v>
      </c>
      <c r="Z104" s="71">
        <v>6.5</v>
      </c>
      <c r="AA104" s="71">
        <v>5.3</v>
      </c>
      <c r="AB104" s="71">
        <v>8</v>
      </c>
      <c r="AC104" s="71">
        <v>8</v>
      </c>
      <c r="AD104" s="71"/>
      <c r="AE104" s="71">
        <v>0</v>
      </c>
      <c r="AF104" s="71">
        <v>-2</v>
      </c>
      <c r="AG104" s="70">
        <v>60</v>
      </c>
      <c r="AH104" s="20">
        <f t="shared" si="9"/>
        <v>13.8</v>
      </c>
      <c r="AI104" s="19">
        <f t="shared" si="10"/>
        <v>-7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71">
        <v>63.4</v>
      </c>
      <c r="Z105" s="68">
        <v>63.4</v>
      </c>
      <c r="AA105" s="68">
        <v>63.4</v>
      </c>
      <c r="AB105" s="68">
        <v>0</v>
      </c>
      <c r="AC105" s="68">
        <v>0</v>
      </c>
      <c r="AD105" s="68"/>
      <c r="AE105" s="68">
        <v>0</v>
      </c>
      <c r="AF105" s="68">
        <v>0</v>
      </c>
      <c r="AG105" s="69">
        <v>120</v>
      </c>
      <c r="AH105" s="20">
        <f t="shared" si="9"/>
        <v>63.4</v>
      </c>
      <c r="AI105" s="19">
        <f t="shared" si="10"/>
        <v>0</v>
      </c>
    </row>
    <row r="106" spans="1:37" x14ac:dyDescent="0.25">
      <c r="A106" s="40" t="s">
        <v>134</v>
      </c>
      <c r="B106" s="68">
        <v>32.5</v>
      </c>
      <c r="C106" s="68">
        <v>26.8</v>
      </c>
      <c r="D106" s="68">
        <v>25.5</v>
      </c>
      <c r="E106" s="68">
        <v>20</v>
      </c>
      <c r="F106" s="68">
        <v>20</v>
      </c>
      <c r="G106" s="68">
        <v>23</v>
      </c>
      <c r="H106" s="68">
        <v>27</v>
      </c>
      <c r="I106" s="68">
        <v>33</v>
      </c>
      <c r="J106" s="68">
        <v>36</v>
      </c>
      <c r="K106" s="68">
        <v>37</v>
      </c>
      <c r="L106" s="68">
        <v>51</v>
      </c>
      <c r="M106" s="68">
        <v>63.8</v>
      </c>
      <c r="N106" s="68">
        <v>58.9</v>
      </c>
      <c r="O106" s="68">
        <v>57.9</v>
      </c>
      <c r="P106" s="68">
        <v>31.6</v>
      </c>
      <c r="Q106" s="68">
        <v>40</v>
      </c>
      <c r="R106" s="68">
        <v>35.1</v>
      </c>
      <c r="S106" s="68">
        <v>27</v>
      </c>
      <c r="T106" s="68">
        <v>50</v>
      </c>
      <c r="U106" s="68">
        <v>20</v>
      </c>
      <c r="V106" s="68">
        <v>14</v>
      </c>
      <c r="W106" s="68">
        <v>17.8</v>
      </c>
      <c r="X106" s="68">
        <v>37.299999999999997</v>
      </c>
      <c r="Y106" s="68">
        <v>30.4</v>
      </c>
      <c r="Z106" s="68">
        <v>25.4</v>
      </c>
      <c r="AA106" s="68">
        <v>8.6</v>
      </c>
      <c r="AB106" s="68">
        <v>25</v>
      </c>
      <c r="AC106" s="68">
        <v>25</v>
      </c>
      <c r="AD106" s="68"/>
      <c r="AE106" s="68">
        <v>7</v>
      </c>
      <c r="AF106" s="68">
        <v>2</v>
      </c>
      <c r="AG106" s="69"/>
      <c r="AH106" s="20">
        <f t="shared" si="9"/>
        <v>63.8</v>
      </c>
      <c r="AI106" s="19">
        <f t="shared" si="10"/>
        <v>2</v>
      </c>
    </row>
    <row r="107" spans="1:37" x14ac:dyDescent="0.25">
      <c r="A107" s="40" t="s">
        <v>133</v>
      </c>
      <c r="B107" s="68">
        <v>61</v>
      </c>
      <c r="C107" s="68">
        <v>64.599999999999994</v>
      </c>
      <c r="D107" s="68">
        <v>53.2</v>
      </c>
      <c r="E107" s="68">
        <v>35</v>
      </c>
      <c r="F107" s="68">
        <v>32</v>
      </c>
      <c r="G107" s="68">
        <v>44</v>
      </c>
      <c r="H107" s="68">
        <v>52</v>
      </c>
      <c r="I107" s="68">
        <v>46</v>
      </c>
      <c r="J107" s="68">
        <v>34</v>
      </c>
      <c r="K107" s="68">
        <v>35</v>
      </c>
      <c r="L107" s="68">
        <v>23</v>
      </c>
      <c r="M107" s="68">
        <v>27</v>
      </c>
      <c r="N107" s="68">
        <v>20.7</v>
      </c>
      <c r="O107" s="68">
        <v>16.899999999999999</v>
      </c>
      <c r="P107" s="68">
        <v>12.4</v>
      </c>
      <c r="Q107" s="68">
        <v>31.4</v>
      </c>
      <c r="R107" s="68">
        <v>46</v>
      </c>
      <c r="S107" s="68">
        <v>29.3</v>
      </c>
      <c r="T107" s="68">
        <v>36.4</v>
      </c>
      <c r="U107" s="68">
        <v>12</v>
      </c>
      <c r="V107" s="68">
        <v>2.2999999999999998</v>
      </c>
      <c r="W107" s="68">
        <v>7.6</v>
      </c>
      <c r="X107" s="68">
        <v>5.8</v>
      </c>
      <c r="Y107" s="68">
        <v>44.7</v>
      </c>
      <c r="Z107" s="68">
        <v>61</v>
      </c>
      <c r="AA107" s="68">
        <v>59.4</v>
      </c>
      <c r="AB107" s="68">
        <v>48</v>
      </c>
      <c r="AC107" s="68">
        <v>48</v>
      </c>
      <c r="AD107" s="68"/>
      <c r="AE107" s="68">
        <v>25</v>
      </c>
      <c r="AF107" s="68">
        <v>34</v>
      </c>
      <c r="AG107" s="48"/>
      <c r="AH107" s="20">
        <f t="shared" si="9"/>
        <v>64.599999999999994</v>
      </c>
      <c r="AI107" s="19">
        <f t="shared" si="10"/>
        <v>2.2999999999999998</v>
      </c>
    </row>
    <row r="108" spans="1:37" x14ac:dyDescent="0.25">
      <c r="A108" s="67" t="s">
        <v>132</v>
      </c>
      <c r="B108" s="66">
        <v>116.4</v>
      </c>
      <c r="C108" s="66">
        <v>119.4</v>
      </c>
      <c r="D108" s="66">
        <v>120.3</v>
      </c>
      <c r="E108" s="66">
        <v>120</v>
      </c>
      <c r="F108" s="66">
        <v>110</v>
      </c>
      <c r="G108" s="66">
        <v>116</v>
      </c>
      <c r="H108" s="66">
        <v>115</v>
      </c>
      <c r="I108" s="66">
        <v>117</v>
      </c>
      <c r="J108" s="66">
        <v>119</v>
      </c>
      <c r="K108" s="66">
        <v>116</v>
      </c>
      <c r="L108" s="66">
        <v>112</v>
      </c>
      <c r="M108" s="66">
        <v>110.5</v>
      </c>
      <c r="N108" s="66">
        <v>108.5</v>
      </c>
      <c r="O108" s="66">
        <v>111.3</v>
      </c>
      <c r="P108" s="66">
        <v>108</v>
      </c>
      <c r="Q108" s="66">
        <v>96.6</v>
      </c>
      <c r="R108" s="66">
        <v>103.3</v>
      </c>
      <c r="S108" s="66">
        <v>104</v>
      </c>
      <c r="T108" s="66">
        <v>82.6</v>
      </c>
      <c r="U108" s="66">
        <v>80</v>
      </c>
      <c r="V108" s="66">
        <v>105</v>
      </c>
      <c r="W108" s="66">
        <v>107.1</v>
      </c>
      <c r="X108" s="66">
        <v>92.9</v>
      </c>
      <c r="Y108" s="68">
        <v>93.3</v>
      </c>
      <c r="Z108" s="66">
        <v>95.3</v>
      </c>
      <c r="AA108" s="66">
        <v>93.7</v>
      </c>
      <c r="AB108" s="66">
        <v>98</v>
      </c>
      <c r="AC108" s="66">
        <v>98</v>
      </c>
      <c r="AD108" s="66"/>
      <c r="AE108" s="66">
        <v>107</v>
      </c>
      <c r="AF108" s="66">
        <v>104</v>
      </c>
      <c r="AG108" s="48"/>
      <c r="AH108" s="20">
        <f t="shared" si="9"/>
        <v>120.3</v>
      </c>
      <c r="AI108" s="19">
        <f t="shared" si="10"/>
        <v>80</v>
      </c>
    </row>
    <row r="109" spans="1:37" ht="15.75" thickBot="1" x14ac:dyDescent="0.3">
      <c r="A109" s="67" t="s">
        <v>131</v>
      </c>
      <c r="B109" s="66">
        <v>87.9</v>
      </c>
      <c r="C109" s="66">
        <v>86.7</v>
      </c>
      <c r="D109" s="66">
        <v>89</v>
      </c>
      <c r="E109" s="66">
        <v>90</v>
      </c>
      <c r="F109" s="66">
        <v>99</v>
      </c>
      <c r="G109" s="66">
        <v>83</v>
      </c>
      <c r="H109" s="66">
        <v>68</v>
      </c>
      <c r="I109" s="66">
        <v>61</v>
      </c>
      <c r="J109" s="66">
        <v>52</v>
      </c>
      <c r="K109" s="66">
        <v>49</v>
      </c>
      <c r="L109" s="66">
        <v>33</v>
      </c>
      <c r="M109" s="66">
        <v>31.3</v>
      </c>
      <c r="N109" s="66">
        <v>26.5</v>
      </c>
      <c r="O109" s="66">
        <v>35.700000000000003</v>
      </c>
      <c r="P109" s="66">
        <v>62.9</v>
      </c>
      <c r="Q109" s="66">
        <v>52.6</v>
      </c>
      <c r="R109" s="66">
        <v>54.4</v>
      </c>
      <c r="S109" s="66">
        <v>65</v>
      </c>
      <c r="T109" s="66">
        <v>47.1</v>
      </c>
      <c r="U109" s="66">
        <v>64.400000000000006</v>
      </c>
      <c r="V109" s="66">
        <v>66</v>
      </c>
      <c r="W109" s="66">
        <v>61.1</v>
      </c>
      <c r="X109" s="66">
        <v>35.6</v>
      </c>
      <c r="Y109" s="66">
        <v>50.1</v>
      </c>
      <c r="Z109" s="66">
        <v>62.4</v>
      </c>
      <c r="AA109" s="66">
        <v>71</v>
      </c>
      <c r="AB109" s="66">
        <v>55</v>
      </c>
      <c r="AC109" s="66">
        <v>55</v>
      </c>
      <c r="AD109" s="66"/>
      <c r="AE109" s="66">
        <v>85</v>
      </c>
      <c r="AF109" s="66">
        <v>90</v>
      </c>
      <c r="AG109" s="48"/>
      <c r="AH109" s="20">
        <f t="shared" si="9"/>
        <v>99</v>
      </c>
      <c r="AI109" s="19">
        <f t="shared" si="10"/>
        <v>26.5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2">SUM(B111:B215)</f>
        <v>0</v>
      </c>
      <c r="C216" s="36">
        <f t="shared" si="22"/>
        <v>0</v>
      </c>
      <c r="D216" s="36">
        <f t="shared" si="22"/>
        <v>0</v>
      </c>
      <c r="E216" s="36">
        <f t="shared" si="22"/>
        <v>0</v>
      </c>
      <c r="F216" s="36">
        <f t="shared" si="22"/>
        <v>0</v>
      </c>
      <c r="G216" s="36">
        <f t="shared" si="22"/>
        <v>0</v>
      </c>
      <c r="H216" s="36">
        <f t="shared" si="22"/>
        <v>0</v>
      </c>
      <c r="I216" s="36">
        <f t="shared" si="22"/>
        <v>0</v>
      </c>
      <c r="J216" s="36">
        <f t="shared" si="22"/>
        <v>0</v>
      </c>
      <c r="K216" s="36">
        <f t="shared" si="22"/>
        <v>0</v>
      </c>
      <c r="L216" s="36">
        <f t="shared" si="22"/>
        <v>0</v>
      </c>
      <c r="M216" s="36">
        <f t="shared" si="22"/>
        <v>0</v>
      </c>
      <c r="N216" s="36">
        <f t="shared" si="22"/>
        <v>0</v>
      </c>
      <c r="O216" s="36">
        <f t="shared" si="22"/>
        <v>0</v>
      </c>
      <c r="P216" s="36">
        <f t="shared" si="22"/>
        <v>0</v>
      </c>
      <c r="Q216" s="36">
        <f t="shared" si="22"/>
        <v>0</v>
      </c>
      <c r="R216" s="36">
        <f t="shared" si="22"/>
        <v>0</v>
      </c>
      <c r="S216" s="36">
        <f t="shared" si="22"/>
        <v>0</v>
      </c>
      <c r="T216" s="36">
        <f t="shared" si="22"/>
        <v>0</v>
      </c>
      <c r="U216" s="36">
        <f t="shared" si="22"/>
        <v>0</v>
      </c>
      <c r="V216" s="36">
        <f t="shared" si="22"/>
        <v>0</v>
      </c>
      <c r="W216" s="36">
        <f t="shared" si="22"/>
        <v>0</v>
      </c>
      <c r="X216" s="36">
        <f t="shared" si="22"/>
        <v>0</v>
      </c>
      <c r="Y216" s="36">
        <f t="shared" si="22"/>
        <v>0</v>
      </c>
      <c r="Z216" s="36">
        <f t="shared" si="22"/>
        <v>0</v>
      </c>
      <c r="AA216" s="36">
        <f t="shared" si="22"/>
        <v>0</v>
      </c>
      <c r="AB216" s="36">
        <f t="shared" si="22"/>
        <v>0</v>
      </c>
      <c r="AC216" s="36">
        <f t="shared" si="22"/>
        <v>0</v>
      </c>
      <c r="AD216" s="36">
        <f t="shared" si="22"/>
        <v>0</v>
      </c>
      <c r="AE216" s="36">
        <f t="shared" si="22"/>
        <v>0</v>
      </c>
      <c r="AF216" s="51">
        <f t="shared" si="22"/>
        <v>0</v>
      </c>
      <c r="AG216" s="50">
        <f t="shared" si="22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3">AF218</f>
        <v>0</v>
      </c>
      <c r="C218" s="46">
        <v>0.3</v>
      </c>
      <c r="D218" s="46">
        <f t="shared" ref="D218:P223" si="24">C218</f>
        <v>0.3</v>
      </c>
      <c r="E218" s="46">
        <f t="shared" si="24"/>
        <v>0.3</v>
      </c>
      <c r="F218" s="46">
        <f t="shared" si="24"/>
        <v>0.3</v>
      </c>
      <c r="G218" s="46">
        <f t="shared" si="24"/>
        <v>0.3</v>
      </c>
      <c r="H218" s="46">
        <f t="shared" si="24"/>
        <v>0.3</v>
      </c>
      <c r="I218" s="46">
        <f t="shared" si="24"/>
        <v>0.3</v>
      </c>
      <c r="J218" s="46">
        <f t="shared" si="24"/>
        <v>0.3</v>
      </c>
      <c r="K218" s="46">
        <f t="shared" si="24"/>
        <v>0.3</v>
      </c>
      <c r="L218" s="46">
        <f t="shared" si="24"/>
        <v>0.3</v>
      </c>
      <c r="M218" s="46">
        <f t="shared" si="24"/>
        <v>0.3</v>
      </c>
      <c r="N218" s="46">
        <f t="shared" si="24"/>
        <v>0.3</v>
      </c>
      <c r="O218" s="46">
        <f t="shared" si="24"/>
        <v>0.3</v>
      </c>
      <c r="P218" s="46">
        <f t="shared" si="24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3"/>
        <v>0</v>
      </c>
      <c r="C219" s="43">
        <v>0.4</v>
      </c>
      <c r="D219" s="43">
        <f t="shared" si="24"/>
        <v>0.4</v>
      </c>
      <c r="E219" s="43">
        <f t="shared" si="24"/>
        <v>0.4</v>
      </c>
      <c r="F219" s="43">
        <f t="shared" si="24"/>
        <v>0.4</v>
      </c>
      <c r="G219" s="43">
        <f t="shared" si="24"/>
        <v>0.4</v>
      </c>
      <c r="H219" s="43">
        <f t="shared" si="24"/>
        <v>0.4</v>
      </c>
      <c r="I219" s="43">
        <f t="shared" si="24"/>
        <v>0.4</v>
      </c>
      <c r="J219" s="43">
        <f t="shared" si="24"/>
        <v>0.4</v>
      </c>
      <c r="K219" s="43">
        <f t="shared" si="24"/>
        <v>0.4</v>
      </c>
      <c r="L219" s="43">
        <f t="shared" si="24"/>
        <v>0.4</v>
      </c>
      <c r="M219" s="43">
        <f t="shared" si="24"/>
        <v>0.4</v>
      </c>
      <c r="N219" s="43">
        <f t="shared" si="24"/>
        <v>0.4</v>
      </c>
      <c r="O219" s="43">
        <f t="shared" si="24"/>
        <v>0.4</v>
      </c>
      <c r="P219" s="43">
        <f t="shared" si="24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3"/>
        <v>0</v>
      </c>
      <c r="C220" s="43">
        <v>1.5</v>
      </c>
      <c r="D220" s="43">
        <f t="shared" si="24"/>
        <v>1.5</v>
      </c>
      <c r="E220" s="43">
        <f t="shared" si="24"/>
        <v>1.5</v>
      </c>
      <c r="F220" s="43">
        <f t="shared" si="24"/>
        <v>1.5</v>
      </c>
      <c r="G220" s="43">
        <f t="shared" si="24"/>
        <v>1.5</v>
      </c>
      <c r="H220" s="43">
        <f t="shared" si="24"/>
        <v>1.5</v>
      </c>
      <c r="I220" s="43">
        <f t="shared" si="24"/>
        <v>1.5</v>
      </c>
      <c r="J220" s="43">
        <f t="shared" si="24"/>
        <v>1.5</v>
      </c>
      <c r="K220" s="43">
        <f t="shared" si="24"/>
        <v>1.5</v>
      </c>
      <c r="L220" s="43">
        <f t="shared" si="24"/>
        <v>1.5</v>
      </c>
      <c r="M220" s="43">
        <f t="shared" si="24"/>
        <v>1.5</v>
      </c>
      <c r="N220" s="43">
        <f t="shared" si="24"/>
        <v>1.5</v>
      </c>
      <c r="O220" s="43">
        <f t="shared" si="24"/>
        <v>1.5</v>
      </c>
      <c r="P220" s="43">
        <f t="shared" si="24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3"/>
        <v>0</v>
      </c>
      <c r="C221" s="43">
        <v>0.3</v>
      </c>
      <c r="D221" s="43">
        <f t="shared" si="24"/>
        <v>0.3</v>
      </c>
      <c r="E221" s="43">
        <f t="shared" si="24"/>
        <v>0.3</v>
      </c>
      <c r="F221" s="43">
        <f t="shared" si="24"/>
        <v>0.3</v>
      </c>
      <c r="G221" s="43">
        <f t="shared" si="24"/>
        <v>0.3</v>
      </c>
      <c r="H221" s="43">
        <f t="shared" si="24"/>
        <v>0.3</v>
      </c>
      <c r="I221" s="43">
        <f t="shared" si="24"/>
        <v>0.3</v>
      </c>
      <c r="J221" s="43">
        <f t="shared" si="24"/>
        <v>0.3</v>
      </c>
      <c r="K221" s="43">
        <f t="shared" si="24"/>
        <v>0.3</v>
      </c>
      <c r="L221" s="43">
        <f t="shared" si="24"/>
        <v>0.3</v>
      </c>
      <c r="M221" s="43">
        <f t="shared" si="24"/>
        <v>0.3</v>
      </c>
      <c r="N221" s="43">
        <f t="shared" si="24"/>
        <v>0.3</v>
      </c>
      <c r="O221" s="43">
        <f t="shared" si="24"/>
        <v>0.3</v>
      </c>
      <c r="P221" s="43">
        <f t="shared" si="24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3"/>
        <v>0</v>
      </c>
      <c r="C222" s="43">
        <v>0.4</v>
      </c>
      <c r="D222" s="43">
        <f t="shared" si="24"/>
        <v>0.4</v>
      </c>
      <c r="E222" s="43">
        <f t="shared" si="24"/>
        <v>0.4</v>
      </c>
      <c r="F222" s="43">
        <f t="shared" si="24"/>
        <v>0.4</v>
      </c>
      <c r="G222" s="43">
        <f t="shared" si="24"/>
        <v>0.4</v>
      </c>
      <c r="H222" s="43">
        <f t="shared" si="24"/>
        <v>0.4</v>
      </c>
      <c r="I222" s="43">
        <f t="shared" si="24"/>
        <v>0.4</v>
      </c>
      <c r="J222" s="43">
        <f t="shared" si="24"/>
        <v>0.4</v>
      </c>
      <c r="K222" s="43">
        <f t="shared" si="24"/>
        <v>0.4</v>
      </c>
      <c r="L222" s="43">
        <f t="shared" si="24"/>
        <v>0.4</v>
      </c>
      <c r="M222" s="43">
        <f t="shared" si="24"/>
        <v>0.4</v>
      </c>
      <c r="N222" s="43">
        <f t="shared" si="24"/>
        <v>0.4</v>
      </c>
      <c r="O222" s="43">
        <f t="shared" si="24"/>
        <v>0.4</v>
      </c>
      <c r="P222" s="43">
        <f t="shared" si="24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3"/>
        <v>0</v>
      </c>
      <c r="C223" s="39">
        <v>0.64</v>
      </c>
      <c r="D223" s="39">
        <f t="shared" si="24"/>
        <v>0.64</v>
      </c>
      <c r="E223" s="39">
        <f t="shared" si="24"/>
        <v>0.64</v>
      </c>
      <c r="F223" s="39">
        <f t="shared" si="24"/>
        <v>0.64</v>
      </c>
      <c r="G223" s="39">
        <f t="shared" si="24"/>
        <v>0.64</v>
      </c>
      <c r="H223" s="39">
        <f t="shared" si="24"/>
        <v>0.64</v>
      </c>
      <c r="I223" s="39">
        <f t="shared" si="24"/>
        <v>0.64</v>
      </c>
      <c r="J223" s="39">
        <f t="shared" si="24"/>
        <v>0.64</v>
      </c>
      <c r="K223" s="39">
        <f t="shared" si="24"/>
        <v>0.64</v>
      </c>
      <c r="L223" s="39">
        <f t="shared" si="24"/>
        <v>0.64</v>
      </c>
      <c r="M223" s="39">
        <f t="shared" si="24"/>
        <v>0.64</v>
      </c>
      <c r="N223" s="39">
        <f t="shared" si="24"/>
        <v>0.64</v>
      </c>
      <c r="O223" s="39">
        <f t="shared" si="24"/>
        <v>0.64</v>
      </c>
      <c r="P223" s="39">
        <f t="shared" si="24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5">SUM(B218:B223)</f>
        <v>0</v>
      </c>
      <c r="C224" s="36">
        <f t="shared" si="25"/>
        <v>3.54</v>
      </c>
      <c r="D224" s="36">
        <f t="shared" si="25"/>
        <v>3.54</v>
      </c>
      <c r="E224" s="36">
        <f t="shared" si="25"/>
        <v>3.54</v>
      </c>
      <c r="F224" s="36">
        <f t="shared" si="25"/>
        <v>3.54</v>
      </c>
      <c r="G224" s="36">
        <f t="shared" si="25"/>
        <v>3.54</v>
      </c>
      <c r="H224" s="36">
        <f t="shared" si="25"/>
        <v>3.54</v>
      </c>
      <c r="I224" s="36">
        <f t="shared" si="25"/>
        <v>3.54</v>
      </c>
      <c r="J224" s="36">
        <f t="shared" si="25"/>
        <v>3.54</v>
      </c>
      <c r="K224" s="36">
        <f t="shared" si="25"/>
        <v>3.54</v>
      </c>
      <c r="L224" s="36">
        <f t="shared" si="25"/>
        <v>3.54</v>
      </c>
      <c r="M224" s="36">
        <f t="shared" si="25"/>
        <v>3.54</v>
      </c>
      <c r="N224" s="36">
        <f t="shared" si="25"/>
        <v>3.54</v>
      </c>
      <c r="O224" s="36">
        <f t="shared" si="25"/>
        <v>3.54</v>
      </c>
      <c r="P224" s="36">
        <f t="shared" si="25"/>
        <v>3.54</v>
      </c>
      <c r="Q224" s="36">
        <f t="shared" si="25"/>
        <v>0</v>
      </c>
      <c r="R224" s="36">
        <f t="shared" si="25"/>
        <v>0</v>
      </c>
      <c r="S224" s="36">
        <f t="shared" si="25"/>
        <v>0</v>
      </c>
      <c r="T224" s="36">
        <f t="shared" si="25"/>
        <v>0</v>
      </c>
      <c r="U224" s="36">
        <f t="shared" si="25"/>
        <v>0</v>
      </c>
      <c r="V224" s="36">
        <f t="shared" si="25"/>
        <v>0</v>
      </c>
      <c r="W224" s="36">
        <f t="shared" si="25"/>
        <v>0</v>
      </c>
      <c r="X224" s="36">
        <f t="shared" si="25"/>
        <v>0</v>
      </c>
      <c r="Y224" s="36">
        <f t="shared" si="25"/>
        <v>0</v>
      </c>
      <c r="Z224" s="36">
        <f t="shared" si="25"/>
        <v>0</v>
      </c>
      <c r="AA224" s="36">
        <f t="shared" si="25"/>
        <v>0</v>
      </c>
      <c r="AB224" s="36">
        <f t="shared" si="25"/>
        <v>0</v>
      </c>
      <c r="AC224" s="36">
        <f t="shared" si="25"/>
        <v>0</v>
      </c>
      <c r="AD224" s="36">
        <f t="shared" si="25"/>
        <v>0</v>
      </c>
      <c r="AE224" s="36">
        <f t="shared" si="25"/>
        <v>0</v>
      </c>
      <c r="AF224" s="36">
        <f t="shared" si="25"/>
        <v>0</v>
      </c>
      <c r="AG224" s="35">
        <f t="shared" si="25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1726.74</v>
      </c>
      <c r="C233" s="16">
        <f>INDEX(G9:N9,1,MATCH(MAX(G81:N81),G81:N81,0))</f>
        <v>0.33333333333333331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15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2079/06/15)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2079/06/15)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6">B81</f>
        <v>1741.8400000000001</v>
      </c>
      <c r="U238" s="9">
        <f t="shared" si="26"/>
        <v>1735.8400000000001</v>
      </c>
      <c r="V238" s="9">
        <f t="shared" si="26"/>
        <v>1715.14</v>
      </c>
      <c r="W238" s="9">
        <f t="shared" si="26"/>
        <v>1702.9399999999998</v>
      </c>
      <c r="X238" s="9">
        <f t="shared" si="26"/>
        <v>1666.8399999999997</v>
      </c>
      <c r="Y238" s="9">
        <f t="shared" si="26"/>
        <v>1666.7399999999998</v>
      </c>
      <c r="Z238" s="9">
        <f t="shared" si="26"/>
        <v>1667.2399999999998</v>
      </c>
      <c r="AA238" s="9">
        <f t="shared" si="26"/>
        <v>1666.8399999999997</v>
      </c>
      <c r="AB238" s="9">
        <f t="shared" si="26"/>
        <v>1668.7399999999998</v>
      </c>
      <c r="AC238" s="9">
        <f t="shared" si="26"/>
        <v>1668.5399999999997</v>
      </c>
      <c r="AD238" s="9">
        <f t="shared" si="26"/>
        <v>1686.24</v>
      </c>
      <c r="AE238" s="9">
        <f t="shared" si="26"/>
        <v>1726.74</v>
      </c>
      <c r="AF238" s="9">
        <f t="shared" si="26"/>
        <v>1702.04</v>
      </c>
      <c r="AG238" s="9">
        <f t="shared" si="26"/>
        <v>1710.04</v>
      </c>
      <c r="AH238" s="9">
        <f t="shared" si="26"/>
        <v>1769.44</v>
      </c>
      <c r="AI238" s="9">
        <f t="shared" si="26"/>
        <v>1732.44</v>
      </c>
      <c r="AJ238" s="9">
        <f t="shared" si="26"/>
        <v>1758.9399999999998</v>
      </c>
      <c r="AK238" s="9">
        <f t="shared" si="26"/>
        <v>1754.9399999999998</v>
      </c>
      <c r="AL238" s="9">
        <f t="shared" si="26"/>
        <v>1712.24</v>
      </c>
      <c r="AM238" s="9">
        <f t="shared" si="26"/>
        <v>1718.74</v>
      </c>
      <c r="AN238" s="9">
        <f t="shared" si="26"/>
        <v>1721.84</v>
      </c>
      <c r="AO238" s="9">
        <f t="shared" si="26"/>
        <v>1642.04</v>
      </c>
      <c r="AP238" s="9">
        <f t="shared" si="26"/>
        <v>1725.1399999999999</v>
      </c>
      <c r="AQ238" s="9">
        <f t="shared" si="26"/>
        <v>1818.54</v>
      </c>
      <c r="AR238" s="9">
        <f t="shared" si="26"/>
        <v>1813.2400000000002</v>
      </c>
      <c r="AS238" s="9">
        <f t="shared" si="26"/>
        <v>1811.8400000000001</v>
      </c>
      <c r="AT238" s="9">
        <f t="shared" si="26"/>
        <v>1816.6399999999999</v>
      </c>
      <c r="AU238" s="9">
        <f t="shared" si="26"/>
        <v>1807.6399999999999</v>
      </c>
      <c r="AV238" s="9">
        <f t="shared" si="26"/>
        <v>1797.6399999999999</v>
      </c>
      <c r="AW238" s="9">
        <f t="shared" si="26"/>
        <v>1758.8400000000001</v>
      </c>
      <c r="AX238" s="9">
        <f t="shared" si="26"/>
        <v>1712.74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7">C223</f>
        <v>0.64</v>
      </c>
      <c r="C259" s="4">
        <f t="shared" si="27"/>
        <v>0.64</v>
      </c>
      <c r="D259" s="4">
        <f t="shared" si="27"/>
        <v>0.64</v>
      </c>
      <c r="E259" s="4">
        <f t="shared" si="27"/>
        <v>0.64</v>
      </c>
      <c r="F259" s="4">
        <f t="shared" si="27"/>
        <v>0.64</v>
      </c>
      <c r="G259" s="4">
        <f t="shared" si="27"/>
        <v>0.64</v>
      </c>
      <c r="H259" s="4">
        <f t="shared" si="27"/>
        <v>0.64</v>
      </c>
      <c r="I259" s="4">
        <f t="shared" si="27"/>
        <v>0.64</v>
      </c>
      <c r="J259" s="4">
        <f t="shared" si="27"/>
        <v>0.64</v>
      </c>
      <c r="K259" s="4">
        <f t="shared" si="27"/>
        <v>0.64</v>
      </c>
      <c r="L259" s="4">
        <f t="shared" si="27"/>
        <v>0.64</v>
      </c>
      <c r="M259" s="4">
        <f t="shared" si="27"/>
        <v>0.64</v>
      </c>
      <c r="N259" s="4">
        <f t="shared" si="27"/>
        <v>0.64</v>
      </c>
      <c r="O259" s="4">
        <f t="shared" si="27"/>
        <v>0.64</v>
      </c>
      <c r="P259" s="4">
        <f t="shared" si="27"/>
        <v>0</v>
      </c>
      <c r="Q259" s="4">
        <f t="shared" si="27"/>
        <v>0</v>
      </c>
      <c r="R259" s="4">
        <f t="shared" si="27"/>
        <v>0</v>
      </c>
      <c r="S259" s="4">
        <f t="shared" si="27"/>
        <v>0</v>
      </c>
      <c r="T259" s="4">
        <f t="shared" si="27"/>
        <v>0</v>
      </c>
      <c r="U259" s="4">
        <f t="shared" si="27"/>
        <v>0</v>
      </c>
      <c r="V259" s="4">
        <f t="shared" si="27"/>
        <v>0</v>
      </c>
      <c r="W259" s="4">
        <f t="shared" si="27"/>
        <v>0</v>
      </c>
      <c r="X259" s="4">
        <f t="shared" si="27"/>
        <v>0</v>
      </c>
      <c r="Y259" s="4">
        <f t="shared" si="27"/>
        <v>0</v>
      </c>
      <c r="Z259" s="4">
        <f t="shared" si="27"/>
        <v>0</v>
      </c>
      <c r="AA259" s="4">
        <f t="shared" si="27"/>
        <v>0</v>
      </c>
      <c r="AB259" s="4">
        <f t="shared" si="27"/>
        <v>0</v>
      </c>
      <c r="AC259" s="4">
        <f t="shared" si="27"/>
        <v>0</v>
      </c>
      <c r="AD259" s="4">
        <f t="shared" si="27"/>
        <v>0</v>
      </c>
      <c r="AE259" s="4">
        <f t="shared" si="27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28">IF(B227&lt;100,"",B227-520)</f>
        <v/>
      </c>
      <c r="C260" s="3" t="str">
        <f t="shared" si="28"/>
        <v/>
      </c>
      <c r="D260" s="3" t="str">
        <f t="shared" si="28"/>
        <v/>
      </c>
      <c r="E260" s="3" t="str">
        <f t="shared" si="28"/>
        <v/>
      </c>
      <c r="F260" s="3" t="str">
        <f t="shared" si="28"/>
        <v/>
      </c>
      <c r="G260" s="3" t="str">
        <f t="shared" si="28"/>
        <v/>
      </c>
      <c r="H260" s="3" t="str">
        <f t="shared" si="28"/>
        <v/>
      </c>
      <c r="I260" s="3" t="str">
        <f t="shared" si="28"/>
        <v/>
      </c>
      <c r="J260" s="3" t="str">
        <f t="shared" si="28"/>
        <v/>
      </c>
      <c r="K260" s="3" t="str">
        <f t="shared" si="28"/>
        <v/>
      </c>
      <c r="L260" s="3" t="str">
        <f t="shared" si="28"/>
        <v/>
      </c>
      <c r="M260" s="3" t="str">
        <f t="shared" si="28"/>
        <v/>
      </c>
      <c r="N260" s="3" t="str">
        <f t="shared" si="28"/>
        <v/>
      </c>
      <c r="O260" s="3" t="str">
        <f t="shared" si="28"/>
        <v/>
      </c>
      <c r="P260" s="3" t="str">
        <f t="shared" si="28"/>
        <v/>
      </c>
      <c r="Q260" s="3" t="str">
        <f t="shared" si="28"/>
        <v/>
      </c>
      <c r="R260" s="3" t="str">
        <f t="shared" si="28"/>
        <v/>
      </c>
      <c r="S260" s="3" t="str">
        <f t="shared" si="28"/>
        <v/>
      </c>
      <c r="T260" s="3" t="str">
        <f t="shared" si="28"/>
        <v/>
      </c>
      <c r="U260" s="3" t="str">
        <f t="shared" si="28"/>
        <v/>
      </c>
      <c r="V260" s="3" t="str">
        <f t="shared" si="28"/>
        <v/>
      </c>
      <c r="W260" s="3" t="str">
        <f t="shared" si="28"/>
        <v/>
      </c>
      <c r="X260" s="3" t="str">
        <f t="shared" si="28"/>
        <v/>
      </c>
      <c r="Y260" s="3" t="str">
        <f t="shared" si="28"/>
        <v/>
      </c>
      <c r="Z260" s="3" t="str">
        <f t="shared" si="28"/>
        <v/>
      </c>
      <c r="AA260" s="3" t="str">
        <f t="shared" si="28"/>
        <v/>
      </c>
      <c r="AB260" s="3" t="str">
        <f t="shared" si="28"/>
        <v/>
      </c>
      <c r="AC260" s="3" t="str">
        <f t="shared" si="28"/>
        <v/>
      </c>
      <c r="AD260" s="3" t="str">
        <f t="shared" si="28"/>
        <v/>
      </c>
      <c r="AE260" s="3" t="str">
        <f t="shared" si="28"/>
        <v/>
      </c>
      <c r="AF260" s="3" t="str">
        <f t="shared" si="28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29">IF(B228&lt;100,"",B228-620)</f>
        <v/>
      </c>
      <c r="C261" s="3" t="str">
        <f t="shared" si="29"/>
        <v/>
      </c>
      <c r="D261" s="3" t="str">
        <f t="shared" si="29"/>
        <v/>
      </c>
      <c r="E261" s="3" t="str">
        <f t="shared" si="29"/>
        <v/>
      </c>
      <c r="F261" s="3" t="str">
        <f t="shared" si="29"/>
        <v/>
      </c>
      <c r="G261" s="3" t="str">
        <f t="shared" si="29"/>
        <v/>
      </c>
      <c r="H261" s="3" t="str">
        <f t="shared" si="29"/>
        <v/>
      </c>
      <c r="I261" s="3" t="str">
        <f t="shared" si="29"/>
        <v/>
      </c>
      <c r="J261" s="3" t="str">
        <f t="shared" si="29"/>
        <v/>
      </c>
      <c r="K261" s="3" t="str">
        <f t="shared" si="29"/>
        <v/>
      </c>
      <c r="L261" s="3" t="str">
        <f t="shared" si="29"/>
        <v/>
      </c>
      <c r="M261" s="3" t="str">
        <f t="shared" si="29"/>
        <v/>
      </c>
      <c r="N261" s="3" t="str">
        <f t="shared" si="29"/>
        <v/>
      </c>
      <c r="O261" s="3" t="str">
        <f t="shared" si="29"/>
        <v/>
      </c>
      <c r="P261" s="3" t="str">
        <f t="shared" si="29"/>
        <v/>
      </c>
      <c r="Q261" s="3" t="str">
        <f t="shared" si="29"/>
        <v/>
      </c>
      <c r="R261" s="3" t="str">
        <f t="shared" si="29"/>
        <v/>
      </c>
      <c r="S261" s="3" t="str">
        <f t="shared" si="29"/>
        <v/>
      </c>
      <c r="T261" s="3" t="str">
        <f t="shared" si="29"/>
        <v/>
      </c>
      <c r="U261" s="3" t="str">
        <f t="shared" si="29"/>
        <v/>
      </c>
      <c r="V261" s="3" t="str">
        <f t="shared" si="29"/>
        <v/>
      </c>
      <c r="W261" s="3" t="str">
        <f t="shared" si="29"/>
        <v/>
      </c>
      <c r="X261" s="3" t="str">
        <f t="shared" si="29"/>
        <v/>
      </c>
      <c r="Y261" s="3" t="str">
        <f t="shared" si="29"/>
        <v/>
      </c>
      <c r="Z261" s="3" t="str">
        <f t="shared" si="29"/>
        <v/>
      </c>
      <c r="AA261" s="3" t="str">
        <f t="shared" si="29"/>
        <v/>
      </c>
      <c r="AB261" s="3" t="str">
        <f t="shared" si="29"/>
        <v/>
      </c>
      <c r="AC261" s="3" t="str">
        <f t="shared" si="29"/>
        <v/>
      </c>
      <c r="AD261" s="3" t="str">
        <f t="shared" si="29"/>
        <v/>
      </c>
      <c r="AE261" s="3" t="str">
        <f t="shared" si="29"/>
        <v/>
      </c>
      <c r="AF261" s="3" t="str">
        <f t="shared" si="29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0">IF(B229&lt;100,"",B229-330)</f>
        <v/>
      </c>
      <c r="C262" s="3" t="str">
        <f t="shared" si="30"/>
        <v/>
      </c>
      <c r="D262" s="3" t="str">
        <f t="shared" si="30"/>
        <v/>
      </c>
      <c r="E262" s="3" t="str">
        <f t="shared" si="30"/>
        <v/>
      </c>
      <c r="F262" s="3" t="str">
        <f t="shared" si="30"/>
        <v/>
      </c>
      <c r="G262" s="3" t="str">
        <f t="shared" si="30"/>
        <v/>
      </c>
      <c r="H262" s="3" t="str">
        <f t="shared" si="30"/>
        <v/>
      </c>
      <c r="I262" s="3" t="str">
        <f t="shared" si="30"/>
        <v/>
      </c>
      <c r="J262" s="3" t="str">
        <f t="shared" si="30"/>
        <v/>
      </c>
      <c r="K262" s="3" t="str">
        <f t="shared" si="30"/>
        <v/>
      </c>
      <c r="L262" s="3" t="str">
        <f t="shared" si="30"/>
        <v/>
      </c>
      <c r="M262" s="3" t="str">
        <f t="shared" si="30"/>
        <v/>
      </c>
      <c r="N262" s="3" t="str">
        <f t="shared" si="30"/>
        <v/>
      </c>
      <c r="O262" s="3" t="str">
        <f t="shared" si="30"/>
        <v/>
      </c>
      <c r="P262" s="3" t="str">
        <f t="shared" si="30"/>
        <v/>
      </c>
      <c r="Q262" s="3" t="str">
        <f t="shared" si="30"/>
        <v/>
      </c>
      <c r="R262" s="3" t="str">
        <f t="shared" si="30"/>
        <v/>
      </c>
      <c r="S262" s="3" t="str">
        <f t="shared" si="30"/>
        <v/>
      </c>
      <c r="T262" s="3" t="str">
        <f t="shared" si="30"/>
        <v/>
      </c>
      <c r="U262" s="3" t="str">
        <f t="shared" si="30"/>
        <v/>
      </c>
      <c r="V262" s="3" t="str">
        <f t="shared" si="30"/>
        <v/>
      </c>
      <c r="W262" s="3" t="str">
        <f t="shared" si="30"/>
        <v/>
      </c>
      <c r="X262" s="3" t="str">
        <f t="shared" si="30"/>
        <v/>
      </c>
      <c r="Y262" s="3" t="str">
        <f t="shared" si="30"/>
        <v/>
      </c>
      <c r="Z262" s="3" t="str">
        <f t="shared" si="30"/>
        <v/>
      </c>
      <c r="AA262" s="3" t="str">
        <f t="shared" si="30"/>
        <v/>
      </c>
      <c r="AB262" s="3" t="str">
        <f t="shared" si="30"/>
        <v/>
      </c>
      <c r="AC262" s="3" t="str">
        <f t="shared" si="30"/>
        <v/>
      </c>
      <c r="AD262" s="3" t="str">
        <f t="shared" si="30"/>
        <v/>
      </c>
      <c r="AE262" s="3" t="str">
        <f t="shared" si="30"/>
        <v/>
      </c>
      <c r="AF262" s="3" t="str">
        <f t="shared" si="30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1">IF(B230&lt;100,"",B230-1500)</f>
        <v/>
      </c>
      <c r="C263" s="3" t="str">
        <f t="shared" si="31"/>
        <v/>
      </c>
      <c r="D263" s="3" t="str">
        <f t="shared" si="31"/>
        <v/>
      </c>
      <c r="E263" s="3" t="str">
        <f t="shared" si="31"/>
        <v/>
      </c>
      <c r="F263" s="3" t="str">
        <f t="shared" si="31"/>
        <v/>
      </c>
      <c r="G263" s="3" t="str">
        <f t="shared" si="31"/>
        <v/>
      </c>
      <c r="H263" s="3" t="str">
        <f t="shared" si="31"/>
        <v/>
      </c>
      <c r="I263" s="3" t="str">
        <f t="shared" si="31"/>
        <v/>
      </c>
      <c r="J263" s="3" t="str">
        <f t="shared" si="31"/>
        <v/>
      </c>
      <c r="K263" s="3" t="str">
        <f t="shared" si="31"/>
        <v/>
      </c>
      <c r="L263" s="3" t="str">
        <f t="shared" si="31"/>
        <v/>
      </c>
      <c r="M263" s="3" t="str">
        <f t="shared" si="31"/>
        <v/>
      </c>
      <c r="N263" s="3" t="str">
        <f t="shared" si="31"/>
        <v/>
      </c>
      <c r="O263" s="3" t="str">
        <f t="shared" si="31"/>
        <v/>
      </c>
      <c r="P263" s="3" t="str">
        <f t="shared" si="31"/>
        <v/>
      </c>
      <c r="Q263" s="3" t="str">
        <f t="shared" si="31"/>
        <v/>
      </c>
      <c r="R263" s="3" t="str">
        <f t="shared" si="31"/>
        <v/>
      </c>
      <c r="S263" s="3" t="str">
        <f t="shared" si="31"/>
        <v/>
      </c>
      <c r="T263" s="3" t="str">
        <f t="shared" si="31"/>
        <v/>
      </c>
      <c r="U263" s="3" t="str">
        <f t="shared" si="31"/>
        <v/>
      </c>
      <c r="V263" s="3" t="str">
        <f t="shared" si="31"/>
        <v/>
      </c>
      <c r="W263" s="3" t="str">
        <f t="shared" si="31"/>
        <v/>
      </c>
      <c r="X263" s="3" t="str">
        <f t="shared" si="31"/>
        <v/>
      </c>
      <c r="Y263" s="3" t="str">
        <f t="shared" si="31"/>
        <v/>
      </c>
      <c r="Z263" s="3" t="str">
        <f t="shared" si="31"/>
        <v/>
      </c>
      <c r="AA263" s="3" t="str">
        <f t="shared" si="31"/>
        <v/>
      </c>
      <c r="AB263" s="3" t="str">
        <f t="shared" si="31"/>
        <v/>
      </c>
      <c r="AC263" s="3" t="str">
        <f t="shared" si="31"/>
        <v/>
      </c>
      <c r="AD263" s="3" t="str">
        <f t="shared" si="31"/>
        <v/>
      </c>
      <c r="AE263" s="3" t="str">
        <f t="shared" si="31"/>
        <v/>
      </c>
      <c r="AF263" s="3" t="str">
        <f t="shared" si="31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38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84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B16:X16 B20:X23 C103:X108 Y104:Y108 C101:AF101 Z103:AF108">
    <cfRule type="expression" dxfId="5907" priority="380">
      <formula>B$9&gt;=20/24</formula>
    </cfRule>
    <cfRule type="expression" dxfId="5906" priority="381">
      <formula>AND(B$9&gt;=14/24,B$9&lt;20/24)</formula>
    </cfRule>
    <cfRule type="expression" dxfId="5905" priority="382">
      <formula>AND(B$9&gt;=8/24,B$9&lt;14/24)</formula>
    </cfRule>
    <cfRule type="expression" dxfId="5904" priority="383">
      <formula>B$9&lt;8/24</formula>
    </cfRule>
  </conditionalFormatting>
  <conditionalFormatting sqref="AL4:AL6">
    <cfRule type="iconSet" priority="379">
      <iconSet iconSet="3TrafficLights2" reverse="1">
        <cfvo type="percent" val="0"/>
        <cfvo type="num" val="1"/>
        <cfvo type="num" val="1"/>
      </iconSet>
    </cfRule>
  </conditionalFormatting>
  <conditionalFormatting sqref="S39:X39">
    <cfRule type="expression" dxfId="5903" priority="375">
      <formula>S$9&gt;=20/24</formula>
    </cfRule>
    <cfRule type="expression" dxfId="5902" priority="376">
      <formula>AND(S$9&gt;=14/24,S$9&lt;20/24)</formula>
    </cfRule>
    <cfRule type="expression" dxfId="5901" priority="377">
      <formula>AND(S$9&gt;=8/24,S$9&lt;14/24)</formula>
    </cfRule>
    <cfRule type="expression" dxfId="5900" priority="378">
      <formula>S$9&lt;8/24</formula>
    </cfRule>
  </conditionalFormatting>
  <conditionalFormatting sqref="AG57 S39:X39 B18:X18 B12:X16 B37:X37 B20:X23">
    <cfRule type="expression" dxfId="5899" priority="374">
      <formula>B12&gt;$AG12</formula>
    </cfRule>
  </conditionalFormatting>
  <conditionalFormatting sqref="A91:A101 A11:A14 A51:A78 A87:A89 A194:A224 A38:A49 A110:A181 A34:A35 A83:A85 A80:A81 A103:A105 A31:A32 A18:A29 A16">
    <cfRule type="expression" dxfId="5898" priority="373">
      <formula>$AH11=0</formula>
    </cfRule>
  </conditionalFormatting>
  <conditionalFormatting sqref="A106">
    <cfRule type="expression" dxfId="5897" priority="372">
      <formula>$AH106=0</formula>
    </cfRule>
  </conditionalFormatting>
  <conditionalFormatting sqref="AL35">
    <cfRule type="iconSet" priority="37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896" priority="370">
      <formula>$AH37=0</formula>
    </cfRule>
  </conditionalFormatting>
  <conditionalFormatting sqref="A90">
    <cfRule type="expression" dxfId="5895" priority="369">
      <formula>$AH90=0</formula>
    </cfRule>
  </conditionalFormatting>
  <conditionalFormatting sqref="A15">
    <cfRule type="expression" dxfId="5894" priority="368">
      <formula>$AH15=0</formula>
    </cfRule>
  </conditionalFormatting>
  <conditionalFormatting sqref="A188:A193">
    <cfRule type="expression" dxfId="5893" priority="367">
      <formula>$AH188=0</formula>
    </cfRule>
  </conditionalFormatting>
  <conditionalFormatting sqref="A182:A187">
    <cfRule type="expression" dxfId="5892" priority="366">
      <formula>$AH182=0</formula>
    </cfRule>
  </conditionalFormatting>
  <conditionalFormatting sqref="A50">
    <cfRule type="expression" dxfId="5891" priority="365">
      <formula>$AH50=0</formula>
    </cfRule>
  </conditionalFormatting>
  <conditionalFormatting sqref="A86">
    <cfRule type="expression" dxfId="5890" priority="364">
      <formula>$AH86=0</formula>
    </cfRule>
  </conditionalFormatting>
  <conditionalFormatting sqref="C91:X91 Z91:AF91">
    <cfRule type="expression" dxfId="5889" priority="360">
      <formula>C$9&gt;=20/24</formula>
    </cfRule>
    <cfRule type="expression" dxfId="5888" priority="361">
      <formula>AND(C$9&gt;=14/24,C$9&lt;20/24)</formula>
    </cfRule>
    <cfRule type="expression" dxfId="5887" priority="362">
      <formula>AND(C$9&gt;=8/24,C$9&lt;14/24)</formula>
    </cfRule>
    <cfRule type="expression" dxfId="5886" priority="363">
      <formula>C$9&lt;8/24</formula>
    </cfRule>
  </conditionalFormatting>
  <conditionalFormatting sqref="AL36">
    <cfRule type="iconSet" priority="35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885" priority="386">
      <formula>C$9&gt;=20/24</formula>
    </cfRule>
    <cfRule type="expression" dxfId="5884" priority="387">
      <formula>AND(C$9&gt;=14/24,C$9&lt;20/24)</formula>
    </cfRule>
    <cfRule type="expression" dxfId="5883" priority="388">
      <formula>AND(C$9&gt;=8/24,C$9&lt;14/24)</formula>
    </cfRule>
    <cfRule type="expression" dxfId="5882" priority="389">
      <formula>C$9&lt;8/24</formula>
    </cfRule>
  </conditionalFormatting>
  <conditionalFormatting sqref="A225">
    <cfRule type="expression" dxfId="5881" priority="390">
      <formula>$AH225=0</formula>
    </cfRule>
  </conditionalFormatting>
  <conditionalFormatting sqref="AG237">
    <cfRule type="expression" dxfId="5880" priority="391">
      <formula>B$9&gt;=20/24</formula>
    </cfRule>
    <cfRule type="expression" dxfId="5879" priority="392">
      <formula>AND(B$9&gt;=14/24,B$9&lt;20/24)</formula>
    </cfRule>
    <cfRule type="expression" dxfId="5878" priority="393">
      <formula>AND(B$9&gt;=8/24,B$9&lt;14/24)</formula>
    </cfRule>
    <cfRule type="expression" dxfId="5877" priority="394">
      <formula>B$9&lt;8/24</formula>
    </cfRule>
  </conditionalFormatting>
  <conditionalFormatting sqref="S8">
    <cfRule type="expression" dxfId="5876" priority="355">
      <formula>U$9&gt;=20/24</formula>
    </cfRule>
    <cfRule type="expression" dxfId="5875" priority="356">
      <formula>AND(U$9&gt;=14/24,U$9&lt;20/24)</formula>
    </cfRule>
    <cfRule type="expression" dxfId="5874" priority="357">
      <formula>AND(U$9&gt;=8/24,U$9&lt;14/24)</formula>
    </cfRule>
    <cfRule type="expression" dxfId="5873" priority="358">
      <formula>U$9&lt;8/24</formula>
    </cfRule>
  </conditionalFormatting>
  <conditionalFormatting sqref="AB8">
    <cfRule type="expression" dxfId="5872" priority="351">
      <formula>AD$9&gt;=20/24</formula>
    </cfRule>
    <cfRule type="expression" dxfId="5871" priority="352">
      <formula>AND(AD$9&gt;=14/24,AD$9&lt;20/24)</formula>
    </cfRule>
    <cfRule type="expression" dxfId="5870" priority="353">
      <formula>AND(AD$9&gt;=8/24,AD$9&lt;14/24)</formula>
    </cfRule>
    <cfRule type="expression" dxfId="5869" priority="354">
      <formula>AD$9&lt;8/24</formula>
    </cfRule>
  </conditionalFormatting>
  <conditionalFormatting sqref="AH237:AX237">
    <cfRule type="expression" dxfId="5868" priority="395">
      <formula>AG$9&gt;=20/24</formula>
    </cfRule>
    <cfRule type="expression" dxfId="5867" priority="396">
      <formula>AND(AG$9&gt;=14/24,AG$9&lt;20/24)</formula>
    </cfRule>
    <cfRule type="expression" dxfId="5866" priority="397">
      <formula>AND(AG$9&gt;=8/24,AG$9&lt;14/24)</formula>
    </cfRule>
    <cfRule type="expression" dxfId="5865" priority="398">
      <formula>AG$9&lt;8/24</formula>
    </cfRule>
  </conditionalFormatting>
  <conditionalFormatting sqref="T237">
    <cfRule type="expression" dxfId="5864" priority="399">
      <formula>AX$9&gt;=20/24</formula>
    </cfRule>
    <cfRule type="expression" dxfId="5863" priority="400">
      <formula>AND(AX$9&gt;=14/24,AX$9&lt;20/24)</formula>
    </cfRule>
    <cfRule type="expression" dxfId="5862" priority="401">
      <formula>AND(AX$9&gt;=8/24,AX$9&lt;14/24)</formula>
    </cfRule>
    <cfRule type="expression" dxfId="5861" priority="402">
      <formula>AX$9&lt;8/24</formula>
    </cfRule>
  </conditionalFormatting>
  <conditionalFormatting sqref="A107:A108">
    <cfRule type="expression" dxfId="5860" priority="350">
      <formula>$AH107=0</formula>
    </cfRule>
  </conditionalFormatting>
  <conditionalFormatting sqref="E46:W47 E63:X63 Z46:AF47 Z63:AF63">
    <cfRule type="expression" dxfId="5859" priority="346">
      <formula>E$9&gt;=20/24</formula>
    </cfRule>
    <cfRule type="expression" dxfId="5858" priority="347">
      <formula>AND(E$9&gt;=14/24,E$9&lt;20/24)</formula>
    </cfRule>
    <cfRule type="expression" dxfId="5857" priority="348">
      <formula>AND(E$9&gt;=8/24,E$9&lt;14/24)</formula>
    </cfRule>
    <cfRule type="expression" dxfId="5856" priority="349">
      <formula>E$9&lt;8/24</formula>
    </cfRule>
  </conditionalFormatting>
  <conditionalFormatting sqref="E45:W45 Z45:AF45">
    <cfRule type="expression" dxfId="5855" priority="342">
      <formula>E$9&gt;=20/24</formula>
    </cfRule>
    <cfRule type="expression" dxfId="5854" priority="343">
      <formula>AND(E$9&gt;=14/24,E$9&lt;20/24)</formula>
    </cfRule>
    <cfRule type="expression" dxfId="5853" priority="344">
      <formula>AND(E$9&gt;=8/24,E$9&lt;14/24)</formula>
    </cfRule>
    <cfRule type="expression" dxfId="5852" priority="345">
      <formula>E$9&lt;8/24</formula>
    </cfRule>
  </conditionalFormatting>
  <conditionalFormatting sqref="E45:W47 Z45:AF47">
    <cfRule type="expression" dxfId="5851" priority="341">
      <formula>E45&gt;$AG45</formula>
    </cfRule>
  </conditionalFormatting>
  <conditionalFormatting sqref="C88:X88 L39:R39 S59:X61 W64:X73 C75:X78 D92:X98 E64:V65 T38:X38 V13:X13 Z75:AF78 Z88:AF88 Z59:AF61 Z64:AF73 Z92:AF98">
    <cfRule type="expression" dxfId="5850" priority="337">
      <formula>C$9&gt;=20/24</formula>
    </cfRule>
    <cfRule type="expression" dxfId="5849" priority="338">
      <formula>AND(C$9&gt;=14/24,C$9&lt;20/24)</formula>
    </cfRule>
    <cfRule type="expression" dxfId="5848" priority="339">
      <formula>AND(C$9&gt;=8/24,C$9&lt;14/24)</formula>
    </cfRule>
    <cfRule type="expression" dxfId="5847" priority="340">
      <formula>C$9&lt;8/24</formula>
    </cfRule>
  </conditionalFormatting>
  <conditionalFormatting sqref="AF48:AF49 C57:X57 L39:R39 S59:X61 E48:V48 T38:X38 Z57:AF57 Z59:AF61">
    <cfRule type="expression" dxfId="5846" priority="332">
      <formula>C38&gt;$AG38</formula>
    </cfRule>
  </conditionalFormatting>
  <conditionalFormatting sqref="W48:X49 Z48:AE49">
    <cfRule type="expression" dxfId="5845" priority="315">
      <formula>W$9&gt;=20/24</formula>
    </cfRule>
    <cfRule type="expression" dxfId="5844" priority="316">
      <formula>AND(W$9&gt;=14/24,W$9&lt;20/24)</formula>
    </cfRule>
    <cfRule type="expression" dxfId="5843" priority="317">
      <formula>AND(W$9&gt;=8/24,W$9&lt;14/24)</formula>
    </cfRule>
    <cfRule type="expression" dxfId="5842" priority="318">
      <formula>W$9&lt;8/24</formula>
    </cfRule>
  </conditionalFormatting>
  <conditionalFormatting sqref="W48:X49 Z48:AE49">
    <cfRule type="expression" dxfId="5841" priority="314">
      <formula>W48&gt;$AG48</formula>
    </cfRule>
  </conditionalFormatting>
  <conditionalFormatting sqref="W50:X51 Z50:AF51">
    <cfRule type="expression" dxfId="5840" priority="310">
      <formula>W$9&gt;=20/24</formula>
    </cfRule>
    <cfRule type="expression" dxfId="5839" priority="311">
      <formula>AND(W$9&gt;=14/24,W$9&lt;20/24)</formula>
    </cfRule>
    <cfRule type="expression" dxfId="5838" priority="312">
      <formula>AND(W$9&gt;=8/24,W$9&lt;14/24)</formula>
    </cfRule>
    <cfRule type="expression" dxfId="5837" priority="313">
      <formula>W$9&lt;8/24</formula>
    </cfRule>
  </conditionalFormatting>
  <conditionalFormatting sqref="W50:X51 Z50:AF51">
    <cfRule type="expression" dxfId="5836" priority="309">
      <formula>W50&gt;$AG50</formula>
    </cfRule>
  </conditionalFormatting>
  <conditionalFormatting sqref="V19:X19">
    <cfRule type="expression" dxfId="5835" priority="301">
      <formula>V$9&gt;=20/24</formula>
    </cfRule>
    <cfRule type="expression" dxfId="5834" priority="302">
      <formula>AND(V$9&gt;=14/24,V$9&lt;20/24)</formula>
    </cfRule>
    <cfRule type="expression" dxfId="5833" priority="303">
      <formula>AND(V$9&gt;=8/24,V$9&lt;14/24)</formula>
    </cfRule>
    <cfRule type="expression" dxfId="5832" priority="304">
      <formula>V$9&lt;8/24</formula>
    </cfRule>
  </conditionalFormatting>
  <conditionalFormatting sqref="V19:X19">
    <cfRule type="expression" dxfId="5831" priority="300">
      <formula>V19&gt;$AG19</formula>
    </cfRule>
  </conditionalFormatting>
  <conditionalFormatting sqref="B17:X17">
    <cfRule type="expression" dxfId="5830" priority="159">
      <formula>B$9&gt;=20/24</formula>
    </cfRule>
    <cfRule type="expression" dxfId="5829" priority="160">
      <formula>AND(B$9&gt;=14/24,B$9&lt;20/24)</formula>
    </cfRule>
    <cfRule type="expression" dxfId="5828" priority="161">
      <formula>AND(B$9&gt;=8/24,B$9&lt;14/24)</formula>
    </cfRule>
    <cfRule type="expression" dxfId="5827" priority="162">
      <formula>B$9&lt;8/24</formula>
    </cfRule>
  </conditionalFormatting>
  <conditionalFormatting sqref="X46:X47">
    <cfRule type="expression" dxfId="5826" priority="291">
      <formula>X$9&gt;=20/24</formula>
    </cfRule>
    <cfRule type="expression" dxfId="5825" priority="292">
      <formula>AND(X$9&gt;=14/24,X$9&lt;20/24)</formula>
    </cfRule>
    <cfRule type="expression" dxfId="5824" priority="293">
      <formula>AND(X$9&gt;=8/24,X$9&lt;14/24)</formula>
    </cfRule>
    <cfRule type="expression" dxfId="5823" priority="294">
      <formula>X$9&lt;8/24</formula>
    </cfRule>
  </conditionalFormatting>
  <conditionalFormatting sqref="X45">
    <cfRule type="expression" dxfId="5822" priority="287">
      <formula>X$9&gt;=20/24</formula>
    </cfRule>
    <cfRule type="expression" dxfId="5821" priority="288">
      <formula>AND(X$9&gt;=14/24,X$9&lt;20/24)</formula>
    </cfRule>
    <cfRule type="expression" dxfId="5820" priority="289">
      <formula>AND(X$9&gt;=8/24,X$9&lt;14/24)</formula>
    </cfRule>
    <cfRule type="expression" dxfId="5819" priority="290">
      <formula>X$9&lt;8/24</formula>
    </cfRule>
  </conditionalFormatting>
  <conditionalFormatting sqref="X45:X47">
    <cfRule type="expression" dxfId="5818" priority="286">
      <formula>X45&gt;$AG45</formula>
    </cfRule>
  </conditionalFormatting>
  <conditionalFormatting sqref="B101 B80:X80 B89:X89 B103:B108 B11:X11 Z89:AF89 Z80:AF80">
    <cfRule type="expression" dxfId="5817" priority="282">
      <formula>B$9&gt;=20/24</formula>
    </cfRule>
    <cfRule type="expression" dxfId="5816" priority="283">
      <formula>AND(B$9&gt;=14/24,B$9&lt;20/24)</formula>
    </cfRule>
    <cfRule type="expression" dxfId="5815" priority="284">
      <formula>AND(B$9&gt;=8/24,B$9&lt;14/24)</formula>
    </cfRule>
    <cfRule type="expression" dxfId="5814" priority="285">
      <formula>B$9&lt;8/24</formula>
    </cfRule>
  </conditionalFormatting>
  <conditionalFormatting sqref="B39:K39">
    <cfRule type="expression" dxfId="5813" priority="278">
      <formula>B$9&gt;=20/24</formula>
    </cfRule>
    <cfRule type="expression" dxfId="5812" priority="279">
      <formula>AND(B$9&gt;=14/24,B$9&lt;20/24)</formula>
    </cfRule>
    <cfRule type="expression" dxfId="5811" priority="280">
      <formula>AND(B$9&gt;=8/24,B$9&lt;14/24)</formula>
    </cfRule>
    <cfRule type="expression" dxfId="5810" priority="281">
      <formula>B$9&lt;8/24</formula>
    </cfRule>
  </conditionalFormatting>
  <conditionalFormatting sqref="B39:K39 B11:X11">
    <cfRule type="expression" dxfId="5809" priority="277">
      <formula>B11&gt;$AG11</formula>
    </cfRule>
  </conditionalFormatting>
  <conditionalFormatting sqref="B91">
    <cfRule type="expression" dxfId="5808" priority="273">
      <formula>B$9&gt;=20/24</formula>
    </cfRule>
    <cfRule type="expression" dxfId="5807" priority="274">
      <formula>AND(B$9&gt;=14/24,B$9&lt;20/24)</formula>
    </cfRule>
    <cfRule type="expression" dxfId="5806" priority="275">
      <formula>AND(B$9&gt;=8/24,B$9&lt;14/24)</formula>
    </cfRule>
    <cfRule type="expression" dxfId="5805" priority="276">
      <formula>B$9&lt;8/24</formula>
    </cfRule>
  </conditionalFormatting>
  <conditionalFormatting sqref="B63:D63 B38:S38 B46:D47">
    <cfRule type="expression" dxfId="5804" priority="269">
      <formula>B$9&gt;=20/24</formula>
    </cfRule>
    <cfRule type="expression" dxfId="5803" priority="270">
      <formula>AND(B$9&gt;=14/24,B$9&lt;20/24)</formula>
    </cfRule>
    <cfRule type="expression" dxfId="5802" priority="271">
      <formula>AND(B$9&gt;=8/24,B$9&lt;14/24)</formula>
    </cfRule>
    <cfRule type="expression" dxfId="5801" priority="272">
      <formula>B$9&lt;8/24</formula>
    </cfRule>
  </conditionalFormatting>
  <conditionalFormatting sqref="B45:D45">
    <cfRule type="expression" dxfId="5800" priority="265">
      <formula>B$9&gt;=20/24</formula>
    </cfRule>
    <cfRule type="expression" dxfId="5799" priority="266">
      <formula>AND(B$9&gt;=14/24,B$9&lt;20/24)</formula>
    </cfRule>
    <cfRule type="expression" dxfId="5798" priority="267">
      <formula>AND(B$9&gt;=8/24,B$9&lt;14/24)</formula>
    </cfRule>
    <cfRule type="expression" dxfId="5797" priority="268">
      <formula>B$9&lt;8/24</formula>
    </cfRule>
  </conditionalFormatting>
  <conditionalFormatting sqref="B38:S38 B45:D47">
    <cfRule type="expression" dxfId="5796" priority="264">
      <formula>B38&gt;$AG38</formula>
    </cfRule>
  </conditionalFormatting>
  <conditionalFormatting sqref="B59:B62 B75:B79 B81:X81 B88 C62:X62 C79:X79 B90:X90 B92:C98 B64:D73 C59:R61 B12:U14 E66:V73 V12:X12 V14:X14 B18:X18 B25:X27 B29:X29 B31:X34 Z90:AF90 Z79:AG79 Z62:AG62 Z81:AF81">
    <cfRule type="expression" dxfId="5795" priority="260">
      <formula>B$9&gt;=20/24</formula>
    </cfRule>
    <cfRule type="expression" dxfId="5794" priority="261">
      <formula>AND(B$9&gt;=14/24,B$9&lt;20/24)</formula>
    </cfRule>
    <cfRule type="expression" dxfId="5793" priority="262">
      <formula>AND(B$9&gt;=8/24,B$9&lt;14/24)</formula>
    </cfRule>
    <cfRule type="expression" dxfId="5792" priority="263">
      <formula>B$9&lt;8/24</formula>
    </cfRule>
  </conditionalFormatting>
  <conditionalFormatting sqref="B35:X35">
    <cfRule type="expression" dxfId="5791" priority="256">
      <formula>B$9&gt;=20/24</formula>
    </cfRule>
    <cfRule type="expression" dxfId="5790" priority="257">
      <formula>AND(B$9&gt;=14/24,B$9&lt;20/24)</formula>
    </cfRule>
    <cfRule type="expression" dxfId="5789" priority="258">
      <formula>AND(B$9&gt;=8/24,B$9&lt;14/24)</formula>
    </cfRule>
    <cfRule type="expression" dxfId="5788" priority="259">
      <formula>B$9&lt;8/24</formula>
    </cfRule>
  </conditionalFormatting>
  <conditionalFormatting sqref="B57:B62 B40:X40 C58:X58 C62:X62 B48:D49 C59:R61 E49:V49 B25:X29 B31:X35 Z62:AG62 Z58:AG58 Z40:AG40">
    <cfRule type="expression" dxfId="5787" priority="255">
      <formula>B25&gt;$AG25</formula>
    </cfRule>
  </conditionalFormatting>
  <conditionalFormatting sqref="B37:X37">
    <cfRule type="expression" dxfId="5786" priority="251">
      <formula>B$9&gt;=20/24</formula>
    </cfRule>
    <cfRule type="expression" dxfId="5785" priority="252">
      <formula>AND(B$9&gt;=14/24,B$9&lt;20/24)</formula>
    </cfRule>
    <cfRule type="expression" dxfId="5784" priority="253">
      <formula>AND(B$9&gt;=8/24,B$9&lt;14/24)</formula>
    </cfRule>
    <cfRule type="expression" dxfId="5783" priority="254">
      <formula>B$9&lt;8/24</formula>
    </cfRule>
  </conditionalFormatting>
  <conditionalFormatting sqref="B15:X15">
    <cfRule type="expression" dxfId="5782" priority="247">
      <formula>B$9&gt;=20/24</formula>
    </cfRule>
    <cfRule type="expression" dxfId="5781" priority="248">
      <formula>AND(B$9&gt;=14/24,B$9&lt;20/24)</formula>
    </cfRule>
    <cfRule type="expression" dxfId="5780" priority="249">
      <formula>AND(B$9&gt;=8/24,B$9&lt;14/24)</formula>
    </cfRule>
    <cfRule type="expression" dxfId="5779" priority="250">
      <formula>B$9&lt;8/24</formula>
    </cfRule>
  </conditionalFormatting>
  <conditionalFormatting sqref="B36:X36">
    <cfRule type="expression" dxfId="5778" priority="243">
      <formula>B$9&gt;=20/24</formula>
    </cfRule>
    <cfRule type="expression" dxfId="5777" priority="244">
      <formula>AND(B$9&gt;=14/24,B$9&lt;20/24)</formula>
    </cfRule>
    <cfRule type="expression" dxfId="5776" priority="245">
      <formula>AND(B$9&gt;=8/24,B$9&lt;14/24)</formula>
    </cfRule>
    <cfRule type="expression" dxfId="5775" priority="246">
      <formula>B$9&lt;8/24</formula>
    </cfRule>
  </conditionalFormatting>
  <conditionalFormatting sqref="B36:X36">
    <cfRule type="expression" dxfId="5774" priority="242">
      <formula>B36&gt;$AG36</formula>
    </cfRule>
  </conditionalFormatting>
  <conditionalFormatting sqref="B50:V56">
    <cfRule type="expression" dxfId="5773" priority="238">
      <formula>B$9&gt;=20/24</formula>
    </cfRule>
    <cfRule type="expression" dxfId="5772" priority="239">
      <formula>AND(B$9&gt;=14/24,B$9&lt;20/24)</formula>
    </cfRule>
    <cfRule type="expression" dxfId="5771" priority="240">
      <formula>AND(B$9&gt;=8/24,B$9&lt;14/24)</formula>
    </cfRule>
    <cfRule type="expression" dxfId="5770" priority="241">
      <formula>B$9&lt;8/24</formula>
    </cfRule>
  </conditionalFormatting>
  <conditionalFormatting sqref="B50:V56">
    <cfRule type="expression" dxfId="5769" priority="237">
      <formula>B50&gt;$AG50</formula>
    </cfRule>
  </conditionalFormatting>
  <conditionalFormatting sqref="B28:X28">
    <cfRule type="expression" dxfId="5768" priority="233">
      <formula>B$9&gt;=20/24</formula>
    </cfRule>
    <cfRule type="expression" dxfId="5767" priority="234">
      <formula>AND(B$9&gt;=14/24,B$9&lt;20/24)</formula>
    </cfRule>
    <cfRule type="expression" dxfId="5766" priority="235">
      <formula>AND(B$9&gt;=8/24,B$9&lt;14/24)</formula>
    </cfRule>
    <cfRule type="expression" dxfId="5765" priority="236">
      <formula>B$9&lt;8/24</formula>
    </cfRule>
  </conditionalFormatting>
  <conditionalFormatting sqref="B19:U19 B24:X24">
    <cfRule type="expression" dxfId="5764" priority="229">
      <formula>B$9&gt;=20/24</formula>
    </cfRule>
    <cfRule type="expression" dxfId="5763" priority="230">
      <formula>AND(B$9&gt;=14/24,B$9&lt;20/24)</formula>
    </cfRule>
    <cfRule type="expression" dxfId="5762" priority="231">
      <formula>AND(B$9&gt;=8/24,B$9&lt;14/24)</formula>
    </cfRule>
    <cfRule type="expression" dxfId="5761" priority="232">
      <formula>B$9&lt;8/24</formula>
    </cfRule>
  </conditionalFormatting>
  <conditionalFormatting sqref="B19:U19 B24:X24">
    <cfRule type="expression" dxfId="5760" priority="228">
      <formula>B19&gt;$AG19</formula>
    </cfRule>
  </conditionalFormatting>
  <conditionalFormatting sqref="A36">
    <cfRule type="expression" dxfId="5759" priority="227">
      <formula>$AH36=0</formula>
    </cfRule>
  </conditionalFormatting>
  <conditionalFormatting sqref="B74:X74 Z74:AF74">
    <cfRule type="expression" dxfId="5758" priority="223">
      <formula>B$9&gt;=20/24</formula>
    </cfRule>
    <cfRule type="expression" dxfId="5757" priority="224">
      <formula>AND(B$9&gt;=14/24,B$9&lt;20/24)</formula>
    </cfRule>
    <cfRule type="expression" dxfId="5756" priority="225">
      <formula>AND(B$9&gt;=8/24,B$9&lt;14/24)</formula>
    </cfRule>
    <cfRule type="expression" dxfId="5755" priority="226">
      <formula>B$9&lt;8/24</formula>
    </cfRule>
  </conditionalFormatting>
  <conditionalFormatting sqref="B83:X87 Z83:AF87">
    <cfRule type="expression" dxfId="5754" priority="219">
      <formula>B$9&gt;=20/24</formula>
    </cfRule>
    <cfRule type="expression" dxfId="5753" priority="220">
      <formula>AND(B$9&gt;=14/24,B$9&lt;20/24)</formula>
    </cfRule>
    <cfRule type="expression" dxfId="5752" priority="221">
      <formula>AND(B$9&gt;=8/24,B$9&lt;14/24)</formula>
    </cfRule>
    <cfRule type="expression" dxfId="5751" priority="222">
      <formula>B$9&lt;8/24</formula>
    </cfRule>
  </conditionalFormatting>
  <conditionalFormatting sqref="AL37 AL34 AL18:AL29 AL7:AL16 AL31:AL32">
    <cfRule type="iconSet" priority="403">
      <iconSet iconSet="3TrafficLights2" reverse="1">
        <cfvo type="percent" val="0"/>
        <cfvo type="num" val="1"/>
        <cfvo type="num" val="1"/>
      </iconSet>
    </cfRule>
  </conditionalFormatting>
  <conditionalFormatting sqref="E41:X43 Z41:AF43">
    <cfRule type="expression" dxfId="5750" priority="215">
      <formula>E$9&gt;=20/24</formula>
    </cfRule>
    <cfRule type="expression" dxfId="5749" priority="216">
      <formula>AND(E$9&gt;=14/24,E$9&lt;20/24)</formula>
    </cfRule>
    <cfRule type="expression" dxfId="5748" priority="217">
      <formula>AND(E$9&gt;=8/24,E$9&lt;14/24)</formula>
    </cfRule>
    <cfRule type="expression" dxfId="5747" priority="218">
      <formula>E$9&lt;8/24</formula>
    </cfRule>
  </conditionalFormatting>
  <conditionalFormatting sqref="E41:X43 Z41:AF43">
    <cfRule type="expression" dxfId="5746" priority="214">
      <formula>E41&gt;$AG41</formula>
    </cfRule>
  </conditionalFormatting>
  <conditionalFormatting sqref="B41:B44 C44:X44 C41:D43 Z44:AG44">
    <cfRule type="expression" dxfId="5745" priority="210">
      <formula>B$9&gt;=20/24</formula>
    </cfRule>
    <cfRule type="expression" dxfId="5744" priority="211">
      <formula>AND(B$9&gt;=14/24,B$9&lt;20/24)</formula>
    </cfRule>
    <cfRule type="expression" dxfId="5743" priority="212">
      <formula>AND(B$9&gt;=8/24,B$9&lt;14/24)</formula>
    </cfRule>
    <cfRule type="expression" dxfId="5742" priority="213">
      <formula>B$9&lt;8/24</formula>
    </cfRule>
  </conditionalFormatting>
  <conditionalFormatting sqref="B41:B44 C44:X44 C41:D43 Z44:AG44">
    <cfRule type="expression" dxfId="5741" priority="209">
      <formula>B41&gt;$AG41</formula>
    </cfRule>
  </conditionalFormatting>
  <conditionalFormatting sqref="C99:AF99">
    <cfRule type="expression" dxfId="5740" priority="205">
      <formula>C$9&gt;=20/24</formula>
    </cfRule>
    <cfRule type="expression" dxfId="5739" priority="206">
      <formula>AND(C$9&gt;=14/24,C$9&lt;20/24)</formula>
    </cfRule>
    <cfRule type="expression" dxfId="5738" priority="207">
      <formula>AND(C$9&gt;=8/24,C$9&lt;14/24)</formula>
    </cfRule>
    <cfRule type="expression" dxfId="5737" priority="208">
      <formula>C$9&lt;8/24</formula>
    </cfRule>
  </conditionalFormatting>
  <conditionalFormatting sqref="B99">
    <cfRule type="expression" dxfId="5736" priority="201">
      <formula>B$9&gt;=20/24</formula>
    </cfRule>
    <cfRule type="expression" dxfId="5735" priority="202">
      <formula>AND(B$9&gt;=14/24,B$9&lt;20/24)</formula>
    </cfRule>
    <cfRule type="expression" dxfId="5734" priority="203">
      <formula>AND(B$9&gt;=8/24,B$9&lt;14/24)</formula>
    </cfRule>
    <cfRule type="expression" dxfId="5733" priority="204">
      <formula>B$9&lt;8/24</formula>
    </cfRule>
  </conditionalFormatting>
  <conditionalFormatting sqref="AL33">
    <cfRule type="iconSet" priority="200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5732" priority="195">
      <formula>$AH33=0</formula>
    </cfRule>
  </conditionalFormatting>
  <conditionalFormatting sqref="A82">
    <cfRule type="expression" dxfId="5731" priority="193">
      <formula>$AH82=0</formula>
    </cfRule>
  </conditionalFormatting>
  <conditionalFormatting sqref="A79">
    <cfRule type="expression" dxfId="5730" priority="194">
      <formula>$AH79=0</formula>
    </cfRule>
  </conditionalFormatting>
  <conditionalFormatting sqref="A109">
    <cfRule type="expression" dxfId="5729" priority="184">
      <formula>$AH109=0</formula>
    </cfRule>
  </conditionalFormatting>
  <conditionalFormatting sqref="C102:AF102">
    <cfRule type="expression" dxfId="5728" priority="180">
      <formula>C$9&gt;=20/24</formula>
    </cfRule>
    <cfRule type="expression" dxfId="5727" priority="181">
      <formula>AND(C$9&gt;=14/24,C$9&lt;20/24)</formula>
    </cfRule>
    <cfRule type="expression" dxfId="5726" priority="182">
      <formula>AND(C$9&gt;=8/24,C$9&lt;14/24)</formula>
    </cfRule>
    <cfRule type="expression" dxfId="5725" priority="183">
      <formula>C$9&lt;8/24</formula>
    </cfRule>
  </conditionalFormatting>
  <conditionalFormatting sqref="A102">
    <cfRule type="expression" dxfId="5724" priority="179">
      <formula>$AH102=0</formula>
    </cfRule>
  </conditionalFormatting>
  <conditionalFormatting sqref="B102">
    <cfRule type="expression" dxfId="5723" priority="175">
      <formula>B$9&gt;=20/24</formula>
    </cfRule>
    <cfRule type="expression" dxfId="5722" priority="176">
      <formula>AND(B$9&gt;=14/24,B$9&lt;20/24)</formula>
    </cfRule>
    <cfRule type="expression" dxfId="5721" priority="177">
      <formula>AND(B$9&gt;=8/24,B$9&lt;14/24)</formula>
    </cfRule>
    <cfRule type="expression" dxfId="5720" priority="178">
      <formula>B$9&lt;8/24</formula>
    </cfRule>
  </conditionalFormatting>
  <conditionalFormatting sqref="W52:X56 Z52:AF56">
    <cfRule type="expression" dxfId="5719" priority="171">
      <formula>W$9&gt;=20/24</formula>
    </cfRule>
    <cfRule type="expression" dxfId="5718" priority="172">
      <formula>AND(W$9&gt;=14/24,W$9&lt;20/24)</formula>
    </cfRule>
    <cfRule type="expression" dxfId="5717" priority="173">
      <formula>AND(W$9&gt;=8/24,W$9&lt;14/24)</formula>
    </cfRule>
    <cfRule type="expression" dxfId="5716" priority="174">
      <formula>W$9&lt;8/24</formula>
    </cfRule>
  </conditionalFormatting>
  <conditionalFormatting sqref="W52:X56 Z52:AF56">
    <cfRule type="expression" dxfId="5715" priority="170">
      <formula>W52&gt;$AG52</formula>
    </cfRule>
  </conditionalFormatting>
  <conditionalFormatting sqref="B17:X17">
    <cfRule type="expression" dxfId="5714" priority="168">
      <formula>B17&gt;$AG17</formula>
    </cfRule>
  </conditionalFormatting>
  <conditionalFormatting sqref="A17">
    <cfRule type="expression" dxfId="5713" priority="167">
      <formula>$AH17=0</formula>
    </cfRule>
  </conditionalFormatting>
  <conditionalFormatting sqref="AL17">
    <cfRule type="iconSet" priority="169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5712" priority="157">
      <formula>$AH30=0</formula>
    </cfRule>
  </conditionalFormatting>
  <conditionalFormatting sqref="B30:X30">
    <cfRule type="expression" dxfId="5711" priority="143">
      <formula>B$9&gt;=20/24</formula>
    </cfRule>
    <cfRule type="expression" dxfId="5710" priority="144">
      <formula>AND(B$9&gt;=14/24,B$9&lt;20/24)</formula>
    </cfRule>
    <cfRule type="expression" dxfId="5709" priority="145">
      <formula>AND(B$9&gt;=8/24,B$9&lt;14/24)</formula>
    </cfRule>
    <cfRule type="expression" dxfId="5708" priority="146">
      <formula>B$9&lt;8/24</formula>
    </cfRule>
  </conditionalFormatting>
  <conditionalFormatting sqref="B30:X30">
    <cfRule type="expression" dxfId="5707" priority="142">
      <formula>B30&gt;$AG30</formula>
    </cfRule>
  </conditionalFormatting>
  <conditionalFormatting sqref="AL30">
    <cfRule type="iconSet" priority="158">
      <iconSet iconSet="3TrafficLights2" reverse="1">
        <cfvo type="percent" val="0"/>
        <cfvo type="num" val="1"/>
        <cfvo type="num" val="1"/>
      </iconSet>
    </cfRule>
  </conditionalFormatting>
  <conditionalFormatting sqref="Y16:AF16 Y20:AF23">
    <cfRule type="expression" dxfId="5706" priority="120">
      <formula>Y$9&gt;=20/24</formula>
    </cfRule>
    <cfRule type="expression" dxfId="5705" priority="121">
      <formula>AND(Y$9&gt;=14/24,Y$9&lt;20/24)</formula>
    </cfRule>
    <cfRule type="expression" dxfId="5704" priority="122">
      <formula>AND(Y$9&gt;=8/24,Y$9&lt;14/24)</formula>
    </cfRule>
    <cfRule type="expression" dxfId="5703" priority="123">
      <formula>Y$9&lt;8/24</formula>
    </cfRule>
  </conditionalFormatting>
  <conditionalFormatting sqref="Y39:AF39">
    <cfRule type="expression" dxfId="5702" priority="116">
      <formula>Y$9&gt;=20/24</formula>
    </cfRule>
    <cfRule type="expression" dxfId="5701" priority="117">
      <formula>AND(Y$9&gt;=14/24,Y$9&lt;20/24)</formula>
    </cfRule>
    <cfRule type="expression" dxfId="5700" priority="118">
      <formula>AND(Y$9&gt;=8/24,Y$9&lt;14/24)</formula>
    </cfRule>
    <cfRule type="expression" dxfId="5699" priority="119">
      <formula>Y$9&lt;8/24</formula>
    </cfRule>
  </conditionalFormatting>
  <conditionalFormatting sqref="Y18:AF18 Y12:AF16 Y37:AF37 Y20:AF23 Y39:AF39">
    <cfRule type="expression" dxfId="5698" priority="115">
      <formula>Y12&gt;$AG12</formula>
    </cfRule>
  </conditionalFormatting>
  <conditionalFormatting sqref="Y91">
    <cfRule type="expression" dxfId="5697" priority="111">
      <formula>Y$9&gt;=20/24</formula>
    </cfRule>
    <cfRule type="expression" dxfId="5696" priority="112">
      <formula>AND(Y$9&gt;=14/24,Y$9&lt;20/24)</formula>
    </cfRule>
    <cfRule type="expression" dxfId="5695" priority="113">
      <formula>AND(Y$9&gt;=8/24,Y$9&lt;14/24)</formula>
    </cfRule>
    <cfRule type="expression" dxfId="5694" priority="114">
      <formula>Y$9&lt;8/24</formula>
    </cfRule>
  </conditionalFormatting>
  <conditionalFormatting sqref="Y63">
    <cfRule type="expression" dxfId="5693" priority="107">
      <formula>Y$9&gt;=20/24</formula>
    </cfRule>
    <cfRule type="expression" dxfId="5692" priority="108">
      <formula>AND(Y$9&gt;=14/24,Y$9&lt;20/24)</formula>
    </cfRule>
    <cfRule type="expression" dxfId="5691" priority="109">
      <formula>AND(Y$9&gt;=8/24,Y$9&lt;14/24)</formula>
    </cfRule>
    <cfRule type="expression" dxfId="5690" priority="110">
      <formula>Y$9&lt;8/24</formula>
    </cfRule>
  </conditionalFormatting>
  <conditionalFormatting sqref="Y88 Y59:Y61 Y64:Y73 Y75:Y78 Y92:Y98 Y38:AF38 Y13:AF13">
    <cfRule type="expression" dxfId="5689" priority="103">
      <formula>Y$9&gt;=20/24</formula>
    </cfRule>
    <cfRule type="expression" dxfId="5688" priority="104">
      <formula>AND(Y$9&gt;=14/24,Y$9&lt;20/24)</formula>
    </cfRule>
    <cfRule type="expression" dxfId="5687" priority="105">
      <formula>AND(Y$9&gt;=8/24,Y$9&lt;14/24)</formula>
    </cfRule>
    <cfRule type="expression" dxfId="5686" priority="106">
      <formula>Y$9&lt;8/24</formula>
    </cfRule>
  </conditionalFormatting>
  <conditionalFormatting sqref="Y57 Y59:Y61 Y38:AF38">
    <cfRule type="expression" dxfId="5685" priority="102">
      <formula>Y38&gt;$AG38</formula>
    </cfRule>
  </conditionalFormatting>
  <conditionalFormatting sqref="Y48:Y49">
    <cfRule type="expression" dxfId="5684" priority="98">
      <formula>Y$9&gt;=20/24</formula>
    </cfRule>
    <cfRule type="expression" dxfId="5683" priority="99">
      <formula>AND(Y$9&gt;=14/24,Y$9&lt;20/24)</formula>
    </cfRule>
    <cfRule type="expression" dxfId="5682" priority="100">
      <formula>AND(Y$9&gt;=8/24,Y$9&lt;14/24)</formula>
    </cfRule>
    <cfRule type="expression" dxfId="5681" priority="101">
      <formula>Y$9&lt;8/24</formula>
    </cfRule>
  </conditionalFormatting>
  <conditionalFormatting sqref="Y48:Y49">
    <cfRule type="expression" dxfId="5680" priority="97">
      <formula>Y48&gt;$AG48</formula>
    </cfRule>
  </conditionalFormatting>
  <conditionalFormatting sqref="Y50:Y51">
    <cfRule type="expression" dxfId="5679" priority="93">
      <formula>Y$9&gt;=20/24</formula>
    </cfRule>
    <cfRule type="expression" dxfId="5678" priority="94">
      <formula>AND(Y$9&gt;=14/24,Y$9&lt;20/24)</formula>
    </cfRule>
    <cfRule type="expression" dxfId="5677" priority="95">
      <formula>AND(Y$9&gt;=8/24,Y$9&lt;14/24)</formula>
    </cfRule>
    <cfRule type="expression" dxfId="5676" priority="96">
      <formula>Y$9&lt;8/24</formula>
    </cfRule>
  </conditionalFormatting>
  <conditionalFormatting sqref="Y50:Y51">
    <cfRule type="expression" dxfId="5675" priority="92">
      <formula>Y50&gt;$AG50</formula>
    </cfRule>
  </conditionalFormatting>
  <conditionalFormatting sqref="Y19:AF19">
    <cfRule type="expression" dxfId="5674" priority="88">
      <formula>Y$9&gt;=20/24</formula>
    </cfRule>
    <cfRule type="expression" dxfId="5673" priority="89">
      <formula>AND(Y$9&gt;=14/24,Y$9&lt;20/24)</formula>
    </cfRule>
    <cfRule type="expression" dxfId="5672" priority="90">
      <formula>AND(Y$9&gt;=8/24,Y$9&lt;14/24)</formula>
    </cfRule>
    <cfRule type="expression" dxfId="5671" priority="91">
      <formula>Y$9&lt;8/24</formula>
    </cfRule>
  </conditionalFormatting>
  <conditionalFormatting sqref="Y19:AF19">
    <cfRule type="expression" dxfId="5670" priority="87">
      <formula>Y19&gt;$AG19</formula>
    </cfRule>
  </conditionalFormatting>
  <conditionalFormatting sqref="Y46:Y47">
    <cfRule type="expression" dxfId="5669" priority="83">
      <formula>Y$9&gt;=20/24</formula>
    </cfRule>
    <cfRule type="expression" dxfId="5668" priority="84">
      <formula>AND(Y$9&gt;=14/24,Y$9&lt;20/24)</formula>
    </cfRule>
    <cfRule type="expression" dxfId="5667" priority="85">
      <formula>AND(Y$9&gt;=8/24,Y$9&lt;14/24)</formula>
    </cfRule>
    <cfRule type="expression" dxfId="5666" priority="86">
      <formula>Y$9&lt;8/24</formula>
    </cfRule>
  </conditionalFormatting>
  <conditionalFormatting sqref="Y45">
    <cfRule type="expression" dxfId="5665" priority="79">
      <formula>Y$9&gt;=20/24</formula>
    </cfRule>
    <cfRule type="expression" dxfId="5664" priority="80">
      <formula>AND(Y$9&gt;=14/24,Y$9&lt;20/24)</formula>
    </cfRule>
    <cfRule type="expression" dxfId="5663" priority="81">
      <formula>AND(Y$9&gt;=8/24,Y$9&lt;14/24)</formula>
    </cfRule>
    <cfRule type="expression" dxfId="5662" priority="82">
      <formula>Y$9&lt;8/24</formula>
    </cfRule>
  </conditionalFormatting>
  <conditionalFormatting sqref="Y45:Y47">
    <cfRule type="expression" dxfId="5661" priority="78">
      <formula>Y45&gt;$AG45</formula>
    </cfRule>
  </conditionalFormatting>
  <conditionalFormatting sqref="Y80 Y89 Y11:AF11">
    <cfRule type="expression" dxfId="5660" priority="74">
      <formula>Y$9&gt;=20/24</formula>
    </cfRule>
    <cfRule type="expression" dxfId="5659" priority="75">
      <formula>AND(Y$9&gt;=14/24,Y$9&lt;20/24)</formula>
    </cfRule>
    <cfRule type="expression" dxfId="5658" priority="76">
      <formula>AND(Y$9&gt;=8/24,Y$9&lt;14/24)</formula>
    </cfRule>
    <cfRule type="expression" dxfId="5657" priority="77">
      <formula>Y$9&lt;8/24</formula>
    </cfRule>
  </conditionalFormatting>
  <conditionalFormatting sqref="Y11:AF11">
    <cfRule type="expression" dxfId="5656" priority="73">
      <formula>Y11&gt;$AG11</formula>
    </cfRule>
  </conditionalFormatting>
  <conditionalFormatting sqref="Y81 Y62 Y79 Y90 Y12:AF12 Y14:AF14 Y18:AF18 Y25:AF27 Y29:AF29 Y31:AF34">
    <cfRule type="expression" dxfId="5655" priority="69">
      <formula>Y$9&gt;=20/24</formula>
    </cfRule>
    <cfRule type="expression" dxfId="5654" priority="70">
      <formula>AND(Y$9&gt;=14/24,Y$9&lt;20/24)</formula>
    </cfRule>
    <cfRule type="expression" dxfId="5653" priority="71">
      <formula>AND(Y$9&gt;=8/24,Y$9&lt;14/24)</formula>
    </cfRule>
    <cfRule type="expression" dxfId="5652" priority="72">
      <formula>Y$9&lt;8/24</formula>
    </cfRule>
  </conditionalFormatting>
  <conditionalFormatting sqref="Y35:AF35">
    <cfRule type="expression" dxfId="5651" priority="65">
      <formula>Y$9&gt;=20/24</formula>
    </cfRule>
    <cfRule type="expression" dxfId="5650" priority="66">
      <formula>AND(Y$9&gt;=14/24,Y$9&lt;20/24)</formula>
    </cfRule>
    <cfRule type="expression" dxfId="5649" priority="67">
      <formula>AND(Y$9&gt;=8/24,Y$9&lt;14/24)</formula>
    </cfRule>
    <cfRule type="expression" dxfId="5648" priority="68">
      <formula>Y$9&lt;8/24</formula>
    </cfRule>
  </conditionalFormatting>
  <conditionalFormatting sqref="Y40 Y58 Y62 Y25:AF29 Y31:AF35">
    <cfRule type="expression" dxfId="5647" priority="64">
      <formula>Y25&gt;$AG25</formula>
    </cfRule>
  </conditionalFormatting>
  <conditionalFormatting sqref="Y37:AF37">
    <cfRule type="expression" dxfId="5646" priority="60">
      <formula>Y$9&gt;=20/24</formula>
    </cfRule>
    <cfRule type="expression" dxfId="5645" priority="61">
      <formula>AND(Y$9&gt;=14/24,Y$9&lt;20/24)</formula>
    </cfRule>
    <cfRule type="expression" dxfId="5644" priority="62">
      <formula>AND(Y$9&gt;=8/24,Y$9&lt;14/24)</formula>
    </cfRule>
    <cfRule type="expression" dxfId="5643" priority="63">
      <formula>Y$9&lt;8/24</formula>
    </cfRule>
  </conditionalFormatting>
  <conditionalFormatting sqref="Y15:AF15">
    <cfRule type="expression" dxfId="5642" priority="56">
      <formula>Y$9&gt;=20/24</formula>
    </cfRule>
    <cfRule type="expression" dxfId="5641" priority="57">
      <formula>AND(Y$9&gt;=14/24,Y$9&lt;20/24)</formula>
    </cfRule>
    <cfRule type="expression" dxfId="5640" priority="58">
      <formula>AND(Y$9&gt;=8/24,Y$9&lt;14/24)</formula>
    </cfRule>
    <cfRule type="expression" dxfId="5639" priority="59">
      <formula>Y$9&lt;8/24</formula>
    </cfRule>
  </conditionalFormatting>
  <conditionalFormatting sqref="Y36:AF36">
    <cfRule type="expression" dxfId="5638" priority="52">
      <formula>Y$9&gt;=20/24</formula>
    </cfRule>
    <cfRule type="expression" dxfId="5637" priority="53">
      <formula>AND(Y$9&gt;=14/24,Y$9&lt;20/24)</formula>
    </cfRule>
    <cfRule type="expression" dxfId="5636" priority="54">
      <formula>AND(Y$9&gt;=8/24,Y$9&lt;14/24)</formula>
    </cfRule>
    <cfRule type="expression" dxfId="5635" priority="55">
      <formula>Y$9&lt;8/24</formula>
    </cfRule>
  </conditionalFormatting>
  <conditionalFormatting sqref="Y36:AF36">
    <cfRule type="expression" dxfId="5634" priority="51">
      <formula>Y36&gt;$AG36</formula>
    </cfRule>
  </conditionalFormatting>
  <conditionalFormatting sqref="Y28:AF28">
    <cfRule type="expression" dxfId="5633" priority="47">
      <formula>Y$9&gt;=20/24</formula>
    </cfRule>
    <cfRule type="expression" dxfId="5632" priority="48">
      <formula>AND(Y$9&gt;=14/24,Y$9&lt;20/24)</formula>
    </cfRule>
    <cfRule type="expression" dxfId="5631" priority="49">
      <formula>AND(Y$9&gt;=8/24,Y$9&lt;14/24)</formula>
    </cfRule>
    <cfRule type="expression" dxfId="5630" priority="50">
      <formula>Y$9&lt;8/24</formula>
    </cfRule>
  </conditionalFormatting>
  <conditionalFormatting sqref="Y24:AF24">
    <cfRule type="expression" dxfId="5629" priority="43">
      <formula>Y$9&gt;=20/24</formula>
    </cfRule>
    <cfRule type="expression" dxfId="5628" priority="44">
      <formula>AND(Y$9&gt;=14/24,Y$9&lt;20/24)</formula>
    </cfRule>
    <cfRule type="expression" dxfId="5627" priority="45">
      <formula>AND(Y$9&gt;=8/24,Y$9&lt;14/24)</formula>
    </cfRule>
    <cfRule type="expression" dxfId="5626" priority="46">
      <formula>Y$9&lt;8/24</formula>
    </cfRule>
  </conditionalFormatting>
  <conditionalFormatting sqref="Y24:AF24">
    <cfRule type="expression" dxfId="5625" priority="42">
      <formula>Y24&gt;$AG24</formula>
    </cfRule>
  </conditionalFormatting>
  <conditionalFormatting sqref="Y74">
    <cfRule type="expression" dxfId="5624" priority="38">
      <formula>Y$9&gt;=20/24</formula>
    </cfRule>
    <cfRule type="expression" dxfId="5623" priority="39">
      <formula>AND(Y$9&gt;=14/24,Y$9&lt;20/24)</formula>
    </cfRule>
    <cfRule type="expression" dxfId="5622" priority="40">
      <formula>AND(Y$9&gt;=8/24,Y$9&lt;14/24)</formula>
    </cfRule>
    <cfRule type="expression" dxfId="5621" priority="41">
      <formula>Y$9&lt;8/24</formula>
    </cfRule>
  </conditionalFormatting>
  <conditionalFormatting sqref="Y83:Y87">
    <cfRule type="expression" dxfId="5620" priority="34">
      <formula>Y$9&gt;=20/24</formula>
    </cfRule>
    <cfRule type="expression" dxfId="5619" priority="35">
      <formula>AND(Y$9&gt;=14/24,Y$9&lt;20/24)</formula>
    </cfRule>
    <cfRule type="expression" dxfId="5618" priority="36">
      <formula>AND(Y$9&gt;=8/24,Y$9&lt;14/24)</formula>
    </cfRule>
    <cfRule type="expression" dxfId="5617" priority="37">
      <formula>Y$9&lt;8/24</formula>
    </cfRule>
  </conditionalFormatting>
  <conditionalFormatting sqref="Y41:Y43">
    <cfRule type="expression" dxfId="5616" priority="30">
      <formula>Y$9&gt;=20/24</formula>
    </cfRule>
    <cfRule type="expression" dxfId="5615" priority="31">
      <formula>AND(Y$9&gt;=14/24,Y$9&lt;20/24)</formula>
    </cfRule>
    <cfRule type="expression" dxfId="5614" priority="32">
      <formula>AND(Y$9&gt;=8/24,Y$9&lt;14/24)</formula>
    </cfRule>
    <cfRule type="expression" dxfId="5613" priority="33">
      <formula>Y$9&lt;8/24</formula>
    </cfRule>
  </conditionalFormatting>
  <conditionalFormatting sqref="Y41:Y43">
    <cfRule type="expression" dxfId="5612" priority="29">
      <formula>Y41&gt;$AG41</formula>
    </cfRule>
  </conditionalFormatting>
  <conditionalFormatting sqref="Y44">
    <cfRule type="expression" dxfId="5611" priority="25">
      <formula>Y$9&gt;=20/24</formula>
    </cfRule>
    <cfRule type="expression" dxfId="5610" priority="26">
      <formula>AND(Y$9&gt;=14/24,Y$9&lt;20/24)</formula>
    </cfRule>
    <cfRule type="expression" dxfId="5609" priority="27">
      <formula>AND(Y$9&gt;=8/24,Y$9&lt;14/24)</formula>
    </cfRule>
    <cfRule type="expression" dxfId="5608" priority="28">
      <formula>Y$9&lt;8/24</formula>
    </cfRule>
  </conditionalFormatting>
  <conditionalFormatting sqref="Y44">
    <cfRule type="expression" dxfId="5607" priority="24">
      <formula>Y44&gt;$AG44</formula>
    </cfRule>
  </conditionalFormatting>
  <conditionalFormatting sqref="Y52:Y56">
    <cfRule type="expression" dxfId="5606" priority="16">
      <formula>Y$9&gt;=20/24</formula>
    </cfRule>
    <cfRule type="expression" dxfId="5605" priority="17">
      <formula>AND(Y$9&gt;=14/24,Y$9&lt;20/24)</formula>
    </cfRule>
    <cfRule type="expression" dxfId="5604" priority="18">
      <formula>AND(Y$9&gt;=8/24,Y$9&lt;14/24)</formula>
    </cfRule>
    <cfRule type="expression" dxfId="5603" priority="19">
      <formula>Y$9&lt;8/24</formula>
    </cfRule>
  </conditionalFormatting>
  <conditionalFormatting sqref="Y52:Y56">
    <cfRule type="expression" dxfId="5602" priority="15">
      <formula>Y52&gt;$AG52</formula>
    </cfRule>
  </conditionalFormatting>
  <conditionalFormatting sqref="Y17:AF17">
    <cfRule type="expression" dxfId="5601" priority="14">
      <formula>Y17&gt;$AG17</formula>
    </cfRule>
  </conditionalFormatting>
  <conditionalFormatting sqref="Y17:AF17">
    <cfRule type="expression" dxfId="5600" priority="10">
      <formula>Y$9&gt;=20/24</formula>
    </cfRule>
    <cfRule type="expression" dxfId="5599" priority="11">
      <formula>AND(Y$9&gt;=14/24,Y$9&lt;20/24)</formula>
    </cfRule>
    <cfRule type="expression" dxfId="5598" priority="12">
      <formula>AND(Y$9&gt;=8/24,Y$9&lt;14/24)</formula>
    </cfRule>
    <cfRule type="expression" dxfId="5597" priority="13">
      <formula>Y$9&lt;8/24</formula>
    </cfRule>
  </conditionalFormatting>
  <conditionalFormatting sqref="Y30:AF30">
    <cfRule type="expression" dxfId="5596" priority="6">
      <formula>Y$9&gt;=20/24</formula>
    </cfRule>
    <cfRule type="expression" dxfId="5595" priority="7">
      <formula>AND(Y$9&gt;=14/24,Y$9&lt;20/24)</formula>
    </cfRule>
    <cfRule type="expression" dxfId="5594" priority="8">
      <formula>AND(Y$9&gt;=8/24,Y$9&lt;14/24)</formula>
    </cfRule>
    <cfRule type="expression" dxfId="5593" priority="9">
      <formula>Y$9&lt;8/24</formula>
    </cfRule>
  </conditionalFormatting>
  <conditionalFormatting sqref="Y30:AF30">
    <cfRule type="expression" dxfId="5592" priority="5">
      <formula>Y30&gt;$AG30</formula>
    </cfRule>
  </conditionalFormatting>
  <conditionalFormatting sqref="Y103">
    <cfRule type="expression" dxfId="5591" priority="1">
      <formula>Y$9&gt;=20/24</formula>
    </cfRule>
    <cfRule type="expression" dxfId="5590" priority="2">
      <formula>AND(Y$9&gt;=14/24,Y$9&lt;20/24)</formula>
    </cfRule>
    <cfRule type="expression" dxfId="5589" priority="3">
      <formula>AND(Y$9&gt;=8/24,Y$9&lt;14/24)</formula>
    </cfRule>
    <cfRule type="expression" dxfId="5588" priority="4">
      <formula>Y$9&lt;8/24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6" id="{C231B4BC-FFE0-4B6C-8481-A61DD46021A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97" id="{7F1D73FB-DB8E-4F7C-9389-2BB202CF0BB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98" id="{2EF76250-E843-4F72-8978-C4DC272B60E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99" id="{91570B58-6614-42FE-AFA3-6E1B8992EFE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B82:X82 Z82:AF82</xm:sqref>
        </x14:conditionalFormatting>
        <x14:conditionalFormatting xmlns:xm="http://schemas.microsoft.com/office/excel/2006/main">
          <x14:cfRule type="expression" priority="189" id="{48C2D2A1-C337-4377-8633-A667856274C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90" id="{EDBAAC50-E43D-424C-BB37-A0E6F7393B0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91" id="{44858487-AD25-4268-A80B-4D05878F01D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92" id="{E43E3999-E19C-44A4-B4E5-5D7408DC2C0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185" id="{296E6017-AF1A-4CD2-9D70-D5CB9D1B06F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86" id="{DADD07F3-14B1-431B-A686-ED87ED25B58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87" id="{26DF826C-2676-4AE7-9BCA-65CACC313E5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8" id="{46DB0C56-8823-497F-A0A6-D4077BF6C71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  <x14:conditionalFormatting xmlns:xm="http://schemas.microsoft.com/office/excel/2006/main">
          <x14:cfRule type="expression" priority="20" id="{C8CD0A31-049D-4E45-8EA3-5332A65E996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1" id="{4B6A556B-2802-465A-BC00-54CD2D49062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2" id="{E57ECE20-AAE9-48C6-97FA-016525DCB52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3" id="{56C9020A-C501-411C-87DD-4042BD69E4F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Y82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J270"/>
  <sheetViews>
    <sheetView zoomScale="90" zoomScaleNormal="90" workbookViewId="0">
      <pane xSplit="1" ySplit="10" topLeftCell="C11" activePane="bottomRight" state="frozen"/>
      <selection activeCell="AF88" sqref="AF88"/>
      <selection pane="topRight" activeCell="AF88" sqref="AF88"/>
      <selection pane="bottomLeft" activeCell="AF88" sqref="AF88"/>
      <selection pane="bottomRight" activeCell="AJ10" sqref="AJ10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25.5703125" style="1" bestFit="1" customWidth="1"/>
    <col min="37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2079/06/16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0</v>
      </c>
      <c r="X5" s="148">
        <f t="shared" si="0"/>
        <v>0</v>
      </c>
      <c r="Y5" s="148">
        <f t="shared" si="0"/>
        <v>0</v>
      </c>
      <c r="Z5" s="148">
        <f t="shared" si="0"/>
        <v>0</v>
      </c>
      <c r="AA5" s="148">
        <f t="shared" si="0"/>
        <v>0</v>
      </c>
      <c r="AB5" s="148">
        <f t="shared" si="0"/>
        <v>0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B74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1700MW at 9:00hr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Load=4</v>
      </c>
      <c r="B7" s="137">
        <f t="shared" ref="B7:AF7" si="1">B81</f>
        <v>1712.74</v>
      </c>
      <c r="C7" s="137">
        <f t="shared" si="1"/>
        <v>1612.44</v>
      </c>
      <c r="D7" s="137">
        <f t="shared" si="1"/>
        <v>1621.74</v>
      </c>
      <c r="E7" s="137">
        <f t="shared" si="1"/>
        <v>1621.74</v>
      </c>
      <c r="F7" s="137">
        <f t="shared" si="1"/>
        <v>1601.24</v>
      </c>
      <c r="G7" s="137">
        <f t="shared" si="1"/>
        <v>1603.04</v>
      </c>
      <c r="H7" s="137">
        <f t="shared" si="1"/>
        <v>1603.04</v>
      </c>
      <c r="I7" s="137">
        <f t="shared" si="1"/>
        <v>1584.1399999999999</v>
      </c>
      <c r="J7" s="137">
        <f t="shared" si="1"/>
        <v>1537.6399999999999</v>
      </c>
      <c r="K7" s="137">
        <f t="shared" si="1"/>
        <v>1537.6399999999999</v>
      </c>
      <c r="L7" s="137">
        <f t="shared" si="1"/>
        <v>1522.74</v>
      </c>
      <c r="M7" s="137">
        <f t="shared" si="1"/>
        <v>1669.24</v>
      </c>
      <c r="N7" s="137">
        <f t="shared" si="1"/>
        <v>1699.54</v>
      </c>
      <c r="O7" s="137">
        <f t="shared" si="1"/>
        <v>1689.1399999999999</v>
      </c>
      <c r="P7" s="137">
        <f t="shared" si="1"/>
        <v>1647.3399999999997</v>
      </c>
      <c r="Q7" s="137">
        <f t="shared" si="1"/>
        <v>1683.04</v>
      </c>
      <c r="R7" s="137">
        <f t="shared" si="1"/>
        <v>1659.34</v>
      </c>
      <c r="S7" s="137">
        <f t="shared" si="1"/>
        <v>1660.14</v>
      </c>
      <c r="T7" s="137">
        <f t="shared" si="1"/>
        <v>1651.3400000000001</v>
      </c>
      <c r="U7" s="137">
        <f t="shared" si="1"/>
        <v>1661.54</v>
      </c>
      <c r="V7" s="137">
        <f t="shared" si="1"/>
        <v>1604.34</v>
      </c>
      <c r="W7" s="137">
        <f t="shared" si="1"/>
        <v>1603.3400000000001</v>
      </c>
      <c r="X7" s="137">
        <f t="shared" si="1"/>
        <v>1693.34</v>
      </c>
      <c r="Y7" s="137">
        <f t="shared" si="1"/>
        <v>1795.44</v>
      </c>
      <c r="Z7" s="137">
        <f t="shared" si="1"/>
        <v>1796.44</v>
      </c>
      <c r="AA7" s="137">
        <f t="shared" si="1"/>
        <v>1797.44</v>
      </c>
      <c r="AB7" s="137">
        <f t="shared" si="1"/>
        <v>1808.44</v>
      </c>
      <c r="AC7" s="137">
        <f t="shared" si="1"/>
        <v>1794.94</v>
      </c>
      <c r="AD7" s="137">
        <f t="shared" si="1"/>
        <v>1795.94</v>
      </c>
      <c r="AE7" s="137">
        <f t="shared" si="1"/>
        <v>1722.1399999999999</v>
      </c>
      <c r="AF7" s="137">
        <f t="shared" si="1"/>
        <v>3.54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J8" s="168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J9" s="105">
        <f>(1840*24-(B7+C7+D7+E7+F7+G7+I7+K7+M7+N7+O7+P7+Q7+R7+S7+T7+U7+V7+X7+Z7+AB7+AD7+AE7+1700))</f>
        <v>4123.9799999999959</v>
      </c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21.75" thickBot="1" x14ac:dyDescent="0.4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J10" s="169" t="s">
        <v>278</v>
      </c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53.7</v>
      </c>
      <c r="C11" s="105">
        <v>53.7</v>
      </c>
      <c r="D11" s="105">
        <v>53.7</v>
      </c>
      <c r="E11" s="105">
        <v>53.7</v>
      </c>
      <c r="F11" s="105">
        <v>53.7</v>
      </c>
      <c r="G11" s="105">
        <v>53.7</v>
      </c>
      <c r="H11" s="105">
        <v>53.7</v>
      </c>
      <c r="I11" s="105">
        <v>53.7</v>
      </c>
      <c r="J11" s="105">
        <v>53.7</v>
      </c>
      <c r="K11" s="105">
        <v>53.7</v>
      </c>
      <c r="L11" s="105">
        <v>53.7</v>
      </c>
      <c r="M11" s="105">
        <v>53.7</v>
      </c>
      <c r="N11" s="105">
        <v>53.7</v>
      </c>
      <c r="O11" s="105">
        <v>53.7</v>
      </c>
      <c r="P11" s="105">
        <v>50.6</v>
      </c>
      <c r="Q11" s="105">
        <v>50.4</v>
      </c>
      <c r="R11" s="105">
        <v>50.6</v>
      </c>
      <c r="S11" s="105">
        <v>50.6</v>
      </c>
      <c r="T11" s="105">
        <v>50.6</v>
      </c>
      <c r="U11" s="105">
        <v>50.6</v>
      </c>
      <c r="V11" s="105">
        <v>50.5</v>
      </c>
      <c r="W11" s="128">
        <v>50.5</v>
      </c>
      <c r="X11" s="128">
        <v>53.4</v>
      </c>
      <c r="Y11" s="128">
        <v>53.4</v>
      </c>
      <c r="Z11" s="128">
        <v>53.4</v>
      </c>
      <c r="AA11" s="128">
        <v>53.4</v>
      </c>
      <c r="AB11" s="128">
        <v>53.4</v>
      </c>
      <c r="AC11" s="128">
        <v>53.4</v>
      </c>
      <c r="AD11" s="128">
        <v>53.4</v>
      </c>
      <c r="AE11" s="128">
        <v>53.4</v>
      </c>
      <c r="AF11" s="128"/>
      <c r="AG11" s="127">
        <v>52.4</v>
      </c>
      <c r="AH11" s="20">
        <f t="shared" ref="AH11:AH74" si="2">MAX(B11:AF11)</f>
        <v>53.7</v>
      </c>
      <c r="AI11" s="19">
        <f t="shared" ref="AI11:AI74" si="3">MIN(B11:AF11)</f>
        <v>50.4</v>
      </c>
      <c r="AJ11" s="167">
        <f>6*3</f>
        <v>18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50.4</v>
      </c>
      <c r="C12" s="105">
        <v>50.4</v>
      </c>
      <c r="D12" s="105">
        <v>50.4</v>
      </c>
      <c r="E12" s="105">
        <v>50.4</v>
      </c>
      <c r="F12" s="105">
        <v>50.4</v>
      </c>
      <c r="G12" s="105">
        <v>50.4</v>
      </c>
      <c r="H12" s="105">
        <v>50.4</v>
      </c>
      <c r="I12" s="105">
        <v>50.4</v>
      </c>
      <c r="J12" s="105">
        <v>50.4</v>
      </c>
      <c r="K12" s="105">
        <v>50.4</v>
      </c>
      <c r="L12" s="105">
        <v>50.4</v>
      </c>
      <c r="M12" s="105">
        <v>50.4</v>
      </c>
      <c r="N12" s="105">
        <v>50.4</v>
      </c>
      <c r="O12" s="105">
        <v>50.4</v>
      </c>
      <c r="P12" s="105">
        <v>50.6</v>
      </c>
      <c r="Q12" s="105">
        <v>50.2</v>
      </c>
      <c r="R12" s="105">
        <v>50.3</v>
      </c>
      <c r="S12" s="105">
        <v>50.3</v>
      </c>
      <c r="T12" s="105">
        <v>50.3</v>
      </c>
      <c r="U12" s="105">
        <v>50.3</v>
      </c>
      <c r="V12" s="105">
        <v>50.6</v>
      </c>
      <c r="W12" s="105">
        <v>50</v>
      </c>
      <c r="X12" s="105">
        <v>50</v>
      </c>
      <c r="Y12" s="105">
        <v>50</v>
      </c>
      <c r="Z12" s="105">
        <v>50</v>
      </c>
      <c r="AA12" s="105">
        <v>50</v>
      </c>
      <c r="AB12" s="105">
        <v>50</v>
      </c>
      <c r="AC12" s="105">
        <v>50</v>
      </c>
      <c r="AD12" s="105">
        <v>50</v>
      </c>
      <c r="AE12" s="105">
        <v>50</v>
      </c>
      <c r="AF12" s="105"/>
      <c r="AG12" s="126">
        <v>50</v>
      </c>
      <c r="AH12" s="20">
        <f t="shared" si="2"/>
        <v>50.6</v>
      </c>
      <c r="AI12" s="19">
        <f t="shared" si="3"/>
        <v>50</v>
      </c>
      <c r="AJ12" s="167"/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45.9</v>
      </c>
      <c r="C13" s="105">
        <v>45.9</v>
      </c>
      <c r="D13" s="105">
        <v>45.9</v>
      </c>
      <c r="E13" s="105">
        <v>45.9</v>
      </c>
      <c r="F13" s="105">
        <v>45.9</v>
      </c>
      <c r="G13" s="105">
        <v>45.9</v>
      </c>
      <c r="H13" s="105">
        <v>45.9</v>
      </c>
      <c r="I13" s="105">
        <v>45.9</v>
      </c>
      <c r="J13" s="105">
        <v>45.9</v>
      </c>
      <c r="K13" s="105">
        <v>45.9</v>
      </c>
      <c r="L13" s="105">
        <v>23</v>
      </c>
      <c r="M13" s="105">
        <v>23</v>
      </c>
      <c r="N13" s="105">
        <v>45.9</v>
      </c>
      <c r="O13" s="105">
        <v>45.9</v>
      </c>
      <c r="P13" s="105">
        <v>45.9</v>
      </c>
      <c r="Q13" s="105">
        <v>45.9</v>
      </c>
      <c r="R13" s="105">
        <v>37.200000000000003</v>
      </c>
      <c r="S13" s="105">
        <v>45</v>
      </c>
      <c r="T13" s="105">
        <v>45</v>
      </c>
      <c r="U13" s="105">
        <v>45</v>
      </c>
      <c r="V13" s="105">
        <v>46</v>
      </c>
      <c r="W13" s="105">
        <v>46</v>
      </c>
      <c r="X13" s="105">
        <v>46</v>
      </c>
      <c r="Y13" s="105">
        <v>46</v>
      </c>
      <c r="Z13" s="105">
        <v>46</v>
      </c>
      <c r="AA13" s="105">
        <v>46</v>
      </c>
      <c r="AB13" s="105">
        <v>46</v>
      </c>
      <c r="AC13" s="105">
        <v>46</v>
      </c>
      <c r="AD13" s="105">
        <v>46</v>
      </c>
      <c r="AE13" s="105">
        <v>46</v>
      </c>
      <c r="AF13" s="105"/>
      <c r="AG13" s="126">
        <v>45</v>
      </c>
      <c r="AH13" s="20">
        <f t="shared" si="2"/>
        <v>46</v>
      </c>
      <c r="AI13" s="19">
        <f t="shared" si="3"/>
        <v>23</v>
      </c>
      <c r="AJ13" s="167"/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27</v>
      </c>
      <c r="C14" s="105">
        <v>25</v>
      </c>
      <c r="D14" s="105">
        <v>25</v>
      </c>
      <c r="E14" s="105">
        <v>25</v>
      </c>
      <c r="F14" s="105">
        <v>25</v>
      </c>
      <c r="G14" s="105">
        <v>25</v>
      </c>
      <c r="H14" s="105">
        <v>25</v>
      </c>
      <c r="I14" s="105">
        <v>25</v>
      </c>
      <c r="J14" s="105">
        <v>25</v>
      </c>
      <c r="K14" s="105">
        <v>25</v>
      </c>
      <c r="L14" s="105">
        <v>25</v>
      </c>
      <c r="M14" s="105">
        <v>27</v>
      </c>
      <c r="N14" s="105">
        <v>27</v>
      </c>
      <c r="O14" s="105">
        <v>27</v>
      </c>
      <c r="P14" s="105">
        <v>27</v>
      </c>
      <c r="Q14" s="105">
        <v>24</v>
      </c>
      <c r="R14" s="105">
        <v>24</v>
      </c>
      <c r="S14" s="105">
        <v>24</v>
      </c>
      <c r="T14" s="105">
        <v>30</v>
      </c>
      <c r="U14" s="105">
        <v>25</v>
      </c>
      <c r="V14" s="105">
        <v>25</v>
      </c>
      <c r="W14" s="105">
        <v>25</v>
      </c>
      <c r="X14" s="105">
        <v>38</v>
      </c>
      <c r="Y14" s="105">
        <v>38</v>
      </c>
      <c r="Z14" s="105">
        <v>38</v>
      </c>
      <c r="AA14" s="105">
        <v>38</v>
      </c>
      <c r="AB14" s="105">
        <v>38</v>
      </c>
      <c r="AC14" s="105">
        <v>38</v>
      </c>
      <c r="AD14" s="105">
        <v>38</v>
      </c>
      <c r="AE14" s="105">
        <v>38</v>
      </c>
      <c r="AF14" s="105" t="s">
        <v>255</v>
      </c>
      <c r="AG14" s="126">
        <v>42</v>
      </c>
      <c r="AH14" s="20">
        <f t="shared" si="2"/>
        <v>38</v>
      </c>
      <c r="AI14" s="19">
        <f t="shared" si="3"/>
        <v>24</v>
      </c>
      <c r="AJ14" s="167">
        <f>24*17</f>
        <v>408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0</v>
      </c>
      <c r="N15" s="105">
        <v>0</v>
      </c>
      <c r="O15" s="105">
        <v>0</v>
      </c>
      <c r="P15" s="105">
        <v>0</v>
      </c>
      <c r="Q15" s="105">
        <v>0</v>
      </c>
      <c r="R15" s="105">
        <v>0</v>
      </c>
      <c r="S15" s="105">
        <v>0</v>
      </c>
      <c r="T15" s="105">
        <v>0</v>
      </c>
      <c r="U15" s="105">
        <v>0</v>
      </c>
      <c r="V15" s="105">
        <v>0</v>
      </c>
      <c r="W15" s="105">
        <v>0</v>
      </c>
      <c r="X15" s="105">
        <v>30</v>
      </c>
      <c r="Y15" s="105">
        <v>25</v>
      </c>
      <c r="Z15" s="105">
        <v>25</v>
      </c>
      <c r="AA15" s="105">
        <v>25</v>
      </c>
      <c r="AB15" s="105">
        <v>25</v>
      </c>
      <c r="AC15" s="105">
        <v>10.5</v>
      </c>
      <c r="AD15" s="105">
        <v>10.5</v>
      </c>
      <c r="AE15" s="105">
        <v>10.5</v>
      </c>
      <c r="AF15" s="105" t="s">
        <v>256</v>
      </c>
      <c r="AG15" s="96">
        <v>30</v>
      </c>
      <c r="AH15" s="20">
        <f t="shared" si="2"/>
        <v>30</v>
      </c>
      <c r="AI15" s="19">
        <f t="shared" si="3"/>
        <v>0</v>
      </c>
      <c r="AJ15" s="167">
        <f>30*18</f>
        <v>540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25</v>
      </c>
      <c r="C16" s="105">
        <v>25</v>
      </c>
      <c r="D16" s="105">
        <v>25</v>
      </c>
      <c r="E16" s="105">
        <v>25</v>
      </c>
      <c r="F16" s="105">
        <v>25</v>
      </c>
      <c r="G16" s="105">
        <v>25</v>
      </c>
      <c r="H16" s="105">
        <v>25</v>
      </c>
      <c r="I16" s="105">
        <v>25</v>
      </c>
      <c r="J16" s="105">
        <v>25</v>
      </c>
      <c r="K16" s="105">
        <v>25</v>
      </c>
      <c r="L16" s="105">
        <v>25</v>
      </c>
      <c r="M16" s="105">
        <v>25</v>
      </c>
      <c r="N16" s="105">
        <v>25</v>
      </c>
      <c r="O16" s="105">
        <v>25</v>
      </c>
      <c r="P16" s="105">
        <v>25</v>
      </c>
      <c r="Q16" s="105">
        <v>24.9</v>
      </c>
      <c r="R16" s="105">
        <v>24.9</v>
      </c>
      <c r="S16" s="105">
        <v>25.3</v>
      </c>
      <c r="T16" s="105">
        <v>33</v>
      </c>
      <c r="U16" s="105">
        <v>25</v>
      </c>
      <c r="V16" s="105">
        <v>25</v>
      </c>
      <c r="W16" s="105">
        <v>25</v>
      </c>
      <c r="X16" s="105">
        <v>33.299999999999997</v>
      </c>
      <c r="Y16" s="105">
        <v>33.299999999999997</v>
      </c>
      <c r="Z16" s="105">
        <v>33.299999999999997</v>
      </c>
      <c r="AA16" s="105">
        <v>33.299999999999997</v>
      </c>
      <c r="AB16" s="105">
        <v>33.299999999999997</v>
      </c>
      <c r="AC16" s="105">
        <v>33.299999999999997</v>
      </c>
      <c r="AD16" s="105">
        <v>33.299999999999997</v>
      </c>
      <c r="AE16" s="105">
        <v>33.299999999999997</v>
      </c>
      <c r="AF16" s="105" t="s">
        <v>255</v>
      </c>
      <c r="AG16" s="126">
        <v>24.2</v>
      </c>
      <c r="AH16" s="20">
        <f t="shared" si="2"/>
        <v>33.299999999999997</v>
      </c>
      <c r="AI16" s="19">
        <f t="shared" si="3"/>
        <v>24.9</v>
      </c>
      <c r="AJ16" s="168"/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0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5">
        <v>0</v>
      </c>
      <c r="O17" s="105">
        <v>0</v>
      </c>
      <c r="P17" s="105">
        <v>0</v>
      </c>
      <c r="Q17" s="105">
        <v>0</v>
      </c>
      <c r="R17" s="105">
        <v>0</v>
      </c>
      <c r="S17" s="105">
        <v>0</v>
      </c>
      <c r="T17" s="105">
        <v>0</v>
      </c>
      <c r="U17" s="105">
        <v>0</v>
      </c>
      <c r="V17" s="105">
        <v>0</v>
      </c>
      <c r="W17" s="105">
        <v>0</v>
      </c>
      <c r="X17" s="105">
        <v>0</v>
      </c>
      <c r="Y17" s="105">
        <v>27</v>
      </c>
      <c r="Z17" s="105">
        <v>27</v>
      </c>
      <c r="AA17" s="105">
        <v>27</v>
      </c>
      <c r="AB17" s="105">
        <v>27</v>
      </c>
      <c r="AC17" s="105">
        <v>27</v>
      </c>
      <c r="AD17" s="105">
        <v>27</v>
      </c>
      <c r="AE17" s="105">
        <v>20</v>
      </c>
      <c r="AF17" s="105" t="s">
        <v>257</v>
      </c>
      <c r="AG17" s="96">
        <v>30</v>
      </c>
      <c r="AH17" s="20">
        <f t="shared" si="2"/>
        <v>27</v>
      </c>
      <c r="AI17" s="19">
        <f t="shared" si="3"/>
        <v>0</v>
      </c>
      <c r="AJ17" s="168"/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25.2</v>
      </c>
      <c r="C18" s="105">
        <v>25.2</v>
      </c>
      <c r="D18" s="105">
        <v>25.2</v>
      </c>
      <c r="E18" s="105">
        <v>25.2</v>
      </c>
      <c r="F18" s="105">
        <v>25.2</v>
      </c>
      <c r="G18" s="105">
        <v>25.2</v>
      </c>
      <c r="H18" s="105">
        <v>25.2</v>
      </c>
      <c r="I18" s="105">
        <v>25.2</v>
      </c>
      <c r="J18" s="105">
        <v>25.2</v>
      </c>
      <c r="K18" s="105">
        <v>25.2</v>
      </c>
      <c r="L18" s="105">
        <v>25.2</v>
      </c>
      <c r="M18" s="105">
        <v>25.2</v>
      </c>
      <c r="N18" s="105">
        <v>25.2</v>
      </c>
      <c r="O18" s="105">
        <v>25.2</v>
      </c>
      <c r="P18" s="105">
        <v>25.2</v>
      </c>
      <c r="Q18" s="105">
        <v>25.2</v>
      </c>
      <c r="R18" s="105">
        <v>25.1</v>
      </c>
      <c r="S18" s="105">
        <v>25.1</v>
      </c>
      <c r="T18" s="105">
        <v>25.1</v>
      </c>
      <c r="U18" s="105">
        <v>25.1</v>
      </c>
      <c r="V18" s="105">
        <v>25.1</v>
      </c>
      <c r="W18" s="105">
        <v>25</v>
      </c>
      <c r="X18" s="105">
        <v>25</v>
      </c>
      <c r="Y18" s="105">
        <v>25</v>
      </c>
      <c r="Z18" s="105">
        <v>25</v>
      </c>
      <c r="AA18" s="105">
        <v>25</v>
      </c>
      <c r="AB18" s="105">
        <v>25</v>
      </c>
      <c r="AC18" s="105">
        <v>25</v>
      </c>
      <c r="AD18" s="105">
        <v>25</v>
      </c>
      <c r="AE18" s="105">
        <v>25</v>
      </c>
      <c r="AF18" s="105" t="s">
        <v>258</v>
      </c>
      <c r="AG18" s="126">
        <v>25</v>
      </c>
      <c r="AH18" s="20">
        <f t="shared" si="2"/>
        <v>25.2</v>
      </c>
      <c r="AI18" s="19">
        <f t="shared" si="3"/>
        <v>25</v>
      </c>
      <c r="AJ18" s="168"/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25</v>
      </c>
      <c r="C19" s="105">
        <v>25</v>
      </c>
      <c r="D19" s="105">
        <v>25</v>
      </c>
      <c r="E19" s="105">
        <v>25</v>
      </c>
      <c r="F19" s="105">
        <v>22</v>
      </c>
      <c r="G19" s="105">
        <v>22</v>
      </c>
      <c r="H19" s="105">
        <v>22</v>
      </c>
      <c r="I19" s="105">
        <v>22</v>
      </c>
      <c r="J19" s="105">
        <v>22</v>
      </c>
      <c r="K19" s="105">
        <v>22</v>
      </c>
      <c r="L19" s="105">
        <v>22</v>
      </c>
      <c r="M19" s="105">
        <v>22</v>
      </c>
      <c r="N19" s="105">
        <v>22</v>
      </c>
      <c r="O19" s="105">
        <v>22</v>
      </c>
      <c r="P19" s="105">
        <v>22</v>
      </c>
      <c r="Q19" s="105">
        <v>22</v>
      </c>
      <c r="R19" s="105">
        <v>22</v>
      </c>
      <c r="S19" s="105">
        <v>25</v>
      </c>
      <c r="T19" s="105">
        <v>12.5</v>
      </c>
      <c r="U19" s="105">
        <v>25</v>
      </c>
      <c r="V19" s="105">
        <v>25</v>
      </c>
      <c r="W19" s="105">
        <v>25</v>
      </c>
      <c r="X19" s="105">
        <v>25</v>
      </c>
      <c r="Y19" s="105">
        <v>25</v>
      </c>
      <c r="Z19" s="105">
        <v>25</v>
      </c>
      <c r="AA19" s="105">
        <v>25</v>
      </c>
      <c r="AB19" s="105">
        <v>25</v>
      </c>
      <c r="AC19" s="105">
        <v>25</v>
      </c>
      <c r="AD19" s="105">
        <v>25</v>
      </c>
      <c r="AE19" s="105">
        <v>25</v>
      </c>
      <c r="AF19" s="105" t="s">
        <v>259</v>
      </c>
      <c r="AG19" s="126">
        <v>25</v>
      </c>
      <c r="AH19" s="20">
        <f t="shared" si="2"/>
        <v>25</v>
      </c>
      <c r="AI19" s="19">
        <f t="shared" si="3"/>
        <v>12.5</v>
      </c>
      <c r="AJ19" s="168">
        <f>9*3</f>
        <v>27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23</v>
      </c>
      <c r="C20" s="105">
        <v>23</v>
      </c>
      <c r="D20" s="105">
        <v>23</v>
      </c>
      <c r="E20" s="105">
        <v>23</v>
      </c>
      <c r="F20" s="105">
        <v>23</v>
      </c>
      <c r="G20" s="105">
        <v>23</v>
      </c>
      <c r="H20" s="105">
        <v>23</v>
      </c>
      <c r="I20" s="105">
        <v>23</v>
      </c>
      <c r="J20" s="105">
        <v>23</v>
      </c>
      <c r="K20" s="105">
        <v>23</v>
      </c>
      <c r="L20" s="105">
        <v>23</v>
      </c>
      <c r="M20" s="105">
        <v>23</v>
      </c>
      <c r="N20" s="105">
        <v>23</v>
      </c>
      <c r="O20" s="105">
        <v>23</v>
      </c>
      <c r="P20" s="105">
        <v>23</v>
      </c>
      <c r="Q20" s="105">
        <v>23</v>
      </c>
      <c r="R20" s="105">
        <v>23</v>
      </c>
      <c r="S20" s="105">
        <v>23</v>
      </c>
      <c r="T20" s="105">
        <v>23</v>
      </c>
      <c r="U20" s="105">
        <v>23</v>
      </c>
      <c r="V20" s="105">
        <v>23</v>
      </c>
      <c r="W20" s="105">
        <v>23</v>
      </c>
      <c r="X20" s="105">
        <v>23</v>
      </c>
      <c r="Y20" s="105">
        <v>23</v>
      </c>
      <c r="Z20" s="105">
        <v>23</v>
      </c>
      <c r="AA20" s="105">
        <v>23</v>
      </c>
      <c r="AB20" s="105">
        <v>23</v>
      </c>
      <c r="AC20" s="105">
        <v>23</v>
      </c>
      <c r="AD20" s="105">
        <v>23</v>
      </c>
      <c r="AE20" s="105">
        <v>23</v>
      </c>
      <c r="AF20" s="105"/>
      <c r="AG20" s="126">
        <v>25</v>
      </c>
      <c r="AH20" s="20">
        <f t="shared" si="2"/>
        <v>23</v>
      </c>
      <c r="AI20" s="19">
        <f t="shared" si="3"/>
        <v>23</v>
      </c>
      <c r="AJ20" s="168"/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23.2</v>
      </c>
      <c r="C21" s="105">
        <v>23.2</v>
      </c>
      <c r="D21" s="105">
        <v>23.2</v>
      </c>
      <c r="E21" s="105">
        <v>23.2</v>
      </c>
      <c r="F21" s="105">
        <v>23.2</v>
      </c>
      <c r="G21" s="105">
        <v>23.2</v>
      </c>
      <c r="H21" s="105">
        <v>23.2</v>
      </c>
      <c r="I21" s="105">
        <v>23.2</v>
      </c>
      <c r="J21" s="105">
        <v>23.2</v>
      </c>
      <c r="K21" s="105">
        <v>23.2</v>
      </c>
      <c r="L21" s="105">
        <v>23.2</v>
      </c>
      <c r="M21" s="105">
        <v>23.2</v>
      </c>
      <c r="N21" s="105">
        <v>23.2</v>
      </c>
      <c r="O21" s="105">
        <v>23.2</v>
      </c>
      <c r="P21" s="105">
        <v>23.2</v>
      </c>
      <c r="Q21" s="105">
        <v>23.2</v>
      </c>
      <c r="R21" s="105">
        <v>23.2</v>
      </c>
      <c r="S21" s="105">
        <v>23.2</v>
      </c>
      <c r="T21" s="105">
        <v>23.2</v>
      </c>
      <c r="U21" s="105">
        <v>23.2</v>
      </c>
      <c r="V21" s="105">
        <v>23.2</v>
      </c>
      <c r="W21" s="105">
        <v>23.2</v>
      </c>
      <c r="X21" s="105">
        <v>23.2</v>
      </c>
      <c r="Y21" s="105">
        <v>23.2</v>
      </c>
      <c r="Z21" s="105">
        <v>23.2</v>
      </c>
      <c r="AA21" s="105">
        <v>23.2</v>
      </c>
      <c r="AB21" s="105">
        <v>23.2</v>
      </c>
      <c r="AC21" s="105">
        <v>23.2</v>
      </c>
      <c r="AD21" s="105">
        <v>23.2</v>
      </c>
      <c r="AE21" s="105">
        <v>23.2</v>
      </c>
      <c r="AF21" s="105"/>
      <c r="AG21" s="126">
        <v>23.5</v>
      </c>
      <c r="AH21" s="20">
        <f t="shared" si="2"/>
        <v>23.2</v>
      </c>
      <c r="AI21" s="19">
        <f t="shared" si="3"/>
        <v>23.2</v>
      </c>
      <c r="AJ21" s="168"/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20</v>
      </c>
      <c r="C22" s="105">
        <v>20</v>
      </c>
      <c r="D22" s="105">
        <v>20</v>
      </c>
      <c r="E22" s="105">
        <v>20</v>
      </c>
      <c r="F22" s="105">
        <v>20</v>
      </c>
      <c r="G22" s="105">
        <v>20</v>
      </c>
      <c r="H22" s="105">
        <v>20</v>
      </c>
      <c r="I22" s="105">
        <v>20</v>
      </c>
      <c r="J22" s="105">
        <v>20</v>
      </c>
      <c r="K22" s="105">
        <v>20</v>
      </c>
      <c r="L22" s="105">
        <v>20</v>
      </c>
      <c r="M22" s="105">
        <v>20</v>
      </c>
      <c r="N22" s="105">
        <v>20</v>
      </c>
      <c r="O22" s="105">
        <v>20</v>
      </c>
      <c r="P22" s="105">
        <v>20</v>
      </c>
      <c r="Q22" s="105">
        <v>20</v>
      </c>
      <c r="R22" s="105">
        <v>20</v>
      </c>
      <c r="S22" s="105">
        <v>20</v>
      </c>
      <c r="T22" s="105">
        <v>20</v>
      </c>
      <c r="U22" s="105">
        <v>20</v>
      </c>
      <c r="V22" s="105">
        <v>20</v>
      </c>
      <c r="W22" s="105">
        <v>20</v>
      </c>
      <c r="X22" s="105">
        <v>20</v>
      </c>
      <c r="Y22" s="105">
        <v>20</v>
      </c>
      <c r="Z22" s="105">
        <v>20</v>
      </c>
      <c r="AA22" s="105">
        <v>20</v>
      </c>
      <c r="AB22" s="105">
        <v>20</v>
      </c>
      <c r="AC22" s="105">
        <v>20</v>
      </c>
      <c r="AD22" s="105">
        <v>20</v>
      </c>
      <c r="AE22" s="105">
        <v>20</v>
      </c>
      <c r="AF22" s="105" t="s">
        <v>260</v>
      </c>
      <c r="AG22" s="126">
        <v>22.2</v>
      </c>
      <c r="AH22" s="20">
        <f t="shared" si="2"/>
        <v>20</v>
      </c>
      <c r="AI22" s="19">
        <f t="shared" si="3"/>
        <v>20</v>
      </c>
      <c r="AJ22" s="168"/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22</v>
      </c>
      <c r="C23" s="105">
        <v>22</v>
      </c>
      <c r="D23" s="105">
        <v>22</v>
      </c>
      <c r="E23" s="105">
        <v>22</v>
      </c>
      <c r="F23" s="105">
        <v>20</v>
      </c>
      <c r="G23" s="105">
        <v>20</v>
      </c>
      <c r="H23" s="105">
        <v>20</v>
      </c>
      <c r="I23" s="105">
        <v>20</v>
      </c>
      <c r="J23" s="105">
        <v>20</v>
      </c>
      <c r="K23" s="105">
        <v>20</v>
      </c>
      <c r="L23" s="105">
        <v>20</v>
      </c>
      <c r="M23" s="105">
        <v>20</v>
      </c>
      <c r="N23" s="105">
        <v>20</v>
      </c>
      <c r="O23" s="105">
        <v>20</v>
      </c>
      <c r="P23" s="105">
        <v>20</v>
      </c>
      <c r="Q23" s="105">
        <v>20</v>
      </c>
      <c r="R23" s="105">
        <v>20</v>
      </c>
      <c r="S23" s="105">
        <v>20</v>
      </c>
      <c r="T23" s="105">
        <v>20</v>
      </c>
      <c r="U23" s="105">
        <v>20</v>
      </c>
      <c r="V23" s="105">
        <v>20</v>
      </c>
      <c r="W23" s="105">
        <v>20</v>
      </c>
      <c r="X23" s="105">
        <v>20</v>
      </c>
      <c r="Y23" s="105">
        <v>20</v>
      </c>
      <c r="Z23" s="105">
        <v>20</v>
      </c>
      <c r="AA23" s="105">
        <v>20</v>
      </c>
      <c r="AB23" s="105">
        <v>20</v>
      </c>
      <c r="AC23" s="105">
        <v>20</v>
      </c>
      <c r="AD23" s="105">
        <v>20</v>
      </c>
      <c r="AE23" s="105">
        <v>20</v>
      </c>
      <c r="AF23" s="105" t="s">
        <v>261</v>
      </c>
      <c r="AG23" s="126">
        <v>22.1</v>
      </c>
      <c r="AH23" s="20">
        <f t="shared" si="2"/>
        <v>22</v>
      </c>
      <c r="AI23" s="19">
        <f t="shared" si="3"/>
        <v>20</v>
      </c>
      <c r="AJ23" s="168"/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22</v>
      </c>
      <c r="C24" s="105">
        <v>22</v>
      </c>
      <c r="D24" s="105">
        <v>22</v>
      </c>
      <c r="E24" s="105">
        <v>22</v>
      </c>
      <c r="F24" s="105">
        <v>22</v>
      </c>
      <c r="G24" s="105">
        <v>22</v>
      </c>
      <c r="H24" s="105">
        <v>22</v>
      </c>
      <c r="I24" s="105">
        <v>22</v>
      </c>
      <c r="J24" s="105">
        <v>22</v>
      </c>
      <c r="K24" s="105">
        <v>22</v>
      </c>
      <c r="L24" s="105">
        <v>22</v>
      </c>
      <c r="M24" s="105">
        <v>22</v>
      </c>
      <c r="N24" s="105">
        <v>22</v>
      </c>
      <c r="O24" s="105">
        <v>22</v>
      </c>
      <c r="P24" s="105">
        <v>22</v>
      </c>
      <c r="Q24" s="105">
        <v>22</v>
      </c>
      <c r="R24" s="105">
        <v>22</v>
      </c>
      <c r="S24" s="105">
        <v>22</v>
      </c>
      <c r="T24" s="105">
        <v>22</v>
      </c>
      <c r="U24" s="105">
        <v>22</v>
      </c>
      <c r="V24" s="105">
        <v>22</v>
      </c>
      <c r="W24" s="105">
        <v>22</v>
      </c>
      <c r="X24" s="105">
        <v>22</v>
      </c>
      <c r="Y24" s="105">
        <v>22</v>
      </c>
      <c r="Z24" s="105">
        <v>22</v>
      </c>
      <c r="AA24" s="105">
        <v>22</v>
      </c>
      <c r="AB24" s="105">
        <v>22</v>
      </c>
      <c r="AC24" s="105">
        <v>22</v>
      </c>
      <c r="AD24" s="105">
        <v>22</v>
      </c>
      <c r="AE24" s="105">
        <v>22</v>
      </c>
      <c r="AF24" s="105" t="s">
        <v>255</v>
      </c>
      <c r="AG24" s="126">
        <v>22</v>
      </c>
      <c r="AH24" s="20">
        <f t="shared" si="2"/>
        <v>22</v>
      </c>
      <c r="AI24" s="19">
        <f t="shared" si="3"/>
        <v>22</v>
      </c>
      <c r="AJ24" s="168"/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22</v>
      </c>
      <c r="C25" s="105">
        <v>22</v>
      </c>
      <c r="D25" s="105">
        <v>22</v>
      </c>
      <c r="E25" s="105">
        <v>22</v>
      </c>
      <c r="F25" s="105">
        <v>22</v>
      </c>
      <c r="G25" s="105">
        <v>22</v>
      </c>
      <c r="H25" s="105">
        <v>22</v>
      </c>
      <c r="I25" s="105">
        <v>22</v>
      </c>
      <c r="J25" s="105">
        <v>22</v>
      </c>
      <c r="K25" s="105">
        <v>22</v>
      </c>
      <c r="L25" s="105">
        <v>22</v>
      </c>
      <c r="M25" s="105">
        <v>22</v>
      </c>
      <c r="N25" s="105">
        <v>22</v>
      </c>
      <c r="O25" s="105">
        <v>22</v>
      </c>
      <c r="P25" s="105">
        <v>22</v>
      </c>
      <c r="Q25" s="105">
        <v>22</v>
      </c>
      <c r="R25" s="105">
        <v>22</v>
      </c>
      <c r="S25" s="105">
        <v>22</v>
      </c>
      <c r="T25" s="105">
        <v>22</v>
      </c>
      <c r="U25" s="105">
        <v>22</v>
      </c>
      <c r="V25" s="105">
        <v>22</v>
      </c>
      <c r="W25" s="105">
        <v>22</v>
      </c>
      <c r="X25" s="105">
        <v>22</v>
      </c>
      <c r="Y25" s="105">
        <v>22</v>
      </c>
      <c r="Z25" s="105">
        <v>22</v>
      </c>
      <c r="AA25" s="105">
        <v>22</v>
      </c>
      <c r="AB25" s="105">
        <v>22</v>
      </c>
      <c r="AC25" s="105">
        <v>22</v>
      </c>
      <c r="AD25" s="105">
        <v>22</v>
      </c>
      <c r="AE25" s="105">
        <v>22</v>
      </c>
      <c r="AF25" s="105" t="s">
        <v>257</v>
      </c>
      <c r="AG25" s="126">
        <v>22</v>
      </c>
      <c r="AH25" s="20">
        <f t="shared" si="2"/>
        <v>22</v>
      </c>
      <c r="AI25" s="19">
        <f t="shared" si="3"/>
        <v>22</v>
      </c>
      <c r="AJ25" s="168"/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5">
        <v>0</v>
      </c>
      <c r="M26" s="105">
        <v>0</v>
      </c>
      <c r="N26" s="105">
        <v>0</v>
      </c>
      <c r="O26" s="105">
        <v>0</v>
      </c>
      <c r="P26" s="105">
        <v>0</v>
      </c>
      <c r="Q26" s="105">
        <v>0</v>
      </c>
      <c r="R26" s="105">
        <v>0</v>
      </c>
      <c r="S26" s="105">
        <v>0</v>
      </c>
      <c r="T26" s="105">
        <v>0</v>
      </c>
      <c r="U26" s="105">
        <v>0</v>
      </c>
      <c r="V26" s="105">
        <v>0</v>
      </c>
      <c r="W26" s="105">
        <v>0</v>
      </c>
      <c r="X26" s="105">
        <v>0</v>
      </c>
      <c r="Y26" s="105">
        <v>10</v>
      </c>
      <c r="Z26" s="105">
        <v>10</v>
      </c>
      <c r="AA26" s="105">
        <v>10</v>
      </c>
      <c r="AB26" s="105">
        <v>10</v>
      </c>
      <c r="AC26" s="105">
        <v>10</v>
      </c>
      <c r="AD26" s="105">
        <v>10</v>
      </c>
      <c r="AE26" s="105">
        <v>5</v>
      </c>
      <c r="AF26" s="105" t="s">
        <v>262</v>
      </c>
      <c r="AG26" s="126">
        <v>20</v>
      </c>
      <c r="AH26" s="20">
        <f t="shared" si="2"/>
        <v>10</v>
      </c>
      <c r="AI26" s="19">
        <f t="shared" si="3"/>
        <v>0</v>
      </c>
      <c r="AJ26" s="168"/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14.9</v>
      </c>
      <c r="C27" s="105">
        <v>14.9</v>
      </c>
      <c r="D27" s="105">
        <v>14.9</v>
      </c>
      <c r="E27" s="105">
        <v>14.9</v>
      </c>
      <c r="F27" s="105">
        <v>14.9</v>
      </c>
      <c r="G27" s="105">
        <v>14.9</v>
      </c>
      <c r="H27" s="105">
        <v>14.9</v>
      </c>
      <c r="I27" s="105">
        <v>14.9</v>
      </c>
      <c r="J27" s="105">
        <v>14.9</v>
      </c>
      <c r="K27" s="105">
        <v>14.9</v>
      </c>
      <c r="L27" s="105">
        <v>14.9</v>
      </c>
      <c r="M27" s="105">
        <v>14.9</v>
      </c>
      <c r="N27" s="105">
        <v>14.9</v>
      </c>
      <c r="O27" s="105">
        <v>14.9</v>
      </c>
      <c r="P27" s="105">
        <v>14.9</v>
      </c>
      <c r="Q27" s="105">
        <v>14.9</v>
      </c>
      <c r="R27" s="105">
        <v>14.9</v>
      </c>
      <c r="S27" s="105">
        <v>14.9</v>
      </c>
      <c r="T27" s="105">
        <v>14.9</v>
      </c>
      <c r="U27" s="105">
        <v>14.9</v>
      </c>
      <c r="V27" s="105">
        <v>14.9</v>
      </c>
      <c r="W27" s="105">
        <v>14.9</v>
      </c>
      <c r="X27" s="105">
        <v>14.9</v>
      </c>
      <c r="Y27" s="105">
        <v>14.9</v>
      </c>
      <c r="Z27" s="105">
        <v>14.9</v>
      </c>
      <c r="AA27" s="105">
        <v>14.9</v>
      </c>
      <c r="AB27" s="105">
        <v>14.9</v>
      </c>
      <c r="AC27" s="105">
        <v>14.9</v>
      </c>
      <c r="AD27" s="105">
        <v>14.9</v>
      </c>
      <c r="AE27" s="105">
        <v>14.9</v>
      </c>
      <c r="AF27" s="105" t="s">
        <v>263</v>
      </c>
      <c r="AG27" s="126">
        <v>14.9</v>
      </c>
      <c r="AH27" s="20">
        <f t="shared" si="2"/>
        <v>14.9</v>
      </c>
      <c r="AI27" s="19">
        <f t="shared" si="3"/>
        <v>14.9</v>
      </c>
      <c r="AJ27" s="168"/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>
        <v>6.8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>
        <v>6.8</v>
      </c>
      <c r="AE28" s="105">
        <v>6.8</v>
      </c>
      <c r="AF28" s="105" t="s">
        <v>264</v>
      </c>
      <c r="AG28" s="126">
        <v>13.6</v>
      </c>
      <c r="AH28" s="20">
        <f t="shared" si="2"/>
        <v>6.8</v>
      </c>
      <c r="AI28" s="19">
        <f t="shared" si="3"/>
        <v>6.8</v>
      </c>
      <c r="AJ28" s="168"/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13</v>
      </c>
      <c r="C29" s="105">
        <v>13</v>
      </c>
      <c r="D29" s="105">
        <v>13</v>
      </c>
      <c r="E29" s="105">
        <v>13</v>
      </c>
      <c r="F29" s="105">
        <v>13</v>
      </c>
      <c r="G29" s="105">
        <v>13</v>
      </c>
      <c r="H29" s="105">
        <v>13</v>
      </c>
      <c r="I29" s="105">
        <v>13</v>
      </c>
      <c r="J29" s="105">
        <v>13</v>
      </c>
      <c r="K29" s="105">
        <v>13</v>
      </c>
      <c r="L29" s="105">
        <v>13</v>
      </c>
      <c r="M29" s="105">
        <v>13</v>
      </c>
      <c r="N29" s="105">
        <v>13</v>
      </c>
      <c r="O29" s="105">
        <v>13</v>
      </c>
      <c r="P29" s="105">
        <v>13</v>
      </c>
      <c r="Q29" s="105">
        <v>13</v>
      </c>
      <c r="R29" s="105">
        <v>13</v>
      </c>
      <c r="S29" s="105">
        <v>13</v>
      </c>
      <c r="T29" s="105">
        <v>13</v>
      </c>
      <c r="U29" s="105">
        <v>13</v>
      </c>
      <c r="V29" s="105">
        <v>13</v>
      </c>
      <c r="W29" s="105">
        <v>13</v>
      </c>
      <c r="X29" s="105">
        <v>13</v>
      </c>
      <c r="Y29" s="105">
        <v>13</v>
      </c>
      <c r="Z29" s="105">
        <v>13</v>
      </c>
      <c r="AA29" s="105">
        <v>13</v>
      </c>
      <c r="AB29" s="105">
        <v>13</v>
      </c>
      <c r="AC29" s="105">
        <v>13</v>
      </c>
      <c r="AD29" s="105">
        <v>13</v>
      </c>
      <c r="AE29" s="105">
        <v>13</v>
      </c>
      <c r="AF29" s="105"/>
      <c r="AG29" s="126">
        <v>13</v>
      </c>
      <c r="AH29" s="20">
        <f t="shared" si="2"/>
        <v>13</v>
      </c>
      <c r="AI29" s="19">
        <f t="shared" si="3"/>
        <v>13</v>
      </c>
      <c r="AJ29" s="168"/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0</v>
      </c>
      <c r="N30" s="105">
        <v>0</v>
      </c>
      <c r="O30" s="105">
        <v>0</v>
      </c>
      <c r="P30" s="105">
        <v>0</v>
      </c>
      <c r="Q30" s="105">
        <v>0</v>
      </c>
      <c r="R30" s="105">
        <v>0</v>
      </c>
      <c r="S30" s="105">
        <v>0</v>
      </c>
      <c r="T30" s="105">
        <v>0</v>
      </c>
      <c r="U30" s="105">
        <v>0</v>
      </c>
      <c r="V30" s="105">
        <v>0</v>
      </c>
      <c r="W30" s="105">
        <v>0</v>
      </c>
      <c r="X30" s="105">
        <v>0</v>
      </c>
      <c r="Y30" s="105">
        <v>0</v>
      </c>
      <c r="Z30" s="105">
        <v>0</v>
      </c>
      <c r="AA30" s="105">
        <v>0</v>
      </c>
      <c r="AB30" s="105">
        <v>10</v>
      </c>
      <c r="AC30" s="105">
        <v>10</v>
      </c>
      <c r="AD30" s="105">
        <v>10</v>
      </c>
      <c r="AE30" s="105">
        <v>2</v>
      </c>
      <c r="AF30" s="105"/>
      <c r="AG30" s="126">
        <v>12</v>
      </c>
      <c r="AH30" s="20">
        <f t="shared" si="2"/>
        <v>10</v>
      </c>
      <c r="AI30" s="19">
        <f t="shared" si="3"/>
        <v>0</v>
      </c>
      <c r="AJ30" s="168"/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12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>
        <v>12</v>
      </c>
      <c r="AE31" s="105">
        <v>12</v>
      </c>
      <c r="AF31" s="105"/>
      <c r="AG31" s="126">
        <v>12</v>
      </c>
      <c r="AH31" s="20">
        <f t="shared" si="2"/>
        <v>12</v>
      </c>
      <c r="AI31" s="19">
        <f t="shared" si="3"/>
        <v>12</v>
      </c>
      <c r="AJ31" s="168"/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2</v>
      </c>
      <c r="C32" s="105">
        <v>2</v>
      </c>
      <c r="D32" s="105">
        <v>2</v>
      </c>
      <c r="E32" s="105">
        <v>2</v>
      </c>
      <c r="F32" s="105">
        <v>2</v>
      </c>
      <c r="G32" s="105">
        <v>2</v>
      </c>
      <c r="H32" s="105">
        <v>2</v>
      </c>
      <c r="I32" s="105">
        <v>2</v>
      </c>
      <c r="J32" s="105">
        <v>2</v>
      </c>
      <c r="K32" s="105">
        <v>2</v>
      </c>
      <c r="L32" s="105">
        <v>2</v>
      </c>
      <c r="M32" s="105">
        <v>2</v>
      </c>
      <c r="N32" s="105">
        <v>2</v>
      </c>
      <c r="O32" s="105">
        <v>2</v>
      </c>
      <c r="P32" s="105">
        <v>2</v>
      </c>
      <c r="Q32" s="105">
        <v>2</v>
      </c>
      <c r="R32" s="105">
        <v>2</v>
      </c>
      <c r="S32" s="105">
        <v>2</v>
      </c>
      <c r="T32" s="105">
        <v>2</v>
      </c>
      <c r="U32" s="105">
        <v>2</v>
      </c>
      <c r="V32" s="105">
        <v>2</v>
      </c>
      <c r="W32" s="105">
        <v>2</v>
      </c>
      <c r="X32" s="105">
        <v>2</v>
      </c>
      <c r="Y32" s="105">
        <v>2</v>
      </c>
      <c r="Z32" s="105">
        <v>2</v>
      </c>
      <c r="AA32" s="105">
        <v>2</v>
      </c>
      <c r="AB32" s="105">
        <v>2</v>
      </c>
      <c r="AC32" s="105">
        <v>2</v>
      </c>
      <c r="AD32" s="105">
        <v>2</v>
      </c>
      <c r="AE32" s="105">
        <v>2</v>
      </c>
      <c r="AF32" s="105"/>
      <c r="AG32" s="126">
        <v>12</v>
      </c>
      <c r="AH32" s="20">
        <f t="shared" si="2"/>
        <v>2</v>
      </c>
      <c r="AI32" s="19">
        <f t="shared" si="3"/>
        <v>2</v>
      </c>
      <c r="AJ32" s="168"/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10</v>
      </c>
      <c r="C33" s="105">
        <v>10</v>
      </c>
      <c r="D33" s="105">
        <v>10</v>
      </c>
      <c r="E33" s="105">
        <v>10</v>
      </c>
      <c r="F33" s="105">
        <v>10</v>
      </c>
      <c r="G33" s="105">
        <v>10</v>
      </c>
      <c r="H33" s="105">
        <v>10</v>
      </c>
      <c r="I33" s="105">
        <v>10</v>
      </c>
      <c r="J33" s="105">
        <v>10</v>
      </c>
      <c r="K33" s="105">
        <v>10</v>
      </c>
      <c r="L33" s="105">
        <v>10</v>
      </c>
      <c r="M33" s="105">
        <v>10</v>
      </c>
      <c r="N33" s="105">
        <v>10</v>
      </c>
      <c r="O33" s="105">
        <v>10</v>
      </c>
      <c r="P33" s="105">
        <v>10</v>
      </c>
      <c r="Q33" s="105">
        <v>10</v>
      </c>
      <c r="R33" s="105">
        <v>10</v>
      </c>
      <c r="S33" s="105">
        <v>10</v>
      </c>
      <c r="T33" s="105">
        <v>10</v>
      </c>
      <c r="U33" s="105">
        <v>10</v>
      </c>
      <c r="V33" s="105">
        <v>10</v>
      </c>
      <c r="W33" s="105">
        <v>10</v>
      </c>
      <c r="X33" s="105">
        <v>10</v>
      </c>
      <c r="Y33" s="105">
        <v>10</v>
      </c>
      <c r="Z33" s="105">
        <v>10</v>
      </c>
      <c r="AA33" s="105">
        <v>10</v>
      </c>
      <c r="AB33" s="105">
        <v>10</v>
      </c>
      <c r="AC33" s="105">
        <v>10</v>
      </c>
      <c r="AD33" s="105">
        <v>10</v>
      </c>
      <c r="AE33" s="105">
        <v>10</v>
      </c>
      <c r="AF33" s="105"/>
      <c r="AG33" s="125">
        <v>22</v>
      </c>
      <c r="AH33" s="20">
        <f t="shared" si="2"/>
        <v>10</v>
      </c>
      <c r="AI33" s="19">
        <f t="shared" si="3"/>
        <v>10</v>
      </c>
      <c r="AJ33" s="168"/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11</v>
      </c>
      <c r="C34" s="105">
        <v>11</v>
      </c>
      <c r="D34" s="105">
        <v>11</v>
      </c>
      <c r="E34" s="105">
        <v>11</v>
      </c>
      <c r="F34" s="105">
        <v>11</v>
      </c>
      <c r="G34" s="105">
        <v>11</v>
      </c>
      <c r="H34" s="105">
        <v>11</v>
      </c>
      <c r="I34" s="105">
        <v>11</v>
      </c>
      <c r="J34" s="105">
        <v>11</v>
      </c>
      <c r="K34" s="105">
        <v>11</v>
      </c>
      <c r="L34" s="105">
        <v>11</v>
      </c>
      <c r="M34" s="105">
        <v>11</v>
      </c>
      <c r="N34" s="105">
        <v>11</v>
      </c>
      <c r="O34" s="105">
        <v>11</v>
      </c>
      <c r="P34" s="105">
        <v>11</v>
      </c>
      <c r="Q34" s="105">
        <v>11</v>
      </c>
      <c r="R34" s="105">
        <v>11</v>
      </c>
      <c r="S34" s="105">
        <v>11</v>
      </c>
      <c r="T34" s="105">
        <v>11</v>
      </c>
      <c r="U34" s="105">
        <v>11</v>
      </c>
      <c r="V34" s="105">
        <v>11</v>
      </c>
      <c r="W34" s="105">
        <v>11</v>
      </c>
      <c r="X34" s="105">
        <v>11</v>
      </c>
      <c r="Y34" s="105">
        <v>11</v>
      </c>
      <c r="Z34" s="105">
        <v>11</v>
      </c>
      <c r="AA34" s="105">
        <v>11</v>
      </c>
      <c r="AB34" s="105">
        <v>11</v>
      </c>
      <c r="AC34" s="105">
        <v>11</v>
      </c>
      <c r="AD34" s="105">
        <v>11</v>
      </c>
      <c r="AE34" s="105">
        <v>11</v>
      </c>
      <c r="AF34" s="105"/>
      <c r="AG34" s="96">
        <v>11.88</v>
      </c>
      <c r="AH34" s="20">
        <f t="shared" si="2"/>
        <v>11</v>
      </c>
      <c r="AI34" s="19">
        <f t="shared" si="3"/>
        <v>11</v>
      </c>
      <c r="AJ34" s="168"/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/>
      <c r="AG35" s="94">
        <v>11</v>
      </c>
      <c r="AH35" s="20">
        <f t="shared" si="2"/>
        <v>11</v>
      </c>
      <c r="AI35" s="19">
        <f t="shared" si="3"/>
        <v>11</v>
      </c>
      <c r="AJ35" s="168"/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>
        <v>9</v>
      </c>
      <c r="E36" s="105">
        <v>9</v>
      </c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>
        <v>9</v>
      </c>
      <c r="N36" s="105">
        <v>9</v>
      </c>
      <c r="O36" s="105">
        <v>9</v>
      </c>
      <c r="P36" s="105">
        <v>9</v>
      </c>
      <c r="Q36" s="105">
        <v>9</v>
      </c>
      <c r="R36" s="105">
        <v>9</v>
      </c>
      <c r="S36" s="105">
        <v>9</v>
      </c>
      <c r="T36" s="105">
        <v>9</v>
      </c>
      <c r="U36" s="105">
        <v>9</v>
      </c>
      <c r="V36" s="105">
        <v>9</v>
      </c>
      <c r="W36" s="105">
        <v>9</v>
      </c>
      <c r="X36" s="105">
        <v>9</v>
      </c>
      <c r="Y36" s="105">
        <v>9</v>
      </c>
      <c r="Z36" s="105">
        <v>9</v>
      </c>
      <c r="AA36" s="105">
        <v>9</v>
      </c>
      <c r="AB36" s="105">
        <v>9</v>
      </c>
      <c r="AC36" s="105">
        <v>9</v>
      </c>
      <c r="AD36" s="105">
        <v>9</v>
      </c>
      <c r="AE36" s="105">
        <v>9</v>
      </c>
      <c r="AF36" s="105"/>
      <c r="AG36" s="94">
        <v>10</v>
      </c>
      <c r="AH36" s="20">
        <f t="shared" si="2"/>
        <v>9</v>
      </c>
      <c r="AI36" s="19">
        <f t="shared" si="3"/>
        <v>9</v>
      </c>
      <c r="AJ36" s="168"/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5">
        <v>0</v>
      </c>
      <c r="O37" s="105">
        <v>0</v>
      </c>
      <c r="P37" s="105">
        <v>0</v>
      </c>
      <c r="Q37" s="105">
        <v>0</v>
      </c>
      <c r="R37" s="105">
        <v>0</v>
      </c>
      <c r="S37" s="105">
        <v>0</v>
      </c>
      <c r="T37" s="105">
        <v>0</v>
      </c>
      <c r="U37" s="105">
        <v>0</v>
      </c>
      <c r="V37" s="105">
        <v>0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/>
      <c r="AG37" s="94">
        <v>10</v>
      </c>
      <c r="AH37" s="20">
        <f t="shared" si="2"/>
        <v>0</v>
      </c>
      <c r="AI37" s="19">
        <f t="shared" si="3"/>
        <v>0</v>
      </c>
      <c r="AJ37" s="168"/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/>
      <c r="AG38" s="94">
        <v>85</v>
      </c>
      <c r="AH38" s="20">
        <f t="shared" si="2"/>
        <v>300</v>
      </c>
      <c r="AI38" s="19">
        <f t="shared" si="3"/>
        <v>300</v>
      </c>
      <c r="AJ38" s="168"/>
      <c r="AK38" s="41"/>
    </row>
    <row r="39" spans="1:88" ht="15.75" thickBot="1" x14ac:dyDescent="0.3">
      <c r="A39" s="120" t="s">
        <v>196</v>
      </c>
      <c r="B39" s="119">
        <v>179</v>
      </c>
      <c r="C39" s="119">
        <f>77.9+99.5</f>
        <v>177.4</v>
      </c>
      <c r="D39" s="119">
        <f>78+99.4</f>
        <v>177.4</v>
      </c>
      <c r="E39" s="119">
        <f>77.9+99.4</f>
        <v>177.3</v>
      </c>
      <c r="F39" s="119">
        <f>71.9+99.5</f>
        <v>171.4</v>
      </c>
      <c r="G39" s="119">
        <f>71.6+99</f>
        <v>170.6</v>
      </c>
      <c r="H39" s="119">
        <v>171</v>
      </c>
      <c r="I39" s="119">
        <f t="shared" ref="I39:O39" si="4">71.5+97.3</f>
        <v>168.8</v>
      </c>
      <c r="J39" s="119">
        <f t="shared" si="4"/>
        <v>168.8</v>
      </c>
      <c r="K39" s="119">
        <f t="shared" si="4"/>
        <v>168.8</v>
      </c>
      <c r="L39" s="119">
        <f t="shared" si="4"/>
        <v>168.8</v>
      </c>
      <c r="M39" s="119">
        <f t="shared" si="4"/>
        <v>168.8</v>
      </c>
      <c r="N39" s="119">
        <f t="shared" si="4"/>
        <v>168.8</v>
      </c>
      <c r="O39" s="119">
        <f t="shared" si="4"/>
        <v>168.8</v>
      </c>
      <c r="P39" s="113">
        <f>83.4+95.3</f>
        <v>178.7</v>
      </c>
      <c r="Q39" s="113">
        <f>75.3+94.7</f>
        <v>170</v>
      </c>
      <c r="R39" s="113">
        <f>82.4+97.4</f>
        <v>179.8</v>
      </c>
      <c r="S39" s="119">
        <f>98+85</f>
        <v>183</v>
      </c>
      <c r="T39" s="119">
        <f>93.7+68</f>
        <v>161.69999999999999</v>
      </c>
      <c r="U39" s="119">
        <f>67.5+94.3</f>
        <v>161.80000000000001</v>
      </c>
      <c r="V39" s="119">
        <f>84.2+93.5</f>
        <v>177.7</v>
      </c>
      <c r="W39" s="119">
        <v>177.6</v>
      </c>
      <c r="X39" s="119">
        <v>177.6</v>
      </c>
      <c r="Y39" s="119">
        <f>77.5+93.3</f>
        <v>170.8</v>
      </c>
      <c r="Z39" s="119">
        <f>77.5+93.3</f>
        <v>170.8</v>
      </c>
      <c r="AA39" s="119">
        <f>77.5+93.3</f>
        <v>170.8</v>
      </c>
      <c r="AB39" s="119">
        <f>95.1+82.7</f>
        <v>177.8</v>
      </c>
      <c r="AC39" s="119">
        <f>95.1+82.7</f>
        <v>177.8</v>
      </c>
      <c r="AD39" s="119">
        <f>95.1+77</f>
        <v>172.1</v>
      </c>
      <c r="AE39" s="119">
        <f>96.6+84.4</f>
        <v>181</v>
      </c>
      <c r="AF39" s="119"/>
      <c r="AG39" s="94">
        <v>240</v>
      </c>
      <c r="AH39" s="20">
        <f t="shared" si="2"/>
        <v>183</v>
      </c>
      <c r="AI39" s="19">
        <f t="shared" si="3"/>
        <v>161.69999999999999</v>
      </c>
      <c r="AJ39" s="168"/>
      <c r="AK39" s="41"/>
    </row>
    <row r="40" spans="1:88" ht="15.75" thickBot="1" x14ac:dyDescent="0.3">
      <c r="A40" s="118" t="s">
        <v>195</v>
      </c>
      <c r="B40" s="86">
        <f t="shared" ref="B40:AG40" si="5">SUM(B11:B38)</f>
        <v>774.09999999999991</v>
      </c>
      <c r="C40" s="86">
        <f t="shared" si="5"/>
        <v>772.09999999999991</v>
      </c>
      <c r="D40" s="86">
        <f t="shared" si="5"/>
        <v>772.09999999999991</v>
      </c>
      <c r="E40" s="86">
        <f t="shared" si="5"/>
        <v>772.09999999999991</v>
      </c>
      <c r="F40" s="86">
        <f t="shared" si="5"/>
        <v>767.09999999999991</v>
      </c>
      <c r="G40" s="86">
        <f t="shared" si="5"/>
        <v>767.09999999999991</v>
      </c>
      <c r="H40" s="86">
        <f t="shared" si="5"/>
        <v>767.09999999999991</v>
      </c>
      <c r="I40" s="86">
        <f t="shared" si="5"/>
        <v>767.09999999999991</v>
      </c>
      <c r="J40" s="86">
        <f t="shared" si="5"/>
        <v>767.09999999999991</v>
      </c>
      <c r="K40" s="86">
        <f t="shared" si="5"/>
        <v>767.09999999999991</v>
      </c>
      <c r="L40" s="86">
        <f t="shared" si="5"/>
        <v>744.2</v>
      </c>
      <c r="M40" s="86">
        <f t="shared" si="5"/>
        <v>746.2</v>
      </c>
      <c r="N40" s="86">
        <f t="shared" si="5"/>
        <v>769.09999999999991</v>
      </c>
      <c r="O40" s="86">
        <f t="shared" si="5"/>
        <v>769.09999999999991</v>
      </c>
      <c r="P40" s="86">
        <f t="shared" si="5"/>
        <v>766.19999999999993</v>
      </c>
      <c r="Q40" s="86">
        <f t="shared" si="5"/>
        <v>762.5</v>
      </c>
      <c r="R40" s="86">
        <f t="shared" si="5"/>
        <v>754</v>
      </c>
      <c r="S40" s="86">
        <f t="shared" si="5"/>
        <v>765.2</v>
      </c>
      <c r="T40" s="86">
        <f t="shared" si="5"/>
        <v>766.4</v>
      </c>
      <c r="U40" s="86">
        <f t="shared" si="5"/>
        <v>765.9</v>
      </c>
      <c r="V40" s="86">
        <f t="shared" si="5"/>
        <v>767.09999999999991</v>
      </c>
      <c r="W40" s="86">
        <f t="shared" si="5"/>
        <v>766.4</v>
      </c>
      <c r="X40" s="86">
        <f t="shared" si="5"/>
        <v>820.59999999999991</v>
      </c>
      <c r="Y40" s="86">
        <f t="shared" si="5"/>
        <v>852.59999999999991</v>
      </c>
      <c r="Z40" s="86">
        <f t="shared" si="5"/>
        <v>852.59999999999991</v>
      </c>
      <c r="AA40" s="86">
        <f t="shared" si="5"/>
        <v>852.59999999999991</v>
      </c>
      <c r="AB40" s="86">
        <f t="shared" si="5"/>
        <v>862.59999999999991</v>
      </c>
      <c r="AC40" s="86">
        <f t="shared" si="5"/>
        <v>848.09999999999991</v>
      </c>
      <c r="AD40" s="86">
        <f t="shared" si="5"/>
        <v>848.09999999999991</v>
      </c>
      <c r="AE40" s="86">
        <f t="shared" si="5"/>
        <v>828.09999999999991</v>
      </c>
      <c r="AF40" s="86">
        <f t="shared" si="5"/>
        <v>0</v>
      </c>
      <c r="AG40" s="101">
        <f t="shared" si="5"/>
        <v>707.78000000000009</v>
      </c>
      <c r="AH40" s="20">
        <f t="shared" si="2"/>
        <v>862.59999999999991</v>
      </c>
      <c r="AI40" s="19">
        <f t="shared" si="3"/>
        <v>0</v>
      </c>
      <c r="AJ40" s="168"/>
      <c r="AK40" s="41"/>
    </row>
    <row r="41" spans="1:88" x14ac:dyDescent="0.25">
      <c r="A41" s="117" t="s">
        <v>194</v>
      </c>
      <c r="B41" s="105">
        <v>456</v>
      </c>
      <c r="C41" s="105">
        <v>400</v>
      </c>
      <c r="D41" s="105">
        <v>410</v>
      </c>
      <c r="E41" s="105">
        <v>410</v>
      </c>
      <c r="F41" s="105">
        <v>410</v>
      </c>
      <c r="G41" s="105">
        <v>410</v>
      </c>
      <c r="H41" s="105">
        <v>410</v>
      </c>
      <c r="I41" s="105">
        <v>410</v>
      </c>
      <c r="J41" s="105">
        <v>365</v>
      </c>
      <c r="K41" s="105">
        <v>365</v>
      </c>
      <c r="L41" s="105">
        <v>365</v>
      </c>
      <c r="M41" s="105">
        <v>456</v>
      </c>
      <c r="N41" s="105">
        <v>456</v>
      </c>
      <c r="O41" s="105">
        <v>456</v>
      </c>
      <c r="P41" s="105">
        <v>400</v>
      </c>
      <c r="Q41" s="105">
        <v>420</v>
      </c>
      <c r="R41" s="105">
        <v>400</v>
      </c>
      <c r="S41" s="105">
        <v>380</v>
      </c>
      <c r="T41" s="105">
        <v>380</v>
      </c>
      <c r="U41" s="105">
        <v>380</v>
      </c>
      <c r="V41" s="105">
        <v>380</v>
      </c>
      <c r="W41" s="105">
        <v>380</v>
      </c>
      <c r="X41" s="105">
        <v>380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456</v>
      </c>
      <c r="AD41" s="105">
        <v>456</v>
      </c>
      <c r="AE41" s="105">
        <v>456</v>
      </c>
      <c r="AF41" s="105"/>
      <c r="AG41" s="96">
        <v>456</v>
      </c>
      <c r="AH41" s="20">
        <f t="shared" si="2"/>
        <v>456</v>
      </c>
      <c r="AI41" s="19">
        <f t="shared" si="3"/>
        <v>365</v>
      </c>
      <c r="AJ41" s="168"/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50</v>
      </c>
      <c r="Q42" s="80">
        <v>50</v>
      </c>
      <c r="R42" s="80">
        <v>50</v>
      </c>
      <c r="S42" s="80">
        <v>60</v>
      </c>
      <c r="T42" s="80">
        <v>50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/>
      <c r="AG42" s="94">
        <v>60</v>
      </c>
      <c r="AH42" s="20">
        <f t="shared" si="2"/>
        <v>60</v>
      </c>
      <c r="AI42" s="19">
        <f t="shared" si="3"/>
        <v>50</v>
      </c>
      <c r="AJ42" s="168"/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>
        <v>22</v>
      </c>
      <c r="S43" s="107">
        <v>22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/>
      <c r="AG43" s="106">
        <v>22.1</v>
      </c>
      <c r="AH43" s="20">
        <f t="shared" si="2"/>
        <v>22</v>
      </c>
      <c r="AI43" s="19">
        <f t="shared" si="3"/>
        <v>22</v>
      </c>
      <c r="AJ43" s="168"/>
      <c r="AK43" s="41"/>
    </row>
    <row r="44" spans="1:88" ht="15.75" thickBot="1" x14ac:dyDescent="0.3">
      <c r="A44" s="114" t="s">
        <v>191</v>
      </c>
      <c r="B44" s="86">
        <f t="shared" ref="B44:AG44" si="6">SUM(B41:B43)</f>
        <v>538</v>
      </c>
      <c r="C44" s="86">
        <f t="shared" si="6"/>
        <v>482</v>
      </c>
      <c r="D44" s="86">
        <f t="shared" si="6"/>
        <v>492</v>
      </c>
      <c r="E44" s="86">
        <f t="shared" si="6"/>
        <v>492</v>
      </c>
      <c r="F44" s="86">
        <f t="shared" si="6"/>
        <v>492</v>
      </c>
      <c r="G44" s="86">
        <f t="shared" si="6"/>
        <v>492</v>
      </c>
      <c r="H44" s="86">
        <f t="shared" si="6"/>
        <v>492</v>
      </c>
      <c r="I44" s="86">
        <f t="shared" si="6"/>
        <v>492</v>
      </c>
      <c r="J44" s="86">
        <f t="shared" si="6"/>
        <v>447</v>
      </c>
      <c r="K44" s="86">
        <f t="shared" si="6"/>
        <v>447</v>
      </c>
      <c r="L44" s="86">
        <f t="shared" si="6"/>
        <v>447</v>
      </c>
      <c r="M44" s="86">
        <f t="shared" si="6"/>
        <v>538</v>
      </c>
      <c r="N44" s="86">
        <f t="shared" si="6"/>
        <v>538</v>
      </c>
      <c r="O44" s="86">
        <f t="shared" si="6"/>
        <v>538</v>
      </c>
      <c r="P44" s="86">
        <f t="shared" si="6"/>
        <v>472</v>
      </c>
      <c r="Q44" s="86">
        <f t="shared" si="6"/>
        <v>492</v>
      </c>
      <c r="R44" s="86">
        <f t="shared" si="6"/>
        <v>472</v>
      </c>
      <c r="S44" s="86">
        <f t="shared" si="6"/>
        <v>462</v>
      </c>
      <c r="T44" s="86">
        <f t="shared" si="6"/>
        <v>452</v>
      </c>
      <c r="U44" s="86">
        <f t="shared" si="6"/>
        <v>462</v>
      </c>
      <c r="V44" s="86">
        <f t="shared" si="6"/>
        <v>462</v>
      </c>
      <c r="W44" s="86">
        <f t="shared" si="6"/>
        <v>462</v>
      </c>
      <c r="X44" s="86">
        <f t="shared" si="6"/>
        <v>462</v>
      </c>
      <c r="Y44" s="86">
        <f t="shared" si="6"/>
        <v>538</v>
      </c>
      <c r="Z44" s="86">
        <f t="shared" si="6"/>
        <v>538</v>
      </c>
      <c r="AA44" s="86">
        <f t="shared" si="6"/>
        <v>538</v>
      </c>
      <c r="AB44" s="86">
        <f t="shared" si="6"/>
        <v>538</v>
      </c>
      <c r="AC44" s="86">
        <f t="shared" si="6"/>
        <v>538</v>
      </c>
      <c r="AD44" s="86">
        <f t="shared" si="6"/>
        <v>538</v>
      </c>
      <c r="AE44" s="86">
        <f t="shared" si="6"/>
        <v>538</v>
      </c>
      <c r="AF44" s="86">
        <f t="shared" si="6"/>
        <v>0</v>
      </c>
      <c r="AG44" s="101">
        <f t="shared" si="6"/>
        <v>538.1</v>
      </c>
      <c r="AH44" s="20">
        <f t="shared" si="2"/>
        <v>538</v>
      </c>
      <c r="AI44" s="19">
        <f t="shared" si="3"/>
        <v>0</v>
      </c>
      <c r="AJ44" s="168"/>
      <c r="AK44" s="41"/>
    </row>
    <row r="45" spans="1:88" x14ac:dyDescent="0.25">
      <c r="A45" s="97" t="s">
        <v>190</v>
      </c>
      <c r="B45" s="105">
        <v>131</v>
      </c>
      <c r="C45" s="105">
        <v>110.8</v>
      </c>
      <c r="D45" s="105">
        <v>110.8</v>
      </c>
      <c r="E45" s="105">
        <v>110.8</v>
      </c>
      <c r="F45" s="105">
        <v>99.4</v>
      </c>
      <c r="G45" s="105">
        <v>101.2</v>
      </c>
      <c r="H45" s="105">
        <v>101.2</v>
      </c>
      <c r="I45" s="105">
        <v>101.2</v>
      </c>
      <c r="J45" s="105">
        <v>101</v>
      </c>
      <c r="K45" s="105">
        <v>101</v>
      </c>
      <c r="L45" s="105">
        <v>101</v>
      </c>
      <c r="M45" s="105">
        <v>121</v>
      </c>
      <c r="N45" s="105">
        <v>121</v>
      </c>
      <c r="O45" s="105">
        <v>100</v>
      </c>
      <c r="P45" s="105">
        <v>121.4</v>
      </c>
      <c r="Q45" s="105">
        <v>143.5</v>
      </c>
      <c r="R45" s="105">
        <v>144.69999999999999</v>
      </c>
      <c r="S45" s="105">
        <v>144.80000000000001</v>
      </c>
      <c r="T45" s="105">
        <v>144.80000000000001</v>
      </c>
      <c r="U45" s="105">
        <v>145.5</v>
      </c>
      <c r="V45" s="105">
        <v>126</v>
      </c>
      <c r="W45" s="105">
        <v>126</v>
      </c>
      <c r="X45" s="105">
        <v>146.80000000000001</v>
      </c>
      <c r="Y45" s="105">
        <v>146.69999999999999</v>
      </c>
      <c r="Z45" s="105">
        <v>146.69999999999999</v>
      </c>
      <c r="AA45" s="105">
        <v>146.69999999999999</v>
      </c>
      <c r="AB45" s="105">
        <v>146.69999999999999</v>
      </c>
      <c r="AC45" s="105">
        <v>146.69999999999999</v>
      </c>
      <c r="AD45" s="105">
        <v>146.69999999999999</v>
      </c>
      <c r="AE45" s="105">
        <v>134</v>
      </c>
      <c r="AF45" s="105"/>
      <c r="AG45" s="96">
        <v>144</v>
      </c>
      <c r="AH45" s="20">
        <f t="shared" si="2"/>
        <v>146.80000000000001</v>
      </c>
      <c r="AI45" s="19">
        <f t="shared" si="3"/>
        <v>99.4</v>
      </c>
      <c r="AJ45" s="168"/>
      <c r="AK45" s="41"/>
    </row>
    <row r="46" spans="1:88" x14ac:dyDescent="0.25">
      <c r="A46" s="95" t="s">
        <v>189</v>
      </c>
      <c r="B46" s="80">
        <v>62</v>
      </c>
      <c r="C46" s="80">
        <v>61.3</v>
      </c>
      <c r="D46" s="80">
        <v>61.3</v>
      </c>
      <c r="E46" s="80">
        <v>61.3</v>
      </c>
      <c r="F46" s="80">
        <v>61.3</v>
      </c>
      <c r="G46" s="80">
        <v>61.3</v>
      </c>
      <c r="H46" s="80">
        <v>61.3</v>
      </c>
      <c r="I46" s="80">
        <v>61.3</v>
      </c>
      <c r="J46" s="80">
        <v>56</v>
      </c>
      <c r="K46" s="80">
        <v>56</v>
      </c>
      <c r="L46" s="80">
        <v>56</v>
      </c>
      <c r="M46" s="80">
        <v>70</v>
      </c>
      <c r="N46" s="80">
        <v>70</v>
      </c>
      <c r="O46" s="105">
        <v>73</v>
      </c>
      <c r="P46" s="105">
        <v>72.599999999999994</v>
      </c>
      <c r="Q46" s="105">
        <v>71.099999999999994</v>
      </c>
      <c r="R46" s="105">
        <v>70</v>
      </c>
      <c r="S46" s="80">
        <v>70</v>
      </c>
      <c r="T46" s="80">
        <v>70</v>
      </c>
      <c r="U46" s="80">
        <v>70</v>
      </c>
      <c r="V46" s="80">
        <v>54.6</v>
      </c>
      <c r="W46" s="80">
        <v>55</v>
      </c>
      <c r="X46" s="80">
        <v>70</v>
      </c>
      <c r="Y46" s="80">
        <v>70</v>
      </c>
      <c r="Z46" s="80">
        <v>70</v>
      </c>
      <c r="AA46" s="80">
        <v>70</v>
      </c>
      <c r="AB46" s="80">
        <v>70</v>
      </c>
      <c r="AC46" s="80">
        <v>70</v>
      </c>
      <c r="AD46" s="80">
        <v>70</v>
      </c>
      <c r="AE46" s="80">
        <v>47</v>
      </c>
      <c r="AF46" s="80"/>
      <c r="AG46" s="94">
        <v>70</v>
      </c>
      <c r="AH46" s="20">
        <f t="shared" si="2"/>
        <v>73</v>
      </c>
      <c r="AI46" s="19">
        <f t="shared" si="3"/>
        <v>47</v>
      </c>
      <c r="AJ46" s="168"/>
      <c r="AK46" s="41"/>
    </row>
    <row r="47" spans="1:88" x14ac:dyDescent="0.25">
      <c r="A47" s="95" t="s">
        <v>188</v>
      </c>
      <c r="B47" s="80">
        <v>62.5</v>
      </c>
      <c r="C47" s="80">
        <v>51.9</v>
      </c>
      <c r="D47" s="80">
        <v>51.9</v>
      </c>
      <c r="E47" s="80">
        <v>51.9</v>
      </c>
      <c r="F47" s="80">
        <v>51.9</v>
      </c>
      <c r="G47" s="80">
        <v>51.9</v>
      </c>
      <c r="H47" s="80">
        <v>51.9</v>
      </c>
      <c r="I47" s="80">
        <v>33</v>
      </c>
      <c r="J47" s="80">
        <v>37</v>
      </c>
      <c r="K47" s="80">
        <v>37</v>
      </c>
      <c r="L47" s="80">
        <v>45</v>
      </c>
      <c r="M47" s="80">
        <v>46</v>
      </c>
      <c r="N47" s="80">
        <v>46</v>
      </c>
      <c r="O47" s="105">
        <v>45</v>
      </c>
      <c r="P47" s="105">
        <v>46</v>
      </c>
      <c r="Q47" s="105">
        <v>46.1</v>
      </c>
      <c r="R47" s="105">
        <v>46.4</v>
      </c>
      <c r="S47" s="80">
        <v>46.9</v>
      </c>
      <c r="T47" s="80">
        <v>46.9</v>
      </c>
      <c r="U47" s="80">
        <v>46.9</v>
      </c>
      <c r="V47" s="80">
        <v>46.9</v>
      </c>
      <c r="W47" s="80">
        <v>47</v>
      </c>
      <c r="X47" s="80">
        <v>47</v>
      </c>
      <c r="Y47" s="80">
        <v>46</v>
      </c>
      <c r="Z47" s="80">
        <v>46</v>
      </c>
      <c r="AA47" s="80">
        <v>46</v>
      </c>
      <c r="AB47" s="80">
        <v>46</v>
      </c>
      <c r="AC47" s="80">
        <v>46</v>
      </c>
      <c r="AD47" s="80">
        <v>46</v>
      </c>
      <c r="AE47" s="80">
        <v>46</v>
      </c>
      <c r="AF47" s="80"/>
      <c r="AG47" s="94">
        <v>69</v>
      </c>
      <c r="AH47" s="20">
        <f t="shared" si="2"/>
        <v>62.5</v>
      </c>
      <c r="AI47" s="19">
        <f t="shared" si="3"/>
        <v>33</v>
      </c>
      <c r="AJ47" s="168"/>
      <c r="AK47" s="41"/>
    </row>
    <row r="48" spans="1:88" x14ac:dyDescent="0.25">
      <c r="A48" s="95" t="s">
        <v>187</v>
      </c>
      <c r="B48" s="113">
        <v>52.6</v>
      </c>
      <c r="C48" s="113">
        <v>41.6</v>
      </c>
      <c r="D48" s="113">
        <v>41.6</v>
      </c>
      <c r="E48" s="113">
        <v>41.6</v>
      </c>
      <c r="F48" s="113">
        <v>41.6</v>
      </c>
      <c r="G48" s="113">
        <v>41.6</v>
      </c>
      <c r="H48" s="113">
        <v>41.6</v>
      </c>
      <c r="I48" s="113">
        <v>41.6</v>
      </c>
      <c r="J48" s="113">
        <v>41.6</v>
      </c>
      <c r="K48" s="113">
        <v>41.6</v>
      </c>
      <c r="L48" s="113">
        <v>41.6</v>
      </c>
      <c r="M48" s="80">
        <v>50</v>
      </c>
      <c r="N48" s="80">
        <v>50</v>
      </c>
      <c r="O48" s="105">
        <v>60.9</v>
      </c>
      <c r="P48" s="105">
        <v>60.9</v>
      </c>
      <c r="Q48" s="105">
        <v>61.4</v>
      </c>
      <c r="R48" s="105">
        <v>61.4</v>
      </c>
      <c r="S48" s="105">
        <v>60.4</v>
      </c>
      <c r="T48" s="105">
        <v>60.4</v>
      </c>
      <c r="U48" s="105">
        <v>60.4</v>
      </c>
      <c r="V48" s="105">
        <v>53.4</v>
      </c>
      <c r="W48" s="80">
        <v>53.7</v>
      </c>
      <c r="X48" s="80">
        <v>53.7</v>
      </c>
      <c r="Y48" s="80">
        <v>61.2</v>
      </c>
      <c r="Z48" s="80">
        <v>61.2</v>
      </c>
      <c r="AA48" s="80">
        <v>61.2</v>
      </c>
      <c r="AB48" s="80">
        <v>61.2</v>
      </c>
      <c r="AC48" s="80">
        <v>61.2</v>
      </c>
      <c r="AD48" s="80">
        <v>61.2</v>
      </c>
      <c r="AE48" s="80">
        <v>42.1</v>
      </c>
      <c r="AF48" s="113"/>
      <c r="AG48" s="94">
        <v>60</v>
      </c>
      <c r="AH48" s="20">
        <f t="shared" si="2"/>
        <v>61.4</v>
      </c>
      <c r="AI48" s="19">
        <f t="shared" si="3"/>
        <v>41.6</v>
      </c>
      <c r="AJ48" s="168"/>
      <c r="AK48" s="41"/>
    </row>
    <row r="49" spans="1:41" x14ac:dyDescent="0.25">
      <c r="A49" s="95" t="s">
        <v>186</v>
      </c>
      <c r="B49" s="113">
        <v>29.3</v>
      </c>
      <c r="C49" s="113">
        <v>29.5</v>
      </c>
      <c r="D49" s="113">
        <v>29.5</v>
      </c>
      <c r="E49" s="113">
        <v>29.5</v>
      </c>
      <c r="F49" s="113">
        <v>29.5</v>
      </c>
      <c r="G49" s="113">
        <v>29.5</v>
      </c>
      <c r="H49" s="113">
        <v>29.5</v>
      </c>
      <c r="I49" s="113">
        <v>29.5</v>
      </c>
      <c r="J49" s="113">
        <v>29.7</v>
      </c>
      <c r="K49" s="113">
        <v>29.7</v>
      </c>
      <c r="L49" s="113">
        <v>29.7</v>
      </c>
      <c r="M49" s="80">
        <v>29.7</v>
      </c>
      <c r="N49" s="80">
        <v>29.7</v>
      </c>
      <c r="O49" s="105">
        <v>29.6</v>
      </c>
      <c r="P49" s="105">
        <v>29.5</v>
      </c>
      <c r="Q49" s="105">
        <v>29.6</v>
      </c>
      <c r="R49" s="105">
        <v>29.5</v>
      </c>
      <c r="S49" s="105">
        <v>29.5</v>
      </c>
      <c r="T49" s="105">
        <v>29.5</v>
      </c>
      <c r="U49" s="105">
        <v>29.5</v>
      </c>
      <c r="V49" s="105">
        <v>25</v>
      </c>
      <c r="W49" s="80">
        <v>30</v>
      </c>
      <c r="X49" s="80">
        <v>30</v>
      </c>
      <c r="Y49" s="80">
        <v>29.5</v>
      </c>
      <c r="Z49" s="80">
        <v>29.5</v>
      </c>
      <c r="AA49" s="80">
        <v>29.5</v>
      </c>
      <c r="AB49" s="80">
        <v>29.5</v>
      </c>
      <c r="AC49" s="80">
        <v>29.5</v>
      </c>
      <c r="AD49" s="80">
        <v>29.5</v>
      </c>
      <c r="AE49" s="80">
        <v>29.5</v>
      </c>
      <c r="AF49" s="113"/>
      <c r="AG49" s="94">
        <v>30</v>
      </c>
      <c r="AH49" s="20">
        <f t="shared" si="2"/>
        <v>30</v>
      </c>
      <c r="AI49" s="19">
        <f t="shared" si="3"/>
        <v>25</v>
      </c>
      <c r="AJ49" s="168"/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5.5</v>
      </c>
      <c r="N50" s="80">
        <v>12.9</v>
      </c>
      <c r="O50" s="80">
        <v>10.7</v>
      </c>
      <c r="P50" s="80">
        <v>17.5</v>
      </c>
      <c r="Q50" s="80">
        <v>18</v>
      </c>
      <c r="R50" s="105">
        <v>17</v>
      </c>
      <c r="S50" s="105">
        <v>17</v>
      </c>
      <c r="T50" s="105">
        <v>17</v>
      </c>
      <c r="U50" s="105">
        <v>17</v>
      </c>
      <c r="V50" s="105">
        <v>10</v>
      </c>
      <c r="W50" s="105">
        <v>5</v>
      </c>
      <c r="X50" s="105">
        <v>5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80"/>
      <c r="AG50" s="94">
        <v>25</v>
      </c>
      <c r="AH50" s="20">
        <f t="shared" si="2"/>
        <v>18</v>
      </c>
      <c r="AI50" s="19">
        <f t="shared" si="3"/>
        <v>0</v>
      </c>
      <c r="AJ50" s="168"/>
      <c r="AK50" s="41"/>
    </row>
    <row r="51" spans="1:41" x14ac:dyDescent="0.25">
      <c r="A51" s="95" t="s">
        <v>184</v>
      </c>
      <c r="B51" s="80">
        <v>17.100000000000001</v>
      </c>
      <c r="C51" s="80">
        <v>17</v>
      </c>
      <c r="D51" s="80">
        <v>17</v>
      </c>
      <c r="E51" s="80">
        <v>17</v>
      </c>
      <c r="F51" s="80">
        <v>17</v>
      </c>
      <c r="G51" s="80">
        <v>17</v>
      </c>
      <c r="H51" s="80">
        <v>17</v>
      </c>
      <c r="I51" s="80">
        <v>17</v>
      </c>
      <c r="J51" s="80">
        <v>16.899999999999999</v>
      </c>
      <c r="K51" s="80">
        <v>16.899999999999999</v>
      </c>
      <c r="L51" s="80">
        <v>16.899999999999999</v>
      </c>
      <c r="M51" s="80">
        <v>16.899999999999999</v>
      </c>
      <c r="N51" s="80">
        <v>16.899999999999999</v>
      </c>
      <c r="O51" s="80">
        <v>16.899999999999999</v>
      </c>
      <c r="P51" s="80">
        <v>14.5</v>
      </c>
      <c r="Q51" s="80">
        <v>14.3</v>
      </c>
      <c r="R51" s="105">
        <v>16.3</v>
      </c>
      <c r="S51" s="105">
        <v>16.3</v>
      </c>
      <c r="T51" s="105">
        <v>16.3</v>
      </c>
      <c r="U51" s="105">
        <v>16.3</v>
      </c>
      <c r="V51" s="105">
        <v>15.4</v>
      </c>
      <c r="W51" s="105">
        <v>14.6</v>
      </c>
      <c r="X51" s="105">
        <v>14.6</v>
      </c>
      <c r="Y51" s="105">
        <v>17</v>
      </c>
      <c r="Z51" s="105">
        <v>17</v>
      </c>
      <c r="AA51" s="105">
        <v>17</v>
      </c>
      <c r="AB51" s="105">
        <v>17</v>
      </c>
      <c r="AC51" s="105">
        <v>17</v>
      </c>
      <c r="AD51" s="105">
        <v>17</v>
      </c>
      <c r="AE51" s="105">
        <v>17</v>
      </c>
      <c r="AF51" s="80"/>
      <c r="AG51" s="94">
        <v>24</v>
      </c>
      <c r="AH51" s="20">
        <f t="shared" si="2"/>
        <v>17.100000000000001</v>
      </c>
      <c r="AI51" s="19">
        <f t="shared" si="3"/>
        <v>14.3</v>
      </c>
      <c r="AJ51" s="168"/>
      <c r="AK51" s="41"/>
    </row>
    <row r="52" spans="1:41" x14ac:dyDescent="0.25">
      <c r="A52" s="95" t="s">
        <v>183</v>
      </c>
      <c r="B52" s="80">
        <v>3.5</v>
      </c>
      <c r="C52" s="80">
        <v>3.5</v>
      </c>
      <c r="D52" s="80">
        <v>3.5</v>
      </c>
      <c r="E52" s="80">
        <v>3.5</v>
      </c>
      <c r="F52" s="80">
        <v>3.5</v>
      </c>
      <c r="G52" s="80">
        <v>3.5</v>
      </c>
      <c r="H52" s="80">
        <v>3.5</v>
      </c>
      <c r="I52" s="80">
        <v>3.5</v>
      </c>
      <c r="J52" s="80">
        <v>3.5</v>
      </c>
      <c r="K52" s="80">
        <v>3.5</v>
      </c>
      <c r="L52" s="80">
        <v>3.5</v>
      </c>
      <c r="M52" s="80">
        <v>3.5</v>
      </c>
      <c r="N52" s="80">
        <v>3.5</v>
      </c>
      <c r="O52" s="80">
        <v>3.5</v>
      </c>
      <c r="P52" s="80">
        <v>3.5</v>
      </c>
      <c r="Q52" s="80">
        <v>3.5</v>
      </c>
      <c r="R52" s="80">
        <v>3.5</v>
      </c>
      <c r="S52" s="80">
        <v>3.5</v>
      </c>
      <c r="T52" s="80">
        <v>3.5</v>
      </c>
      <c r="U52" s="80">
        <v>3.5</v>
      </c>
      <c r="V52" s="80">
        <v>3.5</v>
      </c>
      <c r="W52" s="80">
        <v>3.5</v>
      </c>
      <c r="X52" s="80">
        <v>3.5</v>
      </c>
      <c r="Y52" s="80">
        <v>3.5</v>
      </c>
      <c r="Z52" s="80">
        <v>3.5</v>
      </c>
      <c r="AA52" s="80">
        <v>3.5</v>
      </c>
      <c r="AB52" s="80">
        <v>3.5</v>
      </c>
      <c r="AC52" s="80">
        <v>3.5</v>
      </c>
      <c r="AD52" s="80">
        <v>3.5</v>
      </c>
      <c r="AE52" s="80">
        <v>3.5</v>
      </c>
      <c r="AF52" s="80"/>
      <c r="AG52" s="94">
        <v>15</v>
      </c>
      <c r="AH52" s="20">
        <f t="shared" si="2"/>
        <v>3.5</v>
      </c>
      <c r="AI52" s="19">
        <f t="shared" si="3"/>
        <v>3.5</v>
      </c>
      <c r="AJ52" s="168"/>
      <c r="AK52" s="41"/>
      <c r="AL52" s="112"/>
      <c r="AO52" s="112"/>
    </row>
    <row r="53" spans="1:41" s="112" customFormat="1" x14ac:dyDescent="0.25">
      <c r="A53" s="95" t="s">
        <v>182</v>
      </c>
      <c r="B53" s="80">
        <v>9.6</v>
      </c>
      <c r="C53" s="80">
        <v>9.6</v>
      </c>
      <c r="D53" s="80">
        <v>9.6</v>
      </c>
      <c r="E53" s="80">
        <v>9.6</v>
      </c>
      <c r="F53" s="80">
        <v>9.6</v>
      </c>
      <c r="G53" s="80">
        <v>9.6</v>
      </c>
      <c r="H53" s="80">
        <v>9.6</v>
      </c>
      <c r="I53" s="80">
        <v>9.6</v>
      </c>
      <c r="J53" s="80">
        <v>9.6999999999999993</v>
      </c>
      <c r="K53" s="80">
        <v>9.6999999999999993</v>
      </c>
      <c r="L53" s="80">
        <v>9.6999999999999993</v>
      </c>
      <c r="M53" s="80">
        <v>9.6999999999999993</v>
      </c>
      <c r="N53" s="80">
        <v>9.6999999999999993</v>
      </c>
      <c r="O53" s="80">
        <v>9.6999999999999993</v>
      </c>
      <c r="P53" s="80">
        <v>10.1</v>
      </c>
      <c r="Q53" s="80">
        <v>7.9</v>
      </c>
      <c r="R53" s="80">
        <v>11.5</v>
      </c>
      <c r="S53" s="80">
        <v>11.5</v>
      </c>
      <c r="T53" s="80">
        <v>11.5</v>
      </c>
      <c r="U53" s="80">
        <v>11.5</v>
      </c>
      <c r="V53" s="80">
        <v>11.5</v>
      </c>
      <c r="W53" s="80">
        <v>11.1</v>
      </c>
      <c r="X53" s="80">
        <v>11.1</v>
      </c>
      <c r="Y53" s="80">
        <v>11.1</v>
      </c>
      <c r="Z53" s="80">
        <v>11.1</v>
      </c>
      <c r="AA53" s="80">
        <v>11.1</v>
      </c>
      <c r="AB53" s="80">
        <v>11.1</v>
      </c>
      <c r="AC53" s="80">
        <v>11.1</v>
      </c>
      <c r="AD53" s="80">
        <v>11.1</v>
      </c>
      <c r="AE53" s="80">
        <v>11.1</v>
      </c>
      <c r="AF53" s="80"/>
      <c r="AG53" s="94">
        <v>14.1</v>
      </c>
      <c r="AH53" s="20">
        <f t="shared" si="2"/>
        <v>11.5</v>
      </c>
      <c r="AI53" s="19">
        <f t="shared" si="3"/>
        <v>7.9</v>
      </c>
      <c r="AJ53" s="168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14.3</v>
      </c>
      <c r="C54" s="80">
        <v>14.4</v>
      </c>
      <c r="D54" s="80">
        <v>13.7</v>
      </c>
      <c r="E54" s="80">
        <v>13.7</v>
      </c>
      <c r="F54" s="80">
        <v>9.6</v>
      </c>
      <c r="G54" s="80">
        <v>9.6</v>
      </c>
      <c r="H54" s="80">
        <v>9.6</v>
      </c>
      <c r="I54" s="80">
        <v>9.6</v>
      </c>
      <c r="J54" s="80">
        <v>9.4</v>
      </c>
      <c r="K54" s="80">
        <v>9.4</v>
      </c>
      <c r="L54" s="80">
        <v>9.4</v>
      </c>
      <c r="M54" s="80">
        <v>14</v>
      </c>
      <c r="N54" s="80">
        <v>14</v>
      </c>
      <c r="O54" s="80">
        <v>14</v>
      </c>
      <c r="P54" s="80">
        <v>14.4</v>
      </c>
      <c r="Q54" s="80">
        <v>14.4</v>
      </c>
      <c r="R54" s="80">
        <v>14.3</v>
      </c>
      <c r="S54" s="80">
        <v>14.3</v>
      </c>
      <c r="T54" s="80">
        <v>14.3</v>
      </c>
      <c r="U54" s="80">
        <v>14.3</v>
      </c>
      <c r="V54" s="80">
        <v>10.199999999999999</v>
      </c>
      <c r="W54" s="80">
        <v>10.3</v>
      </c>
      <c r="X54" s="80">
        <v>10.3</v>
      </c>
      <c r="Y54" s="80">
        <v>10.3</v>
      </c>
      <c r="Z54" s="80">
        <v>10.3</v>
      </c>
      <c r="AA54" s="80">
        <v>10.3</v>
      </c>
      <c r="AB54" s="80">
        <v>10.3</v>
      </c>
      <c r="AC54" s="80">
        <v>10.3</v>
      </c>
      <c r="AD54" s="80">
        <v>10.3</v>
      </c>
      <c r="AE54" s="80">
        <v>10.3</v>
      </c>
      <c r="AF54" s="80"/>
      <c r="AG54" s="94">
        <v>14</v>
      </c>
      <c r="AH54" s="20">
        <f t="shared" si="2"/>
        <v>14.4</v>
      </c>
      <c r="AI54" s="19">
        <f t="shared" si="3"/>
        <v>9.4</v>
      </c>
      <c r="AJ54" s="168"/>
      <c r="AK54" s="41"/>
    </row>
    <row r="55" spans="1:41" x14ac:dyDescent="0.25">
      <c r="A55" s="95" t="s">
        <v>180</v>
      </c>
      <c r="B55" s="80">
        <v>9.1999999999999993</v>
      </c>
      <c r="C55" s="80">
        <v>9.1999999999999993</v>
      </c>
      <c r="D55" s="80">
        <v>9.1999999999999993</v>
      </c>
      <c r="E55" s="80">
        <v>9.1999999999999993</v>
      </c>
      <c r="F55" s="80">
        <v>9.1999999999999993</v>
      </c>
      <c r="G55" s="80">
        <v>9.1999999999999993</v>
      </c>
      <c r="H55" s="80">
        <v>9.1999999999999993</v>
      </c>
      <c r="I55" s="80">
        <v>9.1999999999999993</v>
      </c>
      <c r="J55" s="80">
        <v>9.1999999999999993</v>
      </c>
      <c r="K55" s="80">
        <v>9.1999999999999993</v>
      </c>
      <c r="L55" s="80">
        <v>9.1999999999999993</v>
      </c>
      <c r="M55" s="80">
        <v>9.1999999999999993</v>
      </c>
      <c r="N55" s="80">
        <v>9.1999999999999993</v>
      </c>
      <c r="O55" s="80">
        <v>9.1999999999999993</v>
      </c>
      <c r="P55" s="80">
        <v>9.1999999999999993</v>
      </c>
      <c r="Q55" s="80">
        <v>9.1999999999999993</v>
      </c>
      <c r="R55" s="80">
        <v>9.1999999999999993</v>
      </c>
      <c r="S55" s="80">
        <v>9.1999999999999993</v>
      </c>
      <c r="T55" s="80">
        <v>9.1999999999999993</v>
      </c>
      <c r="U55" s="80">
        <v>9.1999999999999993</v>
      </c>
      <c r="V55" s="80">
        <v>9.1999999999999993</v>
      </c>
      <c r="W55" s="80">
        <v>9.1999999999999993</v>
      </c>
      <c r="X55" s="80">
        <v>9.1999999999999993</v>
      </c>
      <c r="Y55" s="80" t="s">
        <v>275</v>
      </c>
      <c r="Z55" s="80" t="s">
        <v>276</v>
      </c>
      <c r="AA55" s="80" t="s">
        <v>277</v>
      </c>
      <c r="AB55" s="80" t="s">
        <v>279</v>
      </c>
      <c r="AC55" s="80" t="s">
        <v>280</v>
      </c>
      <c r="AD55" s="80" t="s">
        <v>281</v>
      </c>
      <c r="AE55" s="80" t="s">
        <v>282</v>
      </c>
      <c r="AF55" s="80"/>
      <c r="AG55" s="94">
        <v>10.050000000000001</v>
      </c>
      <c r="AH55" s="20">
        <f t="shared" si="2"/>
        <v>9.1999999999999993</v>
      </c>
      <c r="AI55" s="19">
        <f t="shared" si="3"/>
        <v>9.1999999999999993</v>
      </c>
      <c r="AJ55" s="168"/>
      <c r="AK55" s="41"/>
    </row>
    <row r="56" spans="1:41" x14ac:dyDescent="0.25">
      <c r="A56" s="95" t="s">
        <v>179</v>
      </c>
      <c r="B56" s="80">
        <v>6</v>
      </c>
      <c r="C56" s="80">
        <v>6</v>
      </c>
      <c r="D56" s="80">
        <v>6</v>
      </c>
      <c r="E56" s="80">
        <v>6</v>
      </c>
      <c r="F56" s="80">
        <v>6</v>
      </c>
      <c r="G56" s="80">
        <v>6</v>
      </c>
      <c r="H56" s="80">
        <v>6</v>
      </c>
      <c r="I56" s="80">
        <v>6</v>
      </c>
      <c r="J56" s="80">
        <v>6</v>
      </c>
      <c r="K56" s="80">
        <v>6</v>
      </c>
      <c r="L56" s="80">
        <v>6</v>
      </c>
      <c r="M56" s="80">
        <v>6</v>
      </c>
      <c r="N56" s="80">
        <v>6</v>
      </c>
      <c r="O56" s="80">
        <v>6</v>
      </c>
      <c r="P56" s="80">
        <v>6</v>
      </c>
      <c r="Q56" s="80">
        <v>6</v>
      </c>
      <c r="R56" s="80">
        <v>6</v>
      </c>
      <c r="S56" s="80">
        <v>6</v>
      </c>
      <c r="T56" s="80">
        <v>6</v>
      </c>
      <c r="U56" s="80">
        <v>6</v>
      </c>
      <c r="V56" s="80">
        <v>6</v>
      </c>
      <c r="W56" s="80">
        <v>6</v>
      </c>
      <c r="X56" s="80">
        <v>6</v>
      </c>
      <c r="Y56" s="80">
        <v>6</v>
      </c>
      <c r="Z56" s="80">
        <v>7</v>
      </c>
      <c r="AA56" s="80">
        <v>8</v>
      </c>
      <c r="AB56" s="80">
        <v>9</v>
      </c>
      <c r="AC56" s="80">
        <v>10</v>
      </c>
      <c r="AD56" s="80">
        <v>11</v>
      </c>
      <c r="AE56" s="80">
        <v>12</v>
      </c>
      <c r="AF56" s="80"/>
      <c r="AG56" s="94">
        <v>6.2</v>
      </c>
      <c r="AH56" s="20">
        <f t="shared" si="2"/>
        <v>12</v>
      </c>
      <c r="AI56" s="19">
        <f t="shared" si="3"/>
        <v>6</v>
      </c>
      <c r="AJ56" s="168"/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J57" s="168"/>
      <c r="AK57" s="41"/>
    </row>
    <row r="58" spans="1:41" ht="15.75" thickBot="1" x14ac:dyDescent="0.3">
      <c r="A58" s="87" t="s">
        <v>178</v>
      </c>
      <c r="B58" s="86">
        <f t="shared" ref="B58:AG58" si="7">SUM(B45:B57)</f>
        <v>400.6400000000001</v>
      </c>
      <c r="C58" s="86">
        <f t="shared" si="7"/>
        <v>358.34000000000003</v>
      </c>
      <c r="D58" s="86">
        <f t="shared" si="7"/>
        <v>357.64000000000004</v>
      </c>
      <c r="E58" s="86">
        <f t="shared" si="7"/>
        <v>357.64000000000004</v>
      </c>
      <c r="F58" s="86">
        <f t="shared" si="7"/>
        <v>342.14000000000004</v>
      </c>
      <c r="G58" s="86">
        <f t="shared" si="7"/>
        <v>343.94000000000005</v>
      </c>
      <c r="H58" s="86">
        <f t="shared" si="7"/>
        <v>343.94000000000005</v>
      </c>
      <c r="I58" s="86">
        <f t="shared" si="7"/>
        <v>325.04000000000008</v>
      </c>
      <c r="J58" s="86">
        <f t="shared" si="7"/>
        <v>323.53999999999996</v>
      </c>
      <c r="K58" s="86">
        <f t="shared" si="7"/>
        <v>323.53999999999996</v>
      </c>
      <c r="L58" s="86">
        <f t="shared" si="7"/>
        <v>331.53999999999996</v>
      </c>
      <c r="M58" s="86">
        <f t="shared" si="7"/>
        <v>385.03999999999996</v>
      </c>
      <c r="N58" s="86">
        <f t="shared" si="7"/>
        <v>392.43999999999994</v>
      </c>
      <c r="O58" s="86">
        <f t="shared" si="7"/>
        <v>382.03999999999996</v>
      </c>
      <c r="P58" s="86">
        <f t="shared" si="7"/>
        <v>409.14</v>
      </c>
      <c r="Q58" s="86">
        <f t="shared" si="7"/>
        <v>428.53999999999996</v>
      </c>
      <c r="R58" s="86">
        <f t="shared" si="7"/>
        <v>433.34</v>
      </c>
      <c r="S58" s="86">
        <f t="shared" si="7"/>
        <v>432.94</v>
      </c>
      <c r="T58" s="86">
        <f t="shared" si="7"/>
        <v>432.94</v>
      </c>
      <c r="U58" s="86">
        <f t="shared" si="7"/>
        <v>433.64</v>
      </c>
      <c r="V58" s="86">
        <f t="shared" si="7"/>
        <v>375.23999999999995</v>
      </c>
      <c r="W58" s="86">
        <f t="shared" si="7"/>
        <v>374.94000000000005</v>
      </c>
      <c r="X58" s="86">
        <f t="shared" si="7"/>
        <v>410.74000000000007</v>
      </c>
      <c r="Y58" s="86">
        <f t="shared" si="7"/>
        <v>404.84000000000003</v>
      </c>
      <c r="Z58" s="86">
        <f t="shared" si="7"/>
        <v>405.84000000000003</v>
      </c>
      <c r="AA58" s="86">
        <f t="shared" si="7"/>
        <v>406.84000000000003</v>
      </c>
      <c r="AB58" s="86">
        <f t="shared" si="7"/>
        <v>407.84000000000003</v>
      </c>
      <c r="AC58" s="86">
        <f t="shared" si="7"/>
        <v>408.84000000000003</v>
      </c>
      <c r="AD58" s="86">
        <f t="shared" si="7"/>
        <v>409.84000000000003</v>
      </c>
      <c r="AE58" s="86">
        <f t="shared" si="7"/>
        <v>356.04000000000008</v>
      </c>
      <c r="AF58" s="86">
        <f t="shared" si="7"/>
        <v>3.54</v>
      </c>
      <c r="AG58" s="101">
        <f t="shared" si="7"/>
        <v>489.91</v>
      </c>
      <c r="AH58" s="20">
        <f t="shared" si="2"/>
        <v>433.64</v>
      </c>
      <c r="AI58" s="19">
        <f t="shared" si="3"/>
        <v>3.54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>
        <v>0</v>
      </c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>
        <v>0</v>
      </c>
      <c r="Z59" s="105">
        <v>0</v>
      </c>
      <c r="AA59" s="105">
        <v>0</v>
      </c>
      <c r="AB59" s="105">
        <v>0</v>
      </c>
      <c r="AC59" s="105">
        <v>0</v>
      </c>
      <c r="AD59" s="105">
        <v>0</v>
      </c>
      <c r="AE59" s="105">
        <v>0</v>
      </c>
      <c r="AF59" s="105"/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/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07">
        <v>0</v>
      </c>
      <c r="Y61" s="107">
        <v>0</v>
      </c>
      <c r="Z61" s="107">
        <v>0</v>
      </c>
      <c r="AA61" s="107">
        <v>0</v>
      </c>
      <c r="AB61" s="107">
        <v>0</v>
      </c>
      <c r="AC61" s="107">
        <v>0</v>
      </c>
      <c r="AD61" s="107">
        <v>0</v>
      </c>
      <c r="AE61" s="107">
        <v>0</v>
      </c>
      <c r="AF61" s="107"/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8">SUM(B59:B61)</f>
        <v>0</v>
      </c>
      <c r="C62" s="86">
        <f t="shared" si="8"/>
        <v>0</v>
      </c>
      <c r="D62" s="86">
        <f t="shared" si="8"/>
        <v>0</v>
      </c>
      <c r="E62" s="86">
        <f t="shared" si="8"/>
        <v>0</v>
      </c>
      <c r="F62" s="86">
        <f t="shared" si="8"/>
        <v>0</v>
      </c>
      <c r="G62" s="86">
        <f t="shared" si="8"/>
        <v>0</v>
      </c>
      <c r="H62" s="86">
        <f t="shared" si="8"/>
        <v>0</v>
      </c>
      <c r="I62" s="86">
        <f t="shared" si="8"/>
        <v>0</v>
      </c>
      <c r="J62" s="86">
        <f t="shared" si="8"/>
        <v>0</v>
      </c>
      <c r="K62" s="86">
        <v>0</v>
      </c>
      <c r="L62" s="86">
        <f t="shared" si="8"/>
        <v>0</v>
      </c>
      <c r="M62" s="86">
        <f t="shared" si="8"/>
        <v>0</v>
      </c>
      <c r="N62" s="86">
        <f t="shared" si="8"/>
        <v>0</v>
      </c>
      <c r="O62" s="86">
        <f t="shared" si="8"/>
        <v>0</v>
      </c>
      <c r="P62" s="86">
        <f t="shared" si="8"/>
        <v>0</v>
      </c>
      <c r="Q62" s="86">
        <f t="shared" si="8"/>
        <v>0</v>
      </c>
      <c r="R62" s="86">
        <f t="shared" si="8"/>
        <v>0</v>
      </c>
      <c r="S62" s="86">
        <f t="shared" si="8"/>
        <v>0</v>
      </c>
      <c r="T62" s="86">
        <f t="shared" si="8"/>
        <v>0</v>
      </c>
      <c r="U62" s="86">
        <f t="shared" si="8"/>
        <v>0</v>
      </c>
      <c r="V62" s="86">
        <f t="shared" si="8"/>
        <v>0</v>
      </c>
      <c r="W62" s="86">
        <f t="shared" si="8"/>
        <v>0</v>
      </c>
      <c r="X62" s="86">
        <f t="shared" si="8"/>
        <v>0</v>
      </c>
      <c r="Y62" s="86">
        <f t="shared" si="8"/>
        <v>0</v>
      </c>
      <c r="Z62" s="86">
        <f t="shared" si="8"/>
        <v>0</v>
      </c>
      <c r="AA62" s="86">
        <f t="shared" si="8"/>
        <v>0</v>
      </c>
      <c r="AB62" s="86">
        <f t="shared" si="8"/>
        <v>0</v>
      </c>
      <c r="AC62" s="86">
        <f t="shared" si="8"/>
        <v>0</v>
      </c>
      <c r="AD62" s="86">
        <f t="shared" si="8"/>
        <v>0</v>
      </c>
      <c r="AE62" s="86">
        <f t="shared" si="8"/>
        <v>0</v>
      </c>
      <c r="AF62" s="86">
        <f t="shared" si="8"/>
        <v>0</v>
      </c>
      <c r="AG62" s="101">
        <f t="shared" si="8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>
        <v>0</v>
      </c>
      <c r="S63" s="105">
        <v>0</v>
      </c>
      <c r="T63" s="105">
        <v>0</v>
      </c>
      <c r="U63" s="105">
        <v>0</v>
      </c>
      <c r="V63" s="105">
        <v>0</v>
      </c>
      <c r="W63" s="105">
        <v>0</v>
      </c>
      <c r="X63" s="105">
        <v>0</v>
      </c>
      <c r="Y63" s="105">
        <v>0</v>
      </c>
      <c r="Z63" s="105">
        <v>0</v>
      </c>
      <c r="AA63" s="105">
        <v>0</v>
      </c>
      <c r="AB63" s="105">
        <v>0</v>
      </c>
      <c r="AC63" s="105">
        <v>0</v>
      </c>
      <c r="AD63" s="105">
        <v>0</v>
      </c>
      <c r="AE63" s="105">
        <v>0</v>
      </c>
      <c r="AF63" s="105"/>
      <c r="AG63" s="96"/>
      <c r="AH63" s="20">
        <f t="shared" si="2"/>
        <v>0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/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-424</v>
      </c>
      <c r="C65" s="80">
        <v>-374</v>
      </c>
      <c r="D65" s="80">
        <v>-406.2</v>
      </c>
      <c r="E65" s="80">
        <v>-436</v>
      </c>
      <c r="F65" s="80">
        <v>-431</v>
      </c>
      <c r="G65" s="80">
        <v>-329</v>
      </c>
      <c r="H65" s="80">
        <v>-428</v>
      </c>
      <c r="I65" s="80">
        <v>-437</v>
      </c>
      <c r="J65" s="80">
        <v>-450</v>
      </c>
      <c r="K65" s="80">
        <v>-417</v>
      </c>
      <c r="L65" s="80">
        <v>-380</v>
      </c>
      <c r="M65" s="80">
        <v>-430</v>
      </c>
      <c r="N65" s="80">
        <v>-425</v>
      </c>
      <c r="O65" s="80">
        <v>-431</v>
      </c>
      <c r="P65" s="80">
        <v>-410</v>
      </c>
      <c r="Q65" s="80">
        <v>-405.5</v>
      </c>
      <c r="R65" s="80">
        <v>-404.2</v>
      </c>
      <c r="S65" s="80">
        <v>-429.6</v>
      </c>
      <c r="T65" s="80">
        <v>-405</v>
      </c>
      <c r="U65" s="80">
        <v>-412</v>
      </c>
      <c r="V65" s="80">
        <v>-406.8</v>
      </c>
      <c r="W65" s="80">
        <v>-399</v>
      </c>
      <c r="X65" s="80">
        <v>-351</v>
      </c>
      <c r="Y65" s="80">
        <v>-330</v>
      </c>
      <c r="Z65" s="80">
        <v>-352</v>
      </c>
      <c r="AA65" s="80">
        <v>-340</v>
      </c>
      <c r="AB65" s="80">
        <v>-392</v>
      </c>
      <c r="AC65" s="80">
        <v>-389</v>
      </c>
      <c r="AD65" s="80">
        <v>-389</v>
      </c>
      <c r="AE65" s="80">
        <v>-369</v>
      </c>
      <c r="AF65" s="80"/>
      <c r="AG65" s="102"/>
      <c r="AH65" s="20">
        <f t="shared" si="2"/>
        <v>-329</v>
      </c>
      <c r="AI65" s="19">
        <f t="shared" si="3"/>
        <v>-450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/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/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/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/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10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/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10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/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103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/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103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/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9">SUMIF(B63:B73,"&gt;0")</f>
        <v>0</v>
      </c>
      <c r="C74" s="86">
        <f t="shared" si="9"/>
        <v>0</v>
      </c>
      <c r="D74" s="86">
        <f t="shared" si="9"/>
        <v>0</v>
      </c>
      <c r="E74" s="86">
        <f t="shared" si="9"/>
        <v>0</v>
      </c>
      <c r="F74" s="86">
        <f t="shared" si="9"/>
        <v>0</v>
      </c>
      <c r="G74" s="86">
        <f t="shared" si="9"/>
        <v>0</v>
      </c>
      <c r="H74" s="86">
        <f t="shared" si="9"/>
        <v>0</v>
      </c>
      <c r="I74" s="86">
        <f t="shared" si="9"/>
        <v>0</v>
      </c>
      <c r="J74" s="86">
        <f t="shared" si="9"/>
        <v>0</v>
      </c>
      <c r="K74" s="86">
        <f t="shared" si="9"/>
        <v>0</v>
      </c>
      <c r="L74" s="86">
        <f t="shared" si="9"/>
        <v>0</v>
      </c>
      <c r="M74" s="86">
        <f t="shared" si="9"/>
        <v>0</v>
      </c>
      <c r="N74" s="86">
        <f t="shared" si="9"/>
        <v>0</v>
      </c>
      <c r="O74" s="86">
        <f t="shared" si="9"/>
        <v>0</v>
      </c>
      <c r="P74" s="86">
        <f t="shared" si="9"/>
        <v>0</v>
      </c>
      <c r="Q74" s="86">
        <f t="shared" si="9"/>
        <v>0</v>
      </c>
      <c r="R74" s="86">
        <f t="shared" si="9"/>
        <v>0</v>
      </c>
      <c r="S74" s="86">
        <f t="shared" si="9"/>
        <v>0</v>
      </c>
      <c r="T74" s="86">
        <f t="shared" si="9"/>
        <v>0</v>
      </c>
      <c r="U74" s="86">
        <f t="shared" si="9"/>
        <v>0</v>
      </c>
      <c r="V74" s="86">
        <f t="shared" si="9"/>
        <v>0</v>
      </c>
      <c r="W74" s="86">
        <f t="shared" si="9"/>
        <v>0</v>
      </c>
      <c r="X74" s="86">
        <f t="shared" si="9"/>
        <v>0</v>
      </c>
      <c r="Y74" s="86">
        <f t="shared" si="9"/>
        <v>0</v>
      </c>
      <c r="Z74" s="86">
        <f t="shared" si="9"/>
        <v>0</v>
      </c>
      <c r="AA74" s="86">
        <f t="shared" si="9"/>
        <v>0</v>
      </c>
      <c r="AB74" s="86">
        <f t="shared" si="9"/>
        <v>0</v>
      </c>
      <c r="AC74" s="86">
        <f t="shared" si="9"/>
        <v>0</v>
      </c>
      <c r="AD74" s="86">
        <f t="shared" si="9"/>
        <v>0</v>
      </c>
      <c r="AE74" s="86">
        <f t="shared" si="9"/>
        <v>0</v>
      </c>
      <c r="AF74" s="86">
        <f t="shared" si="9"/>
        <v>0</v>
      </c>
      <c r="AG74" s="85">
        <f>SUM(AG63:AG73)</f>
        <v>0</v>
      </c>
      <c r="AH74" s="20">
        <f t="shared" si="2"/>
        <v>0</v>
      </c>
      <c r="AI74" s="19">
        <f t="shared" si="3"/>
        <v>0</v>
      </c>
      <c r="AK74" s="41"/>
    </row>
    <row r="75" spans="1:37" x14ac:dyDescent="0.25">
      <c r="A75" s="97" t="s">
        <v>164</v>
      </c>
      <c r="B75" s="93">
        <v>0</v>
      </c>
      <c r="C75" s="93">
        <v>0</v>
      </c>
      <c r="D75" s="93">
        <v>0</v>
      </c>
      <c r="E75" s="93">
        <v>0</v>
      </c>
      <c r="F75" s="93">
        <v>0</v>
      </c>
      <c r="G75" s="93">
        <v>0</v>
      </c>
      <c r="H75" s="93">
        <v>0</v>
      </c>
      <c r="I75" s="93">
        <v>0</v>
      </c>
      <c r="J75" s="93">
        <v>0</v>
      </c>
      <c r="K75" s="93">
        <v>0</v>
      </c>
      <c r="L75" s="93">
        <v>0</v>
      </c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>
        <v>0</v>
      </c>
      <c r="T75" s="93">
        <v>0</v>
      </c>
      <c r="U75" s="93">
        <v>0</v>
      </c>
      <c r="V75" s="93">
        <v>0</v>
      </c>
      <c r="W75" s="93">
        <v>0</v>
      </c>
      <c r="X75" s="93">
        <v>0</v>
      </c>
      <c r="Y75" s="93">
        <v>0</v>
      </c>
      <c r="Z75" s="93">
        <v>0</v>
      </c>
      <c r="AA75" s="93">
        <v>0</v>
      </c>
      <c r="AB75" s="93"/>
      <c r="AC75" s="93"/>
      <c r="AD75" s="93"/>
      <c r="AE75" s="93"/>
      <c r="AF75" s="93"/>
      <c r="AG75" s="104">
        <v>39</v>
      </c>
      <c r="AH75" s="20">
        <f t="shared" ref="AH75:AH109" si="10">MAX(B75:AF75)</f>
        <v>0</v>
      </c>
      <c r="AI75" s="19">
        <f t="shared" ref="AI75:AI109" si="11">MIN(B75:AF75)</f>
        <v>0</v>
      </c>
      <c r="AK75" s="41"/>
    </row>
    <row r="76" spans="1:37" x14ac:dyDescent="0.25">
      <c r="A76" s="95" t="s">
        <v>163</v>
      </c>
      <c r="B76" s="103">
        <v>0</v>
      </c>
      <c r="C76" s="103">
        <v>0</v>
      </c>
      <c r="D76" s="103">
        <v>0</v>
      </c>
      <c r="E76" s="103">
        <v>0</v>
      </c>
      <c r="F76" s="103">
        <v>0</v>
      </c>
      <c r="G76" s="103">
        <v>0</v>
      </c>
      <c r="H76" s="103">
        <v>0</v>
      </c>
      <c r="I76" s="103">
        <v>0</v>
      </c>
      <c r="J76" s="103">
        <v>0</v>
      </c>
      <c r="K76" s="103">
        <v>0</v>
      </c>
      <c r="L76" s="103">
        <v>0</v>
      </c>
      <c r="M76" s="103">
        <v>0</v>
      </c>
      <c r="N76" s="103">
        <v>0</v>
      </c>
      <c r="O76" s="103">
        <v>0</v>
      </c>
      <c r="P76" s="103">
        <v>0</v>
      </c>
      <c r="Q76" s="103">
        <v>0</v>
      </c>
      <c r="R76" s="103">
        <v>0</v>
      </c>
      <c r="S76" s="103">
        <v>0</v>
      </c>
      <c r="T76" s="103">
        <v>0</v>
      </c>
      <c r="U76" s="103">
        <v>0</v>
      </c>
      <c r="V76" s="103">
        <v>0</v>
      </c>
      <c r="W76" s="103">
        <v>0</v>
      </c>
      <c r="X76" s="103">
        <v>0</v>
      </c>
      <c r="Y76" s="103">
        <v>0</v>
      </c>
      <c r="Z76" s="103">
        <v>0</v>
      </c>
      <c r="AA76" s="103">
        <v>0</v>
      </c>
      <c r="AB76" s="103"/>
      <c r="AC76" s="103"/>
      <c r="AD76" s="103"/>
      <c r="AE76" s="103"/>
      <c r="AF76" s="103"/>
      <c r="AG76" s="102">
        <v>14.4</v>
      </c>
      <c r="AH76" s="20">
        <f t="shared" si="10"/>
        <v>0</v>
      </c>
      <c r="AI76" s="19">
        <f t="shared" si="11"/>
        <v>0</v>
      </c>
      <c r="AK76" s="41"/>
    </row>
    <row r="77" spans="1:37" ht="15.75" thickBot="1" x14ac:dyDescent="0.3">
      <c r="A77" s="91" t="s">
        <v>162</v>
      </c>
      <c r="B77" s="90">
        <v>0</v>
      </c>
      <c r="C77" s="90">
        <v>0</v>
      </c>
      <c r="D77" s="90">
        <v>0</v>
      </c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  <c r="AA77" s="90">
        <v>0</v>
      </c>
      <c r="AB77" s="90"/>
      <c r="AC77" s="90"/>
      <c r="AD77" s="90"/>
      <c r="AE77" s="90"/>
      <c r="AF77" s="90"/>
      <c r="AG77" s="89">
        <v>2</v>
      </c>
      <c r="AH77" s="20">
        <f t="shared" si="10"/>
        <v>0</v>
      </c>
      <c r="AI77" s="19">
        <f t="shared" si="11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10"/>
        <v>0</v>
      </c>
      <c r="AI78" s="19">
        <f t="shared" si="11"/>
        <v>0</v>
      </c>
    </row>
    <row r="79" spans="1:37" ht="15.75" thickBot="1" x14ac:dyDescent="0.3">
      <c r="A79" s="87" t="s">
        <v>160</v>
      </c>
      <c r="B79" s="98">
        <f t="shared" ref="B79:AG79" si="12">B40+B44+B62+B58+B74+B78</f>
        <v>1712.74</v>
      </c>
      <c r="C79" s="98">
        <f t="shared" si="12"/>
        <v>1612.44</v>
      </c>
      <c r="D79" s="98">
        <f t="shared" si="12"/>
        <v>1621.74</v>
      </c>
      <c r="E79" s="98">
        <f t="shared" si="12"/>
        <v>1621.74</v>
      </c>
      <c r="F79" s="98">
        <f t="shared" si="12"/>
        <v>1601.24</v>
      </c>
      <c r="G79" s="98">
        <f t="shared" si="12"/>
        <v>1603.04</v>
      </c>
      <c r="H79" s="98">
        <f t="shared" si="12"/>
        <v>1603.04</v>
      </c>
      <c r="I79" s="98">
        <f t="shared" si="12"/>
        <v>1584.1399999999999</v>
      </c>
      <c r="J79" s="98">
        <f t="shared" si="12"/>
        <v>1537.6399999999999</v>
      </c>
      <c r="K79" s="98">
        <f t="shared" si="12"/>
        <v>1537.6399999999999</v>
      </c>
      <c r="L79" s="98">
        <f t="shared" si="12"/>
        <v>1522.74</v>
      </c>
      <c r="M79" s="98">
        <f t="shared" si="12"/>
        <v>1669.24</v>
      </c>
      <c r="N79" s="98">
        <f t="shared" si="12"/>
        <v>1699.54</v>
      </c>
      <c r="O79" s="98">
        <f t="shared" si="12"/>
        <v>1689.1399999999999</v>
      </c>
      <c r="P79" s="98">
        <f t="shared" si="12"/>
        <v>1647.3399999999997</v>
      </c>
      <c r="Q79" s="98">
        <f t="shared" si="12"/>
        <v>1683.04</v>
      </c>
      <c r="R79" s="98">
        <f t="shared" si="12"/>
        <v>1659.34</v>
      </c>
      <c r="S79" s="98">
        <f t="shared" si="12"/>
        <v>1660.14</v>
      </c>
      <c r="T79" s="98">
        <f t="shared" si="12"/>
        <v>1651.3400000000001</v>
      </c>
      <c r="U79" s="98">
        <f t="shared" si="12"/>
        <v>1661.54</v>
      </c>
      <c r="V79" s="98">
        <f t="shared" si="12"/>
        <v>1604.34</v>
      </c>
      <c r="W79" s="98">
        <f t="shared" si="12"/>
        <v>1603.3400000000001</v>
      </c>
      <c r="X79" s="98">
        <f t="shared" si="12"/>
        <v>1693.34</v>
      </c>
      <c r="Y79" s="98">
        <f t="shared" si="12"/>
        <v>1795.44</v>
      </c>
      <c r="Z79" s="98">
        <f t="shared" si="12"/>
        <v>1796.44</v>
      </c>
      <c r="AA79" s="98">
        <f t="shared" si="12"/>
        <v>1797.44</v>
      </c>
      <c r="AB79" s="98">
        <f t="shared" si="12"/>
        <v>1808.44</v>
      </c>
      <c r="AC79" s="98">
        <f t="shared" si="12"/>
        <v>1794.94</v>
      </c>
      <c r="AD79" s="98">
        <f t="shared" si="12"/>
        <v>1795.94</v>
      </c>
      <c r="AE79" s="98">
        <f t="shared" si="12"/>
        <v>1722.1399999999999</v>
      </c>
      <c r="AF79" s="98">
        <f t="shared" si="12"/>
        <v>3.54</v>
      </c>
      <c r="AG79" s="101">
        <f t="shared" si="12"/>
        <v>1897.1900000000003</v>
      </c>
      <c r="AH79" s="20">
        <f t="shared" si="10"/>
        <v>1808.44</v>
      </c>
      <c r="AI79" s="19">
        <f t="shared" si="11"/>
        <v>3.54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10"/>
        <v>0</v>
      </c>
      <c r="AI80" s="19">
        <f t="shared" si="11"/>
        <v>0</v>
      </c>
    </row>
    <row r="81" spans="1:37" ht="15.75" thickBot="1" x14ac:dyDescent="0.3">
      <c r="A81" s="87" t="s">
        <v>158</v>
      </c>
      <c r="B81" s="98">
        <f t="shared" ref="B81:AF81" si="13">B79+B80</f>
        <v>1712.74</v>
      </c>
      <c r="C81" s="98">
        <f t="shared" si="13"/>
        <v>1612.44</v>
      </c>
      <c r="D81" s="98">
        <f t="shared" si="13"/>
        <v>1621.74</v>
      </c>
      <c r="E81" s="98">
        <f t="shared" si="13"/>
        <v>1621.74</v>
      </c>
      <c r="F81" s="98">
        <f t="shared" si="13"/>
        <v>1601.24</v>
      </c>
      <c r="G81" s="98">
        <f t="shared" si="13"/>
        <v>1603.04</v>
      </c>
      <c r="H81" s="98">
        <f t="shared" si="13"/>
        <v>1603.04</v>
      </c>
      <c r="I81" s="98">
        <f t="shared" si="13"/>
        <v>1584.1399999999999</v>
      </c>
      <c r="J81" s="98">
        <f t="shared" si="13"/>
        <v>1537.6399999999999</v>
      </c>
      <c r="K81" s="98">
        <f t="shared" si="13"/>
        <v>1537.6399999999999</v>
      </c>
      <c r="L81" s="98">
        <f t="shared" si="13"/>
        <v>1522.74</v>
      </c>
      <c r="M81" s="98">
        <f t="shared" si="13"/>
        <v>1669.24</v>
      </c>
      <c r="N81" s="98">
        <f t="shared" si="13"/>
        <v>1699.54</v>
      </c>
      <c r="O81" s="98">
        <f t="shared" si="13"/>
        <v>1689.1399999999999</v>
      </c>
      <c r="P81" s="98">
        <f t="shared" si="13"/>
        <v>1647.3399999999997</v>
      </c>
      <c r="Q81" s="98">
        <f t="shared" si="13"/>
        <v>1683.04</v>
      </c>
      <c r="R81" s="98">
        <f t="shared" si="13"/>
        <v>1659.34</v>
      </c>
      <c r="S81" s="98">
        <f t="shared" si="13"/>
        <v>1660.14</v>
      </c>
      <c r="T81" s="98">
        <f t="shared" si="13"/>
        <v>1651.3400000000001</v>
      </c>
      <c r="U81" s="98">
        <f t="shared" si="13"/>
        <v>1661.54</v>
      </c>
      <c r="V81" s="98">
        <f t="shared" si="13"/>
        <v>1604.34</v>
      </c>
      <c r="W81" s="98">
        <f t="shared" si="13"/>
        <v>1603.3400000000001</v>
      </c>
      <c r="X81" s="98">
        <f t="shared" si="13"/>
        <v>1693.34</v>
      </c>
      <c r="Y81" s="98">
        <f t="shared" si="13"/>
        <v>1795.44</v>
      </c>
      <c r="Z81" s="98">
        <f t="shared" si="13"/>
        <v>1796.44</v>
      </c>
      <c r="AA81" s="98">
        <f t="shared" si="13"/>
        <v>1797.44</v>
      </c>
      <c r="AB81" s="98">
        <f t="shared" si="13"/>
        <v>1808.44</v>
      </c>
      <c r="AC81" s="98">
        <f t="shared" si="13"/>
        <v>1794.94</v>
      </c>
      <c r="AD81" s="98">
        <f t="shared" si="13"/>
        <v>1795.94</v>
      </c>
      <c r="AE81" s="98">
        <f t="shared" si="13"/>
        <v>1722.1399999999999</v>
      </c>
      <c r="AF81" s="98">
        <f t="shared" si="13"/>
        <v>3.54</v>
      </c>
      <c r="AG81" s="85">
        <f>AG78+AG74+AG62+AG58+AG40+AG80</f>
        <v>1359.0900000000001</v>
      </c>
      <c r="AH81" s="20">
        <f t="shared" si="10"/>
        <v>1808.44</v>
      </c>
      <c r="AI81" s="19">
        <f t="shared" si="11"/>
        <v>3.54</v>
      </c>
    </row>
    <row r="82" spans="1:37" ht="15.75" thickBot="1" x14ac:dyDescent="0.3">
      <c r="A82" s="87" t="s">
        <v>157</v>
      </c>
      <c r="B82" s="98">
        <f t="shared" ref="B82:AF82" si="14">B81-B89</f>
        <v>1288.74</v>
      </c>
      <c r="C82" s="98">
        <f t="shared" si="14"/>
        <v>1238.44</v>
      </c>
      <c r="D82" s="98">
        <f t="shared" si="14"/>
        <v>1215.54</v>
      </c>
      <c r="E82" s="98">
        <f t="shared" si="14"/>
        <v>1185.74</v>
      </c>
      <c r="F82" s="98">
        <f t="shared" si="14"/>
        <v>1170.24</v>
      </c>
      <c r="G82" s="98">
        <f t="shared" si="14"/>
        <v>1274.04</v>
      </c>
      <c r="H82" s="98">
        <f t="shared" si="14"/>
        <v>1175.04</v>
      </c>
      <c r="I82" s="98">
        <f t="shared" si="14"/>
        <v>1147.1399999999999</v>
      </c>
      <c r="J82" s="98">
        <f t="shared" si="14"/>
        <v>1087.6399999999999</v>
      </c>
      <c r="K82" s="98">
        <f t="shared" si="14"/>
        <v>1120.6399999999999</v>
      </c>
      <c r="L82" s="98">
        <f t="shared" si="14"/>
        <v>1142.74</v>
      </c>
      <c r="M82" s="98">
        <f t="shared" si="14"/>
        <v>1239.24</v>
      </c>
      <c r="N82" s="98">
        <f t="shared" si="14"/>
        <v>1274.54</v>
      </c>
      <c r="O82" s="98">
        <f t="shared" si="14"/>
        <v>1258.1399999999999</v>
      </c>
      <c r="P82" s="98">
        <f t="shared" si="14"/>
        <v>1237.3399999999997</v>
      </c>
      <c r="Q82" s="98">
        <f t="shared" si="14"/>
        <v>1277.54</v>
      </c>
      <c r="R82" s="98">
        <f t="shared" si="14"/>
        <v>1255.1399999999999</v>
      </c>
      <c r="S82" s="98">
        <f t="shared" si="14"/>
        <v>1230.54</v>
      </c>
      <c r="T82" s="98">
        <f t="shared" si="14"/>
        <v>1246.3400000000001</v>
      </c>
      <c r="U82" s="98">
        <f t="shared" si="14"/>
        <v>1249.54</v>
      </c>
      <c r="V82" s="98">
        <f t="shared" si="14"/>
        <v>1197.54</v>
      </c>
      <c r="W82" s="98">
        <f t="shared" si="14"/>
        <v>1204.3400000000001</v>
      </c>
      <c r="X82" s="98">
        <f t="shared" si="14"/>
        <v>1342.34</v>
      </c>
      <c r="Y82" s="98">
        <f t="shared" si="14"/>
        <v>1465.44</v>
      </c>
      <c r="Z82" s="98">
        <f t="shared" si="14"/>
        <v>1444.44</v>
      </c>
      <c r="AA82" s="98">
        <f t="shared" si="14"/>
        <v>1457.44</v>
      </c>
      <c r="AB82" s="98">
        <f t="shared" si="14"/>
        <v>1416.44</v>
      </c>
      <c r="AC82" s="98">
        <f t="shared" si="14"/>
        <v>1405.94</v>
      </c>
      <c r="AD82" s="98">
        <f t="shared" si="14"/>
        <v>1406.94</v>
      </c>
      <c r="AE82" s="98">
        <f t="shared" si="14"/>
        <v>1353.1399999999999</v>
      </c>
      <c r="AF82" s="98">
        <f t="shared" si="14"/>
        <v>3.54</v>
      </c>
      <c r="AG82" s="85"/>
      <c r="AH82" s="20">
        <f t="shared" si="10"/>
        <v>1465.44</v>
      </c>
      <c r="AI82" s="19">
        <f t="shared" si="11"/>
        <v>3.54</v>
      </c>
    </row>
    <row r="83" spans="1:37" x14ac:dyDescent="0.25">
      <c r="A83" s="97" t="s">
        <v>156</v>
      </c>
      <c r="B83" s="93">
        <f t="shared" ref="B83:AF83" si="15">IF(B66&lt;0,B66*-1,0)</f>
        <v>0</v>
      </c>
      <c r="C83" s="93">
        <f t="shared" si="15"/>
        <v>0</v>
      </c>
      <c r="D83" s="93">
        <f t="shared" si="15"/>
        <v>0</v>
      </c>
      <c r="E83" s="93">
        <f t="shared" si="15"/>
        <v>0</v>
      </c>
      <c r="F83" s="93">
        <f t="shared" si="15"/>
        <v>0</v>
      </c>
      <c r="G83" s="93">
        <f t="shared" si="15"/>
        <v>0</v>
      </c>
      <c r="H83" s="93">
        <f t="shared" si="15"/>
        <v>0</v>
      </c>
      <c r="I83" s="93">
        <f t="shared" si="15"/>
        <v>0</v>
      </c>
      <c r="J83" s="93">
        <f t="shared" si="15"/>
        <v>0</v>
      </c>
      <c r="K83" s="93">
        <f t="shared" si="15"/>
        <v>0</v>
      </c>
      <c r="L83" s="93">
        <f t="shared" si="15"/>
        <v>0</v>
      </c>
      <c r="M83" s="93">
        <f t="shared" si="15"/>
        <v>0</v>
      </c>
      <c r="N83" s="93">
        <f t="shared" si="15"/>
        <v>0</v>
      </c>
      <c r="O83" s="93">
        <f t="shared" si="15"/>
        <v>0</v>
      </c>
      <c r="P83" s="93">
        <f t="shared" si="15"/>
        <v>0</v>
      </c>
      <c r="Q83" s="93">
        <f t="shared" si="15"/>
        <v>0</v>
      </c>
      <c r="R83" s="93">
        <f t="shared" si="15"/>
        <v>0</v>
      </c>
      <c r="S83" s="93">
        <f t="shared" si="15"/>
        <v>0</v>
      </c>
      <c r="T83" s="93">
        <f t="shared" si="15"/>
        <v>0</v>
      </c>
      <c r="U83" s="93">
        <f t="shared" si="15"/>
        <v>0</v>
      </c>
      <c r="V83" s="93">
        <f t="shared" si="15"/>
        <v>0</v>
      </c>
      <c r="W83" s="93">
        <f t="shared" si="15"/>
        <v>0</v>
      </c>
      <c r="X83" s="93">
        <f t="shared" si="15"/>
        <v>0</v>
      </c>
      <c r="Y83" s="93">
        <f t="shared" si="15"/>
        <v>0</v>
      </c>
      <c r="Z83" s="93">
        <f t="shared" si="15"/>
        <v>0</v>
      </c>
      <c r="AA83" s="93">
        <f t="shared" si="15"/>
        <v>0</v>
      </c>
      <c r="AB83" s="93">
        <f t="shared" si="15"/>
        <v>0</v>
      </c>
      <c r="AC83" s="93">
        <f t="shared" si="15"/>
        <v>0</v>
      </c>
      <c r="AD83" s="93">
        <f t="shared" si="15"/>
        <v>0</v>
      </c>
      <c r="AE83" s="93">
        <f t="shared" si="15"/>
        <v>0</v>
      </c>
      <c r="AF83" s="93">
        <f t="shared" si="15"/>
        <v>0</v>
      </c>
      <c r="AG83" s="96"/>
      <c r="AH83" s="20">
        <f t="shared" si="10"/>
        <v>0</v>
      </c>
      <c r="AI83" s="19">
        <f t="shared" si="11"/>
        <v>0</v>
      </c>
    </row>
    <row r="84" spans="1:37" x14ac:dyDescent="0.25">
      <c r="A84" s="95" t="s">
        <v>155</v>
      </c>
      <c r="B84" s="93">
        <f t="shared" ref="B84:AF84" si="16">IF(B64&lt;0,B64*-1,0)</f>
        <v>0</v>
      </c>
      <c r="C84" s="93">
        <f t="shared" si="16"/>
        <v>0</v>
      </c>
      <c r="D84" s="93">
        <f t="shared" si="16"/>
        <v>0</v>
      </c>
      <c r="E84" s="93">
        <f t="shared" si="16"/>
        <v>0</v>
      </c>
      <c r="F84" s="93">
        <f t="shared" si="16"/>
        <v>0</v>
      </c>
      <c r="G84" s="93">
        <f t="shared" si="16"/>
        <v>0</v>
      </c>
      <c r="H84" s="93">
        <f t="shared" si="16"/>
        <v>0</v>
      </c>
      <c r="I84" s="93">
        <f t="shared" si="16"/>
        <v>0</v>
      </c>
      <c r="J84" s="93">
        <f t="shared" si="16"/>
        <v>0</v>
      </c>
      <c r="K84" s="93">
        <f t="shared" si="16"/>
        <v>0</v>
      </c>
      <c r="L84" s="93">
        <f t="shared" si="16"/>
        <v>0</v>
      </c>
      <c r="M84" s="93">
        <f t="shared" si="16"/>
        <v>0</v>
      </c>
      <c r="N84" s="93">
        <f t="shared" si="16"/>
        <v>0</v>
      </c>
      <c r="O84" s="93">
        <f t="shared" si="16"/>
        <v>0</v>
      </c>
      <c r="P84" s="93">
        <f t="shared" si="16"/>
        <v>0</v>
      </c>
      <c r="Q84" s="93">
        <f t="shared" si="16"/>
        <v>0</v>
      </c>
      <c r="R84" s="93">
        <f t="shared" si="16"/>
        <v>0</v>
      </c>
      <c r="S84" s="93">
        <f t="shared" si="16"/>
        <v>0</v>
      </c>
      <c r="T84" s="93">
        <f t="shared" si="16"/>
        <v>0</v>
      </c>
      <c r="U84" s="93">
        <f t="shared" si="16"/>
        <v>0</v>
      </c>
      <c r="V84" s="93">
        <f t="shared" si="16"/>
        <v>0</v>
      </c>
      <c r="W84" s="93">
        <f t="shared" si="16"/>
        <v>0</v>
      </c>
      <c r="X84" s="93">
        <f t="shared" si="16"/>
        <v>0</v>
      </c>
      <c r="Y84" s="93">
        <f t="shared" si="16"/>
        <v>0</v>
      </c>
      <c r="Z84" s="93">
        <f t="shared" si="16"/>
        <v>0</v>
      </c>
      <c r="AA84" s="93">
        <f t="shared" si="16"/>
        <v>0</v>
      </c>
      <c r="AB84" s="93">
        <f t="shared" si="16"/>
        <v>0</v>
      </c>
      <c r="AC84" s="93">
        <f t="shared" si="16"/>
        <v>0</v>
      </c>
      <c r="AD84" s="93">
        <f t="shared" si="16"/>
        <v>0</v>
      </c>
      <c r="AE84" s="93">
        <f t="shared" si="16"/>
        <v>0</v>
      </c>
      <c r="AF84" s="93">
        <f t="shared" si="16"/>
        <v>0</v>
      </c>
      <c r="AG84" s="94"/>
      <c r="AH84" s="20">
        <f t="shared" si="10"/>
        <v>0</v>
      </c>
      <c r="AI84" s="19">
        <f t="shared" si="11"/>
        <v>0</v>
      </c>
    </row>
    <row r="85" spans="1:37" x14ac:dyDescent="0.25">
      <c r="A85" s="91" t="s">
        <v>154</v>
      </c>
      <c r="B85" s="93">
        <f t="shared" ref="B85:AF85" si="17">IF(B67&lt;0,B67*-1,0)</f>
        <v>0</v>
      </c>
      <c r="C85" s="93">
        <f t="shared" si="17"/>
        <v>0</v>
      </c>
      <c r="D85" s="93">
        <f t="shared" si="17"/>
        <v>0</v>
      </c>
      <c r="E85" s="93">
        <f t="shared" si="17"/>
        <v>0</v>
      </c>
      <c r="F85" s="93">
        <f t="shared" si="17"/>
        <v>0</v>
      </c>
      <c r="G85" s="93">
        <f t="shared" si="17"/>
        <v>0</v>
      </c>
      <c r="H85" s="93">
        <f t="shared" si="17"/>
        <v>0</v>
      </c>
      <c r="I85" s="93">
        <f t="shared" si="17"/>
        <v>0</v>
      </c>
      <c r="J85" s="93">
        <f t="shared" si="17"/>
        <v>0</v>
      </c>
      <c r="K85" s="93">
        <f t="shared" si="17"/>
        <v>0</v>
      </c>
      <c r="L85" s="93">
        <f t="shared" si="17"/>
        <v>0</v>
      </c>
      <c r="M85" s="93">
        <f t="shared" si="17"/>
        <v>0</v>
      </c>
      <c r="N85" s="93">
        <f t="shared" si="17"/>
        <v>0</v>
      </c>
      <c r="O85" s="93">
        <f t="shared" si="17"/>
        <v>0</v>
      </c>
      <c r="P85" s="93">
        <f t="shared" si="17"/>
        <v>0</v>
      </c>
      <c r="Q85" s="93">
        <f t="shared" si="17"/>
        <v>0</v>
      </c>
      <c r="R85" s="93">
        <f t="shared" si="17"/>
        <v>0</v>
      </c>
      <c r="S85" s="93">
        <f t="shared" si="17"/>
        <v>0</v>
      </c>
      <c r="T85" s="93">
        <f t="shared" si="17"/>
        <v>0</v>
      </c>
      <c r="U85" s="93">
        <f t="shared" si="17"/>
        <v>0</v>
      </c>
      <c r="V85" s="93">
        <f t="shared" si="17"/>
        <v>0</v>
      </c>
      <c r="W85" s="93">
        <f t="shared" si="17"/>
        <v>0</v>
      </c>
      <c r="X85" s="93">
        <f t="shared" si="17"/>
        <v>0</v>
      </c>
      <c r="Y85" s="93">
        <f t="shared" si="17"/>
        <v>0</v>
      </c>
      <c r="Z85" s="93">
        <f t="shared" si="17"/>
        <v>0</v>
      </c>
      <c r="AA85" s="93">
        <f t="shared" si="17"/>
        <v>0</v>
      </c>
      <c r="AB85" s="93">
        <f t="shared" si="17"/>
        <v>0</v>
      </c>
      <c r="AC85" s="93">
        <f t="shared" si="17"/>
        <v>0</v>
      </c>
      <c r="AD85" s="93">
        <f t="shared" si="17"/>
        <v>0</v>
      </c>
      <c r="AE85" s="93">
        <f t="shared" si="17"/>
        <v>0</v>
      </c>
      <c r="AF85" s="93">
        <f t="shared" si="17"/>
        <v>0</v>
      </c>
      <c r="AG85" s="92"/>
      <c r="AH85" s="20">
        <f t="shared" si="10"/>
        <v>0</v>
      </c>
      <c r="AI85" s="19">
        <f t="shared" si="11"/>
        <v>0</v>
      </c>
    </row>
    <row r="86" spans="1:37" x14ac:dyDescent="0.25">
      <c r="A86" s="91" t="s">
        <v>153</v>
      </c>
      <c r="B86" s="93">
        <f t="shared" ref="B86:AF86" si="18">IF(B65&lt;0,B65*-1,0)</f>
        <v>424</v>
      </c>
      <c r="C86" s="93">
        <f t="shared" si="18"/>
        <v>374</v>
      </c>
      <c r="D86" s="93">
        <f t="shared" si="18"/>
        <v>406.2</v>
      </c>
      <c r="E86" s="93">
        <f t="shared" si="18"/>
        <v>436</v>
      </c>
      <c r="F86" s="93">
        <f t="shared" si="18"/>
        <v>431</v>
      </c>
      <c r="G86" s="93">
        <f t="shared" si="18"/>
        <v>329</v>
      </c>
      <c r="H86" s="93">
        <f t="shared" si="18"/>
        <v>428</v>
      </c>
      <c r="I86" s="93">
        <f t="shared" si="18"/>
        <v>437</v>
      </c>
      <c r="J86" s="93">
        <f t="shared" si="18"/>
        <v>450</v>
      </c>
      <c r="K86" s="93">
        <f t="shared" si="18"/>
        <v>417</v>
      </c>
      <c r="L86" s="93">
        <f t="shared" si="18"/>
        <v>380</v>
      </c>
      <c r="M86" s="93">
        <f t="shared" si="18"/>
        <v>430</v>
      </c>
      <c r="N86" s="93">
        <f t="shared" si="18"/>
        <v>425</v>
      </c>
      <c r="O86" s="93">
        <f t="shared" si="18"/>
        <v>431</v>
      </c>
      <c r="P86" s="93">
        <f t="shared" si="18"/>
        <v>410</v>
      </c>
      <c r="Q86" s="93">
        <f t="shared" si="18"/>
        <v>405.5</v>
      </c>
      <c r="R86" s="93">
        <f t="shared" si="18"/>
        <v>404.2</v>
      </c>
      <c r="S86" s="93">
        <f t="shared" si="18"/>
        <v>429.6</v>
      </c>
      <c r="T86" s="93">
        <f t="shared" si="18"/>
        <v>405</v>
      </c>
      <c r="U86" s="93">
        <f t="shared" si="18"/>
        <v>412</v>
      </c>
      <c r="V86" s="93">
        <f t="shared" si="18"/>
        <v>406.8</v>
      </c>
      <c r="W86" s="93">
        <f t="shared" si="18"/>
        <v>399</v>
      </c>
      <c r="X86" s="93">
        <f t="shared" si="18"/>
        <v>351</v>
      </c>
      <c r="Y86" s="93">
        <f t="shared" si="18"/>
        <v>330</v>
      </c>
      <c r="Z86" s="93">
        <f t="shared" si="18"/>
        <v>352</v>
      </c>
      <c r="AA86" s="93">
        <f t="shared" si="18"/>
        <v>340</v>
      </c>
      <c r="AB86" s="93">
        <f t="shared" si="18"/>
        <v>392</v>
      </c>
      <c r="AC86" s="93">
        <f t="shared" si="18"/>
        <v>389</v>
      </c>
      <c r="AD86" s="93">
        <f t="shared" si="18"/>
        <v>389</v>
      </c>
      <c r="AE86" s="93">
        <f t="shared" si="18"/>
        <v>369</v>
      </c>
      <c r="AF86" s="93">
        <f t="shared" si="18"/>
        <v>0</v>
      </c>
      <c r="AG86" s="92"/>
      <c r="AH86" s="20">
        <f t="shared" si="10"/>
        <v>450</v>
      </c>
      <c r="AI86" s="19">
        <f t="shared" si="11"/>
        <v>0</v>
      </c>
    </row>
    <row r="87" spans="1:37" x14ac:dyDescent="0.25">
      <c r="A87" s="91" t="s">
        <v>152</v>
      </c>
      <c r="B87" s="93">
        <f t="shared" ref="B87:AF87" si="19">IF(B63&lt;0,B63*-1,0)</f>
        <v>0</v>
      </c>
      <c r="C87" s="93">
        <f t="shared" si="19"/>
        <v>0</v>
      </c>
      <c r="D87" s="93">
        <f t="shared" si="19"/>
        <v>0</v>
      </c>
      <c r="E87" s="93">
        <f t="shared" si="19"/>
        <v>0</v>
      </c>
      <c r="F87" s="93">
        <f t="shared" si="19"/>
        <v>0</v>
      </c>
      <c r="G87" s="93">
        <f t="shared" si="19"/>
        <v>0</v>
      </c>
      <c r="H87" s="93">
        <f t="shared" si="19"/>
        <v>0</v>
      </c>
      <c r="I87" s="93">
        <f t="shared" si="19"/>
        <v>0</v>
      </c>
      <c r="J87" s="93">
        <f t="shared" si="19"/>
        <v>0</v>
      </c>
      <c r="K87" s="93">
        <f t="shared" si="19"/>
        <v>0</v>
      </c>
      <c r="L87" s="93">
        <f t="shared" si="19"/>
        <v>0</v>
      </c>
      <c r="M87" s="93">
        <f t="shared" si="19"/>
        <v>0</v>
      </c>
      <c r="N87" s="93">
        <f t="shared" si="19"/>
        <v>0</v>
      </c>
      <c r="O87" s="93">
        <f t="shared" si="19"/>
        <v>0</v>
      </c>
      <c r="P87" s="93">
        <f t="shared" si="19"/>
        <v>0</v>
      </c>
      <c r="Q87" s="93">
        <f t="shared" si="19"/>
        <v>0</v>
      </c>
      <c r="R87" s="93">
        <f t="shared" si="19"/>
        <v>0</v>
      </c>
      <c r="S87" s="93">
        <f t="shared" si="19"/>
        <v>0</v>
      </c>
      <c r="T87" s="93">
        <f t="shared" si="19"/>
        <v>0</v>
      </c>
      <c r="U87" s="93">
        <f t="shared" si="19"/>
        <v>0</v>
      </c>
      <c r="V87" s="93">
        <f t="shared" si="19"/>
        <v>0</v>
      </c>
      <c r="W87" s="93">
        <f t="shared" si="19"/>
        <v>0</v>
      </c>
      <c r="X87" s="93">
        <f t="shared" si="19"/>
        <v>0</v>
      </c>
      <c r="Y87" s="93">
        <f t="shared" si="19"/>
        <v>0</v>
      </c>
      <c r="Z87" s="93">
        <f t="shared" si="19"/>
        <v>0</v>
      </c>
      <c r="AA87" s="93">
        <f t="shared" si="19"/>
        <v>0</v>
      </c>
      <c r="AB87" s="93">
        <f t="shared" si="19"/>
        <v>0</v>
      </c>
      <c r="AC87" s="93">
        <f t="shared" si="19"/>
        <v>0</v>
      </c>
      <c r="AD87" s="93">
        <f t="shared" si="19"/>
        <v>0</v>
      </c>
      <c r="AE87" s="93">
        <f t="shared" si="19"/>
        <v>0</v>
      </c>
      <c r="AF87" s="93">
        <f t="shared" si="19"/>
        <v>0</v>
      </c>
      <c r="AG87" s="92"/>
      <c r="AH87" s="20">
        <f t="shared" si="10"/>
        <v>0</v>
      </c>
      <c r="AI87" s="19">
        <f t="shared" si="11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10"/>
        <v>0</v>
      </c>
      <c r="AI88" s="19">
        <f t="shared" si="11"/>
        <v>0</v>
      </c>
    </row>
    <row r="89" spans="1:37" ht="15.75" thickBot="1" x14ac:dyDescent="0.3">
      <c r="A89" s="88" t="s">
        <v>150</v>
      </c>
      <c r="B89" s="86">
        <f t="shared" ref="B89:AF89" si="20">SUM(B83:B88)</f>
        <v>424</v>
      </c>
      <c r="C89" s="86">
        <f t="shared" si="20"/>
        <v>374</v>
      </c>
      <c r="D89" s="86">
        <f t="shared" si="20"/>
        <v>406.2</v>
      </c>
      <c r="E89" s="86">
        <f t="shared" si="20"/>
        <v>436</v>
      </c>
      <c r="F89" s="86">
        <f t="shared" si="20"/>
        <v>431</v>
      </c>
      <c r="G89" s="86">
        <f t="shared" si="20"/>
        <v>329</v>
      </c>
      <c r="H89" s="86">
        <f t="shared" si="20"/>
        <v>428</v>
      </c>
      <c r="I89" s="86">
        <f t="shared" si="20"/>
        <v>437</v>
      </c>
      <c r="J89" s="86">
        <f t="shared" si="20"/>
        <v>450</v>
      </c>
      <c r="K89" s="86">
        <f t="shared" si="20"/>
        <v>417</v>
      </c>
      <c r="L89" s="86">
        <f t="shared" si="20"/>
        <v>380</v>
      </c>
      <c r="M89" s="86">
        <f t="shared" si="20"/>
        <v>430</v>
      </c>
      <c r="N89" s="86">
        <f t="shared" si="20"/>
        <v>425</v>
      </c>
      <c r="O89" s="86">
        <f t="shared" si="20"/>
        <v>431</v>
      </c>
      <c r="P89" s="86">
        <f t="shared" si="20"/>
        <v>410</v>
      </c>
      <c r="Q89" s="86">
        <f t="shared" si="20"/>
        <v>405.5</v>
      </c>
      <c r="R89" s="86">
        <f t="shared" si="20"/>
        <v>404.2</v>
      </c>
      <c r="S89" s="86">
        <f t="shared" si="20"/>
        <v>429.6</v>
      </c>
      <c r="T89" s="86">
        <f t="shared" si="20"/>
        <v>405</v>
      </c>
      <c r="U89" s="86">
        <f t="shared" si="20"/>
        <v>412</v>
      </c>
      <c r="V89" s="86">
        <f t="shared" si="20"/>
        <v>406.8</v>
      </c>
      <c r="W89" s="86">
        <f t="shared" si="20"/>
        <v>399</v>
      </c>
      <c r="X89" s="86">
        <f t="shared" si="20"/>
        <v>351</v>
      </c>
      <c r="Y89" s="86">
        <f t="shared" si="20"/>
        <v>330</v>
      </c>
      <c r="Z89" s="86">
        <f t="shared" si="20"/>
        <v>352</v>
      </c>
      <c r="AA89" s="86">
        <f t="shared" si="20"/>
        <v>340</v>
      </c>
      <c r="AB89" s="86">
        <f t="shared" si="20"/>
        <v>392</v>
      </c>
      <c r="AC89" s="86">
        <f t="shared" si="20"/>
        <v>389</v>
      </c>
      <c r="AD89" s="86">
        <f t="shared" si="20"/>
        <v>389</v>
      </c>
      <c r="AE89" s="86">
        <f t="shared" si="20"/>
        <v>369</v>
      </c>
      <c r="AF89" s="86">
        <f t="shared" si="20"/>
        <v>0</v>
      </c>
      <c r="AG89" s="85"/>
      <c r="AH89" s="20">
        <f t="shared" si="10"/>
        <v>450</v>
      </c>
      <c r="AI89" s="19">
        <f t="shared" si="11"/>
        <v>0</v>
      </c>
      <c r="AK89" s="41"/>
    </row>
    <row r="90" spans="1:37" ht="15.75" thickBot="1" x14ac:dyDescent="0.3">
      <c r="A90" s="87" t="s">
        <v>149</v>
      </c>
      <c r="B90" s="86">
        <f t="shared" ref="B90:AF90" si="21">B74-B89</f>
        <v>-424</v>
      </c>
      <c r="C90" s="86">
        <f t="shared" si="21"/>
        <v>-374</v>
      </c>
      <c r="D90" s="86">
        <f t="shared" si="21"/>
        <v>-406.2</v>
      </c>
      <c r="E90" s="86">
        <f t="shared" si="21"/>
        <v>-436</v>
      </c>
      <c r="F90" s="86">
        <f t="shared" si="21"/>
        <v>-431</v>
      </c>
      <c r="G90" s="86">
        <f t="shared" si="21"/>
        <v>-329</v>
      </c>
      <c r="H90" s="86">
        <f t="shared" si="21"/>
        <v>-428</v>
      </c>
      <c r="I90" s="86">
        <f t="shared" si="21"/>
        <v>-437</v>
      </c>
      <c r="J90" s="86">
        <f t="shared" si="21"/>
        <v>-450</v>
      </c>
      <c r="K90" s="86">
        <f t="shared" si="21"/>
        <v>-417</v>
      </c>
      <c r="L90" s="86">
        <f t="shared" si="21"/>
        <v>-380</v>
      </c>
      <c r="M90" s="86">
        <f t="shared" si="21"/>
        <v>-430</v>
      </c>
      <c r="N90" s="86">
        <f t="shared" si="21"/>
        <v>-425</v>
      </c>
      <c r="O90" s="86">
        <f t="shared" si="21"/>
        <v>-431</v>
      </c>
      <c r="P90" s="86">
        <f t="shared" si="21"/>
        <v>-410</v>
      </c>
      <c r="Q90" s="86">
        <f t="shared" si="21"/>
        <v>-405.5</v>
      </c>
      <c r="R90" s="86">
        <f t="shared" si="21"/>
        <v>-404.2</v>
      </c>
      <c r="S90" s="86">
        <f t="shared" si="21"/>
        <v>-429.6</v>
      </c>
      <c r="T90" s="86">
        <f t="shared" si="21"/>
        <v>-405</v>
      </c>
      <c r="U90" s="86">
        <f t="shared" si="21"/>
        <v>-412</v>
      </c>
      <c r="V90" s="86">
        <f t="shared" si="21"/>
        <v>-406.8</v>
      </c>
      <c r="W90" s="86">
        <f t="shared" si="21"/>
        <v>-399</v>
      </c>
      <c r="X90" s="86">
        <f t="shared" si="21"/>
        <v>-351</v>
      </c>
      <c r="Y90" s="86">
        <f t="shared" si="21"/>
        <v>-330</v>
      </c>
      <c r="Z90" s="86">
        <f t="shared" si="21"/>
        <v>-352</v>
      </c>
      <c r="AA90" s="86">
        <f t="shared" si="21"/>
        <v>-340</v>
      </c>
      <c r="AB90" s="86">
        <f t="shared" si="21"/>
        <v>-392</v>
      </c>
      <c r="AC90" s="86">
        <f t="shared" si="21"/>
        <v>-389</v>
      </c>
      <c r="AD90" s="86">
        <f t="shared" si="21"/>
        <v>-389</v>
      </c>
      <c r="AE90" s="86">
        <f t="shared" si="21"/>
        <v>-369</v>
      </c>
      <c r="AF90" s="86">
        <f t="shared" si="21"/>
        <v>0</v>
      </c>
      <c r="AG90" s="85"/>
      <c r="AH90" s="20">
        <f t="shared" si="10"/>
        <v>0</v>
      </c>
      <c r="AI90" s="19">
        <f t="shared" si="11"/>
        <v>-450</v>
      </c>
    </row>
    <row r="91" spans="1:37" x14ac:dyDescent="0.25">
      <c r="A91" s="47" t="s">
        <v>148</v>
      </c>
      <c r="B91" s="84">
        <v>50.02</v>
      </c>
      <c r="C91" s="84">
        <v>50.029000000000003</v>
      </c>
      <c r="D91" s="84">
        <v>50.037999999999997</v>
      </c>
      <c r="E91" s="84">
        <v>50.034999999999997</v>
      </c>
      <c r="F91" s="84">
        <v>49.978000000000002</v>
      </c>
      <c r="G91" s="84">
        <v>49.988</v>
      </c>
      <c r="H91" s="84">
        <v>50.042999999999999</v>
      </c>
      <c r="I91" s="84">
        <v>50.037999999999997</v>
      </c>
      <c r="J91" s="84">
        <v>50.04</v>
      </c>
      <c r="K91" s="84">
        <v>50.02</v>
      </c>
      <c r="L91" s="84">
        <v>50.01</v>
      </c>
      <c r="M91" s="84">
        <v>50.05</v>
      </c>
      <c r="N91" s="84">
        <v>50</v>
      </c>
      <c r="O91" s="84">
        <v>49.99</v>
      </c>
      <c r="P91" s="84">
        <v>49.98</v>
      </c>
      <c r="Q91" s="84">
        <v>50.02</v>
      </c>
      <c r="R91" s="84">
        <v>50.042000000000002</v>
      </c>
      <c r="S91" s="84">
        <v>49.99</v>
      </c>
      <c r="T91" s="84">
        <v>50.051000000000002</v>
      </c>
      <c r="U91" s="84">
        <v>49.91</v>
      </c>
      <c r="V91" s="84">
        <v>49.98</v>
      </c>
      <c r="W91" s="84">
        <v>50.024999999999999</v>
      </c>
      <c r="X91" s="84">
        <v>50.07</v>
      </c>
      <c r="Y91" s="84">
        <v>50.1</v>
      </c>
      <c r="Z91" s="84">
        <v>50.04</v>
      </c>
      <c r="AA91" s="84">
        <v>50.1</v>
      </c>
      <c r="AB91" s="84">
        <v>50.075000000000003</v>
      </c>
      <c r="AC91" s="84">
        <v>49.957000000000001</v>
      </c>
      <c r="AD91" s="84">
        <v>50.031999999999996</v>
      </c>
      <c r="AE91" s="84">
        <v>50.039000000000001</v>
      </c>
      <c r="AF91" s="84"/>
      <c r="AG91" s="83"/>
      <c r="AH91" s="20">
        <f t="shared" si="10"/>
        <v>50.1</v>
      </c>
      <c r="AI91" s="19">
        <f t="shared" si="11"/>
        <v>49.91</v>
      </c>
    </row>
    <row r="92" spans="1:37" x14ac:dyDescent="0.25">
      <c r="A92" s="44" t="s">
        <v>147</v>
      </c>
      <c r="B92" s="80">
        <v>126.8</v>
      </c>
      <c r="C92" s="80">
        <v>126.6</v>
      </c>
      <c r="D92" s="80">
        <v>126.1</v>
      </c>
      <c r="E92" s="80">
        <v>127.3</v>
      </c>
      <c r="F92" s="80">
        <v>127.6</v>
      </c>
      <c r="G92" s="80">
        <v>127.6</v>
      </c>
      <c r="H92" s="80">
        <v>127.6</v>
      </c>
      <c r="I92" s="80">
        <v>128.1</v>
      </c>
      <c r="J92" s="80">
        <v>128.1</v>
      </c>
      <c r="K92" s="80">
        <v>126</v>
      </c>
      <c r="L92" s="80">
        <v>126</v>
      </c>
      <c r="M92" s="80">
        <v>125</v>
      </c>
      <c r="N92" s="80">
        <v>125</v>
      </c>
      <c r="O92" s="80">
        <v>125</v>
      </c>
      <c r="P92" s="80">
        <v>124.4</v>
      </c>
      <c r="Q92" s="80">
        <v>124.5</v>
      </c>
      <c r="R92" s="80">
        <v>125.4</v>
      </c>
      <c r="S92" s="80">
        <v>125</v>
      </c>
      <c r="T92" s="80">
        <v>126.3</v>
      </c>
      <c r="U92" s="80">
        <v>125.7</v>
      </c>
      <c r="V92" s="80">
        <v>126.7</v>
      </c>
      <c r="W92" s="80">
        <v>127.3</v>
      </c>
      <c r="X92" s="80">
        <v>125.9</v>
      </c>
      <c r="Y92" s="80">
        <v>125.2</v>
      </c>
      <c r="Z92" s="80">
        <v>126</v>
      </c>
      <c r="AA92" s="80">
        <v>125.2</v>
      </c>
      <c r="AB92" s="80">
        <v>125.6</v>
      </c>
      <c r="AC92" s="80">
        <v>125.5</v>
      </c>
      <c r="AD92" s="80">
        <v>125.8</v>
      </c>
      <c r="AE92" s="80">
        <v>127.4</v>
      </c>
      <c r="AF92" s="80"/>
      <c r="AG92" s="79"/>
      <c r="AH92" s="20">
        <f t="shared" si="10"/>
        <v>128.1</v>
      </c>
      <c r="AI92" s="19">
        <f t="shared" si="11"/>
        <v>124.4</v>
      </c>
    </row>
    <row r="93" spans="1:37" x14ac:dyDescent="0.25">
      <c r="A93" s="44" t="s">
        <v>146</v>
      </c>
      <c r="B93" s="80">
        <v>129</v>
      </c>
      <c r="C93" s="80">
        <v>131.4</v>
      </c>
      <c r="D93" s="80">
        <v>131</v>
      </c>
      <c r="E93" s="80">
        <v>131.9</v>
      </c>
      <c r="F93" s="80">
        <v>132.1</v>
      </c>
      <c r="G93" s="80">
        <v>132.1</v>
      </c>
      <c r="H93" s="80">
        <v>132.1</v>
      </c>
      <c r="I93" s="80">
        <v>131.80000000000001</v>
      </c>
      <c r="J93" s="80">
        <v>131.80000000000001</v>
      </c>
      <c r="K93" s="80">
        <v>130</v>
      </c>
      <c r="L93" s="80">
        <v>129.4</v>
      </c>
      <c r="M93" s="80">
        <v>129</v>
      </c>
      <c r="N93" s="80">
        <v>129</v>
      </c>
      <c r="O93" s="80">
        <v>129</v>
      </c>
      <c r="P93" s="80">
        <v>128.1</v>
      </c>
      <c r="Q93" s="80">
        <v>128.30000000000001</v>
      </c>
      <c r="R93" s="80">
        <v>129.19999999999999</v>
      </c>
      <c r="S93" s="80">
        <v>128.69999999999999</v>
      </c>
      <c r="T93" s="80">
        <v>130</v>
      </c>
      <c r="U93" s="80">
        <v>129</v>
      </c>
      <c r="V93" s="80">
        <v>130.19999999999999</v>
      </c>
      <c r="W93" s="80">
        <v>130.5</v>
      </c>
      <c r="X93" s="80">
        <v>128.5</v>
      </c>
      <c r="Y93" s="80">
        <v>128.1</v>
      </c>
      <c r="Z93" s="80">
        <v>128.1</v>
      </c>
      <c r="AA93" s="80">
        <v>129.1</v>
      </c>
      <c r="AB93" s="80">
        <v>129.19999999999999</v>
      </c>
      <c r="AC93" s="80">
        <v>129.19999999999999</v>
      </c>
      <c r="AD93" s="80">
        <v>129.69999999999999</v>
      </c>
      <c r="AE93" s="80">
        <v>131.19999999999999</v>
      </c>
      <c r="AF93" s="80"/>
      <c r="AG93" s="79"/>
      <c r="AH93" s="20">
        <f t="shared" si="10"/>
        <v>132.1</v>
      </c>
      <c r="AI93" s="19">
        <f t="shared" si="11"/>
        <v>128.1</v>
      </c>
    </row>
    <row r="94" spans="1:37" x14ac:dyDescent="0.25">
      <c r="A94" s="44" t="s">
        <v>145</v>
      </c>
      <c r="B94" s="80">
        <v>129</v>
      </c>
      <c r="C94" s="80">
        <v>128.9</v>
      </c>
      <c r="D94" s="80">
        <v>129.9</v>
      </c>
      <c r="E94" s="80">
        <v>129</v>
      </c>
      <c r="F94" s="80">
        <v>130.69999999999999</v>
      </c>
      <c r="G94" s="80">
        <v>130.69999999999999</v>
      </c>
      <c r="H94" s="80">
        <v>130.69999999999999</v>
      </c>
      <c r="I94" s="80">
        <v>131.5</v>
      </c>
      <c r="J94" s="80">
        <v>131.5</v>
      </c>
      <c r="K94" s="80">
        <v>128</v>
      </c>
      <c r="L94" s="80">
        <v>128</v>
      </c>
      <c r="M94" s="80">
        <v>130</v>
      </c>
      <c r="N94" s="80">
        <v>130</v>
      </c>
      <c r="O94" s="80">
        <v>130</v>
      </c>
      <c r="P94" s="80">
        <v>128.9</v>
      </c>
      <c r="Q94" s="80">
        <v>131.19999999999999</v>
      </c>
      <c r="R94" s="80">
        <v>129</v>
      </c>
      <c r="S94" s="80">
        <v>129.5</v>
      </c>
      <c r="T94" s="80">
        <v>130.1</v>
      </c>
      <c r="U94" s="80">
        <v>128.9</v>
      </c>
      <c r="V94" s="80">
        <v>128.69999999999999</v>
      </c>
      <c r="W94" s="80">
        <v>128.19999999999999</v>
      </c>
      <c r="X94" s="80">
        <v>128.19999999999999</v>
      </c>
      <c r="Y94" s="80">
        <v>128.6</v>
      </c>
      <c r="Z94" s="80">
        <v>128.6</v>
      </c>
      <c r="AA94" s="80">
        <v>131.1</v>
      </c>
      <c r="AB94" s="80">
        <v>128.1</v>
      </c>
      <c r="AC94" s="80">
        <v>127</v>
      </c>
      <c r="AD94" s="80">
        <v>128.5</v>
      </c>
      <c r="AE94" s="80">
        <v>130.4</v>
      </c>
      <c r="AF94" s="80"/>
      <c r="AG94" s="79"/>
      <c r="AH94" s="20">
        <f t="shared" si="10"/>
        <v>131.5</v>
      </c>
      <c r="AI94" s="19">
        <f t="shared" si="11"/>
        <v>127</v>
      </c>
    </row>
    <row r="95" spans="1:37" x14ac:dyDescent="0.25">
      <c r="A95" s="82" t="s">
        <v>144</v>
      </c>
      <c r="B95" s="80">
        <v>132</v>
      </c>
      <c r="C95" s="80">
        <v>132.6</v>
      </c>
      <c r="D95" s="80">
        <v>133.19999999999999</v>
      </c>
      <c r="E95" s="80">
        <v>131.5</v>
      </c>
      <c r="F95" s="80">
        <v>133.19999999999999</v>
      </c>
      <c r="G95" s="80">
        <v>133.19999999999999</v>
      </c>
      <c r="H95" s="80">
        <v>133.19999999999999</v>
      </c>
      <c r="I95" s="80">
        <v>133.4</v>
      </c>
      <c r="J95" s="80">
        <v>133.4</v>
      </c>
      <c r="K95" s="80">
        <v>131.69999999999999</v>
      </c>
      <c r="L95" s="80">
        <v>131</v>
      </c>
      <c r="M95" s="80">
        <v>132</v>
      </c>
      <c r="N95" s="80">
        <v>132</v>
      </c>
      <c r="O95" s="80">
        <v>132</v>
      </c>
      <c r="P95" s="80">
        <v>132.6</v>
      </c>
      <c r="Q95" s="80">
        <v>134.5</v>
      </c>
      <c r="R95" s="80">
        <v>132.4</v>
      </c>
      <c r="S95" s="80">
        <v>133.30000000000001</v>
      </c>
      <c r="T95" s="80">
        <v>132.1</v>
      </c>
      <c r="U95" s="80">
        <v>131.4</v>
      </c>
      <c r="V95" s="80">
        <v>130.9</v>
      </c>
      <c r="W95" s="80">
        <v>131.4</v>
      </c>
      <c r="X95" s="80">
        <v>130.9</v>
      </c>
      <c r="Y95" s="80">
        <v>131.4</v>
      </c>
      <c r="Z95" s="80">
        <v>131.4</v>
      </c>
      <c r="AA95" s="80">
        <v>134</v>
      </c>
      <c r="AB95" s="80">
        <v>132</v>
      </c>
      <c r="AC95" s="80">
        <v>131.1</v>
      </c>
      <c r="AD95" s="80">
        <v>132.4</v>
      </c>
      <c r="AE95" s="80">
        <v>134.4</v>
      </c>
      <c r="AF95" s="80"/>
      <c r="AG95" s="79"/>
      <c r="AH95" s="20">
        <f t="shared" si="10"/>
        <v>134.5</v>
      </c>
      <c r="AI95" s="19">
        <f t="shared" si="11"/>
        <v>130.9</v>
      </c>
    </row>
    <row r="96" spans="1:37" x14ac:dyDescent="0.25">
      <c r="A96" s="82" t="s">
        <v>143</v>
      </c>
      <c r="B96" s="66">
        <v>132</v>
      </c>
      <c r="C96" s="66">
        <v>131.4</v>
      </c>
      <c r="D96" s="66">
        <v>129.9</v>
      </c>
      <c r="E96" s="66">
        <v>134.19999999999999</v>
      </c>
      <c r="F96" s="66">
        <v>132.5</v>
      </c>
      <c r="G96" s="66">
        <v>132.5</v>
      </c>
      <c r="H96" s="66">
        <v>132.5</v>
      </c>
      <c r="I96" s="66">
        <v>134.1</v>
      </c>
      <c r="J96" s="66">
        <v>134.1</v>
      </c>
      <c r="K96" s="66">
        <v>132</v>
      </c>
      <c r="L96" s="66">
        <v>130</v>
      </c>
      <c r="M96" s="66">
        <v>133</v>
      </c>
      <c r="N96" s="66">
        <v>133</v>
      </c>
      <c r="O96" s="66">
        <v>133</v>
      </c>
      <c r="P96" s="66">
        <v>130.69999999999999</v>
      </c>
      <c r="Q96" s="66">
        <v>129.6</v>
      </c>
      <c r="R96" s="66">
        <v>131.6</v>
      </c>
      <c r="S96" s="66">
        <v>130.69999999999999</v>
      </c>
      <c r="T96" s="66">
        <v>133.6</v>
      </c>
      <c r="U96" s="66">
        <v>133.9</v>
      </c>
      <c r="V96" s="66">
        <v>135.19999999999999</v>
      </c>
      <c r="W96" s="66">
        <v>133.30000000000001</v>
      </c>
      <c r="X96" s="66">
        <v>131.80000000000001</v>
      </c>
      <c r="Y96" s="66">
        <v>146.69999999999999</v>
      </c>
      <c r="Z96" s="66">
        <v>146.69999999999999</v>
      </c>
      <c r="AA96" s="66">
        <v>146.69999999999999</v>
      </c>
      <c r="AB96" s="66">
        <v>130.4</v>
      </c>
      <c r="AC96" s="66">
        <v>130.19999999999999</v>
      </c>
      <c r="AD96" s="66">
        <v>133.30000000000001</v>
      </c>
      <c r="AE96" s="66">
        <v>133.6</v>
      </c>
      <c r="AF96" s="66"/>
      <c r="AG96" s="81"/>
      <c r="AH96" s="20">
        <f t="shared" si="10"/>
        <v>146.69999999999999</v>
      </c>
      <c r="AI96" s="19">
        <f t="shared" si="11"/>
        <v>129.6</v>
      </c>
    </row>
    <row r="97" spans="1:37" x14ac:dyDescent="0.25">
      <c r="A97" s="44" t="s">
        <v>142</v>
      </c>
      <c r="B97" s="80">
        <v>129</v>
      </c>
      <c r="C97" s="80">
        <v>127.6</v>
      </c>
      <c r="D97" s="80">
        <v>127.1</v>
      </c>
      <c r="E97" s="80">
        <v>133.1</v>
      </c>
      <c r="F97" s="80">
        <v>130</v>
      </c>
      <c r="G97" s="80">
        <v>130</v>
      </c>
      <c r="H97" s="80">
        <v>130</v>
      </c>
      <c r="I97" s="80">
        <v>134.9</v>
      </c>
      <c r="J97" s="80">
        <v>134.9</v>
      </c>
      <c r="K97" s="80">
        <v>130</v>
      </c>
      <c r="L97" s="80">
        <v>127</v>
      </c>
      <c r="M97" s="80">
        <v>131</v>
      </c>
      <c r="N97" s="80">
        <v>131</v>
      </c>
      <c r="O97" s="80">
        <v>131</v>
      </c>
      <c r="P97" s="80">
        <v>126.4</v>
      </c>
      <c r="Q97" s="80">
        <v>125.1</v>
      </c>
      <c r="R97" s="80">
        <v>126.1</v>
      </c>
      <c r="S97" s="80">
        <v>130.5</v>
      </c>
      <c r="T97" s="80">
        <v>130.69999999999999</v>
      </c>
      <c r="U97" s="80">
        <v>128.9</v>
      </c>
      <c r="V97" s="80">
        <v>132.19999999999999</v>
      </c>
      <c r="W97" s="80">
        <v>131.9</v>
      </c>
      <c r="X97" s="80">
        <v>129.6</v>
      </c>
      <c r="Y97" s="80">
        <v>120.1</v>
      </c>
      <c r="Z97" s="80">
        <v>120.1</v>
      </c>
      <c r="AA97" s="80">
        <v>120.1</v>
      </c>
      <c r="AB97" s="80">
        <v>124.6</v>
      </c>
      <c r="AC97" s="80">
        <v>124.2</v>
      </c>
      <c r="AD97" s="80">
        <v>131.69999999999999</v>
      </c>
      <c r="AE97" s="80">
        <v>132.69999999999999</v>
      </c>
      <c r="AF97" s="80"/>
      <c r="AG97" s="79"/>
      <c r="AH97" s="20">
        <f t="shared" si="10"/>
        <v>134.9</v>
      </c>
      <c r="AI97" s="19">
        <f t="shared" si="11"/>
        <v>120.1</v>
      </c>
    </row>
    <row r="98" spans="1:37" ht="15.75" thickBot="1" x14ac:dyDescent="0.3">
      <c r="A98" s="44" t="s">
        <v>141</v>
      </c>
      <c r="B98" s="77">
        <v>65</v>
      </c>
      <c r="C98" s="77">
        <v>66.400000000000006</v>
      </c>
      <c r="D98" s="77">
        <v>66.099999999999994</v>
      </c>
      <c r="E98" s="77">
        <v>66.5</v>
      </c>
      <c r="F98" s="77">
        <v>66.599999999999994</v>
      </c>
      <c r="G98" s="77">
        <v>66.5</v>
      </c>
      <c r="H98" s="77">
        <v>66.5</v>
      </c>
      <c r="I98" s="77">
        <v>66.3</v>
      </c>
      <c r="J98" s="77">
        <v>66.3</v>
      </c>
      <c r="K98" s="77">
        <v>65.3</v>
      </c>
      <c r="L98" s="77">
        <v>65.2</v>
      </c>
      <c r="M98" s="77">
        <v>65</v>
      </c>
      <c r="N98" s="77">
        <v>65</v>
      </c>
      <c r="O98" s="77">
        <v>65</v>
      </c>
      <c r="P98" s="77">
        <v>64.5</v>
      </c>
      <c r="Q98" s="77">
        <v>64.8</v>
      </c>
      <c r="R98" s="77">
        <v>65</v>
      </c>
      <c r="S98" s="77">
        <v>64.900000000000006</v>
      </c>
      <c r="T98" s="77">
        <v>65.400000000000006</v>
      </c>
      <c r="U98" s="77">
        <v>65</v>
      </c>
      <c r="V98" s="77">
        <v>65</v>
      </c>
      <c r="W98" s="77">
        <v>65.8</v>
      </c>
      <c r="X98" s="77">
        <v>64.8</v>
      </c>
      <c r="Y98" s="77">
        <v>64.5</v>
      </c>
      <c r="Z98" s="77">
        <v>64.5</v>
      </c>
      <c r="AA98" s="77">
        <v>64.5</v>
      </c>
      <c r="AB98" s="77">
        <v>65.099999999999994</v>
      </c>
      <c r="AC98" s="77">
        <v>65.099999999999994</v>
      </c>
      <c r="AD98" s="77">
        <v>65.400000000000006</v>
      </c>
      <c r="AE98" s="77">
        <v>65.900000000000006</v>
      </c>
      <c r="AF98" s="77"/>
      <c r="AG98" s="76"/>
      <c r="AH98" s="20">
        <f t="shared" si="10"/>
        <v>66.599999999999994</v>
      </c>
      <c r="AI98" s="19">
        <f t="shared" si="11"/>
        <v>64.5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10"/>
        <v>0</v>
      </c>
      <c r="AI99" s="19">
        <f t="shared" si="11"/>
        <v>0</v>
      </c>
    </row>
    <row r="100" spans="1:37" ht="15.75" thickBot="1" x14ac:dyDescent="0.3">
      <c r="A100" s="75" t="s">
        <v>140</v>
      </c>
      <c r="B100" s="74">
        <f t="shared" ref="B100:AF100" si="22">SUM(B15,B20,B22:B23,B48,B50:B51,B53,B55,B101:B105,B127,B133,B139,B148,B150,B162,B169,B172:B173,B180,B182,B184,B188:B190,B192:B194,B199,B205:B206,B208:B210,B218,B223)</f>
        <v>55.499999999999972</v>
      </c>
      <c r="C100" s="74">
        <f t="shared" si="22"/>
        <v>30.839999999999979</v>
      </c>
      <c r="D100" s="74">
        <f t="shared" si="22"/>
        <v>34.939999999999955</v>
      </c>
      <c r="E100" s="74">
        <f t="shared" si="22"/>
        <v>25.739999999999984</v>
      </c>
      <c r="F100" s="74">
        <f t="shared" si="22"/>
        <v>31.539999999999988</v>
      </c>
      <c r="G100" s="74">
        <f t="shared" si="22"/>
        <v>39.539999999999971</v>
      </c>
      <c r="H100" s="74">
        <f t="shared" si="22"/>
        <v>39.539999999999971</v>
      </c>
      <c r="I100" s="74">
        <f t="shared" si="22"/>
        <v>71.339999999999961</v>
      </c>
      <c r="J100" s="74">
        <f t="shared" si="22"/>
        <v>229.83999999999997</v>
      </c>
      <c r="K100" s="74">
        <f t="shared" si="22"/>
        <v>119.33999999999997</v>
      </c>
      <c r="L100" s="74">
        <f t="shared" si="22"/>
        <v>136.33999999999997</v>
      </c>
      <c r="M100" s="74">
        <f t="shared" si="22"/>
        <v>157.33999999999997</v>
      </c>
      <c r="N100" s="74">
        <f t="shared" si="22"/>
        <v>304.64</v>
      </c>
      <c r="O100" s="74">
        <f t="shared" si="22"/>
        <v>125.33999999999997</v>
      </c>
      <c r="P100" s="74">
        <f t="shared" si="22"/>
        <v>125.93999999999998</v>
      </c>
      <c r="Q100" s="74">
        <f t="shared" si="22"/>
        <v>122.5</v>
      </c>
      <c r="R100" s="74">
        <f t="shared" si="22"/>
        <v>119.50000000000001</v>
      </c>
      <c r="S100" s="74">
        <f t="shared" si="22"/>
        <v>108.20000000000002</v>
      </c>
      <c r="T100" s="74">
        <f t="shared" si="22"/>
        <v>178.29999999999998</v>
      </c>
      <c r="U100" s="74">
        <f t="shared" si="22"/>
        <v>108.30000000000001</v>
      </c>
      <c r="V100" s="74">
        <f t="shared" si="22"/>
        <v>114.1</v>
      </c>
      <c r="W100" s="74">
        <f t="shared" si="22"/>
        <v>122.1</v>
      </c>
      <c r="X100" s="74">
        <f t="shared" si="22"/>
        <v>125.09999999999997</v>
      </c>
      <c r="Y100" s="74">
        <f t="shared" si="22"/>
        <v>262.09999999999997</v>
      </c>
      <c r="Z100" s="74">
        <f t="shared" si="22"/>
        <v>262.09999999999997</v>
      </c>
      <c r="AA100" s="74">
        <f t="shared" si="22"/>
        <v>262.09999999999997</v>
      </c>
      <c r="AB100" s="74">
        <f t="shared" si="22"/>
        <v>157.59999999999997</v>
      </c>
      <c r="AC100" s="74">
        <f t="shared" si="22"/>
        <v>124.6</v>
      </c>
      <c r="AD100" s="74">
        <f t="shared" si="22"/>
        <v>112.19999999999999</v>
      </c>
      <c r="AE100" s="74">
        <f t="shared" si="22"/>
        <v>84.799999999999983</v>
      </c>
      <c r="AF100" s="74">
        <f t="shared" si="22"/>
        <v>0</v>
      </c>
      <c r="AG100" s="73"/>
      <c r="AH100" s="20">
        <f t="shared" si="10"/>
        <v>304.64</v>
      </c>
      <c r="AI100" s="19">
        <f t="shared" si="11"/>
        <v>0</v>
      </c>
    </row>
    <row r="101" spans="1:37" x14ac:dyDescent="0.25">
      <c r="A101" s="47" t="s">
        <v>139</v>
      </c>
      <c r="B101" s="72">
        <v>15</v>
      </c>
      <c r="C101" s="72">
        <v>6.2</v>
      </c>
      <c r="D101" s="72">
        <v>7.1</v>
      </c>
      <c r="E101" s="72">
        <v>9.5</v>
      </c>
      <c r="F101" s="72">
        <v>7</v>
      </c>
      <c r="G101" s="72">
        <v>9.1999999999999993</v>
      </c>
      <c r="H101" s="72">
        <v>9.1999999999999993</v>
      </c>
      <c r="I101" s="72">
        <v>9.1999999999999993</v>
      </c>
      <c r="J101" s="72">
        <v>19</v>
      </c>
      <c r="K101" s="72">
        <v>16</v>
      </c>
      <c r="L101" s="72">
        <v>17</v>
      </c>
      <c r="M101" s="72">
        <v>21.5</v>
      </c>
      <c r="N101" s="72">
        <v>20</v>
      </c>
      <c r="O101" s="72">
        <v>16</v>
      </c>
      <c r="P101" s="72">
        <v>13.7</v>
      </c>
      <c r="Q101" s="72">
        <v>18</v>
      </c>
      <c r="R101" s="72">
        <v>15</v>
      </c>
      <c r="S101" s="72">
        <v>22.1</v>
      </c>
      <c r="T101" s="72">
        <v>21.2</v>
      </c>
      <c r="U101" s="72">
        <v>17.399999999999999</v>
      </c>
      <c r="V101" s="72">
        <v>16</v>
      </c>
      <c r="W101" s="72">
        <v>14</v>
      </c>
      <c r="X101" s="72">
        <v>25.9</v>
      </c>
      <c r="Y101" s="72">
        <v>20.8</v>
      </c>
      <c r="Z101" s="72">
        <v>20.8</v>
      </c>
      <c r="AA101" s="72">
        <v>20.8</v>
      </c>
      <c r="AB101" s="72">
        <v>24.5</v>
      </c>
      <c r="AC101" s="72">
        <v>22.3</v>
      </c>
      <c r="AD101" s="72">
        <v>22.9</v>
      </c>
      <c r="AE101" s="72">
        <v>9.6</v>
      </c>
      <c r="AF101" s="72"/>
      <c r="AG101" s="70">
        <v>75</v>
      </c>
      <c r="AH101" s="20">
        <f t="shared" si="10"/>
        <v>25.9</v>
      </c>
      <c r="AI101" s="19">
        <f t="shared" si="11"/>
        <v>6.2</v>
      </c>
    </row>
    <row r="102" spans="1:37" x14ac:dyDescent="0.25">
      <c r="A102" s="44" t="s">
        <v>138</v>
      </c>
      <c r="B102" s="71">
        <v>29</v>
      </c>
      <c r="C102" s="71">
        <v>17.3</v>
      </c>
      <c r="D102" s="71">
        <v>19.7</v>
      </c>
      <c r="E102" s="71">
        <v>22.8</v>
      </c>
      <c r="F102" s="71">
        <v>19.8</v>
      </c>
      <c r="G102" s="71">
        <v>21.9</v>
      </c>
      <c r="H102" s="71">
        <v>21.9</v>
      </c>
      <c r="I102" s="71">
        <v>20.5</v>
      </c>
      <c r="J102" s="71">
        <v>33.6</v>
      </c>
      <c r="K102" s="71">
        <v>29</v>
      </c>
      <c r="L102" s="71">
        <v>28</v>
      </c>
      <c r="M102" s="71">
        <v>35</v>
      </c>
      <c r="N102" s="71">
        <v>32</v>
      </c>
      <c r="O102" s="71">
        <v>30</v>
      </c>
      <c r="P102" s="71">
        <v>27.1</v>
      </c>
      <c r="Q102" s="71">
        <v>32.700000000000003</v>
      </c>
      <c r="R102" s="71">
        <v>30.4</v>
      </c>
      <c r="S102" s="71">
        <v>38.299999999999997</v>
      </c>
      <c r="T102" s="71">
        <v>36</v>
      </c>
      <c r="U102" s="71">
        <v>31.6</v>
      </c>
      <c r="V102" s="71">
        <v>29.6</v>
      </c>
      <c r="W102" s="71">
        <v>25.1</v>
      </c>
      <c r="X102" s="71">
        <v>-41.4</v>
      </c>
      <c r="Y102" s="71">
        <v>33.6</v>
      </c>
      <c r="Z102" s="71">
        <v>33.6</v>
      </c>
      <c r="AA102" s="71">
        <v>33.6</v>
      </c>
      <c r="AB102" s="71">
        <v>42</v>
      </c>
      <c r="AC102" s="71">
        <v>38</v>
      </c>
      <c r="AD102" s="71">
        <v>40.4</v>
      </c>
      <c r="AE102" s="71">
        <v>21.4</v>
      </c>
      <c r="AF102" s="71"/>
      <c r="AG102" s="70">
        <v>240</v>
      </c>
      <c r="AH102" s="20">
        <f t="shared" si="10"/>
        <v>42</v>
      </c>
      <c r="AI102" s="19">
        <f t="shared" si="11"/>
        <v>-41.4</v>
      </c>
    </row>
    <row r="103" spans="1:37" x14ac:dyDescent="0.25">
      <c r="A103" s="44" t="s">
        <v>137</v>
      </c>
      <c r="B103" s="71">
        <v>-140</v>
      </c>
      <c r="C103" s="71">
        <v>-133</v>
      </c>
      <c r="D103" s="71">
        <v>-131</v>
      </c>
      <c r="E103" s="71">
        <v>-144.9</v>
      </c>
      <c r="F103" s="71">
        <v>-134</v>
      </c>
      <c r="G103" s="71">
        <v>-130</v>
      </c>
      <c r="H103" s="71">
        <v>-130</v>
      </c>
      <c r="I103" s="71">
        <v>-101</v>
      </c>
      <c r="J103" s="71">
        <v>33.6</v>
      </c>
      <c r="K103" s="71">
        <v>-77</v>
      </c>
      <c r="L103" s="71">
        <v>-60</v>
      </c>
      <c r="M103" s="71">
        <v>-66</v>
      </c>
      <c r="N103" s="71">
        <v>80</v>
      </c>
      <c r="O103" s="71">
        <v>-100</v>
      </c>
      <c r="P103" s="71">
        <f>-47.9-51.3</f>
        <v>-99.199999999999989</v>
      </c>
      <c r="Q103" s="71">
        <f>-53.1-56.5</f>
        <v>-109.6</v>
      </c>
      <c r="R103" s="71">
        <f>-53.1-56.9</f>
        <v>-110</v>
      </c>
      <c r="S103" s="71">
        <f>-64-68</f>
        <v>-132</v>
      </c>
      <c r="T103" s="71">
        <f>-46-49</f>
        <v>-95</v>
      </c>
      <c r="U103" s="71">
        <f>-61.8-61.4</f>
        <v>-123.19999999999999</v>
      </c>
      <c r="V103" s="71">
        <v>-100</v>
      </c>
      <c r="W103" s="71">
        <v>-83</v>
      </c>
      <c r="X103" s="71">
        <f>-28.3-31.4</f>
        <v>-59.7</v>
      </c>
      <c r="Y103" s="71">
        <v>15</v>
      </c>
      <c r="Z103" s="71">
        <v>15</v>
      </c>
      <c r="AA103" s="71">
        <v>15</v>
      </c>
      <c r="AB103" s="71">
        <f>-45.2-49</f>
        <v>-94.2</v>
      </c>
      <c r="AC103" s="71">
        <f>-51-54</f>
        <v>-105</v>
      </c>
      <c r="AD103" s="71">
        <f>-58-61</f>
        <v>-119</v>
      </c>
      <c r="AE103" s="71">
        <f>-46.2-49</f>
        <v>-95.2</v>
      </c>
      <c r="AF103" s="71"/>
      <c r="AG103" s="70">
        <v>240</v>
      </c>
      <c r="AH103" s="20">
        <f t="shared" si="10"/>
        <v>80</v>
      </c>
      <c r="AI103" s="19">
        <f t="shared" si="11"/>
        <v>-144.9</v>
      </c>
    </row>
    <row r="104" spans="1:37" x14ac:dyDescent="0.25">
      <c r="A104" s="44" t="s">
        <v>136</v>
      </c>
      <c r="B104" s="71">
        <v>-2</v>
      </c>
      <c r="C104" s="71">
        <v>-3</v>
      </c>
      <c r="D104" s="71">
        <v>-4.2</v>
      </c>
      <c r="E104" s="71">
        <v>-5</v>
      </c>
      <c r="F104" s="71">
        <v>-2.6</v>
      </c>
      <c r="G104" s="71">
        <v>-2.9</v>
      </c>
      <c r="H104" s="71">
        <v>-2.9</v>
      </c>
      <c r="I104" s="71">
        <v>1.3</v>
      </c>
      <c r="J104" s="71">
        <v>2.2999999999999998</v>
      </c>
      <c r="K104" s="71">
        <v>10</v>
      </c>
      <c r="L104" s="71">
        <v>10</v>
      </c>
      <c r="M104" s="71">
        <v>11.6</v>
      </c>
      <c r="N104" s="71">
        <v>10</v>
      </c>
      <c r="O104" s="71">
        <v>8</v>
      </c>
      <c r="P104" s="71">
        <v>8.1999999999999993</v>
      </c>
      <c r="Q104" s="71">
        <v>7.6</v>
      </c>
      <c r="R104" s="71">
        <v>5.7</v>
      </c>
      <c r="S104" s="71">
        <v>2.4</v>
      </c>
      <c r="T104" s="71">
        <v>6.6</v>
      </c>
      <c r="U104" s="71">
        <v>5.0999999999999996</v>
      </c>
      <c r="V104" s="71">
        <v>6</v>
      </c>
      <c r="W104" s="71">
        <v>9.4</v>
      </c>
      <c r="X104" s="71">
        <v>13.7</v>
      </c>
      <c r="Y104" s="71">
        <v>15.4</v>
      </c>
      <c r="Z104" s="71">
        <v>15.4</v>
      </c>
      <c r="AA104" s="71">
        <v>15.4</v>
      </c>
      <c r="AB104" s="71">
        <v>8</v>
      </c>
      <c r="AC104" s="71">
        <v>6.5</v>
      </c>
      <c r="AD104" s="71">
        <v>5.0999999999999996</v>
      </c>
      <c r="AE104" s="71">
        <v>5.3</v>
      </c>
      <c r="AF104" s="71"/>
      <c r="AG104" s="70">
        <v>60</v>
      </c>
      <c r="AH104" s="20">
        <f t="shared" si="10"/>
        <v>15.4</v>
      </c>
      <c r="AI104" s="19">
        <f t="shared" si="11"/>
        <v>-5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32.1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/>
      <c r="AG105" s="69">
        <v>120</v>
      </c>
      <c r="AH105" s="20">
        <f t="shared" si="10"/>
        <v>32.1</v>
      </c>
      <c r="AI105" s="19">
        <f t="shared" si="11"/>
        <v>0</v>
      </c>
    </row>
    <row r="106" spans="1:37" x14ac:dyDescent="0.25">
      <c r="A106" s="40" t="s">
        <v>134</v>
      </c>
      <c r="B106" s="68">
        <v>2</v>
      </c>
      <c r="C106" s="68">
        <v>15.2</v>
      </c>
      <c r="D106" s="68">
        <v>9.9</v>
      </c>
      <c r="E106" s="68">
        <v>-3</v>
      </c>
      <c r="F106" s="68">
        <v>2.6</v>
      </c>
      <c r="G106" s="68">
        <v>6.5</v>
      </c>
      <c r="H106" s="68">
        <v>6.5</v>
      </c>
      <c r="I106" s="68">
        <v>8.6</v>
      </c>
      <c r="J106" s="68">
        <v>9</v>
      </c>
      <c r="K106" s="68">
        <v>29</v>
      </c>
      <c r="L106" s="68">
        <v>46</v>
      </c>
      <c r="M106" s="68">
        <v>40</v>
      </c>
      <c r="N106" s="68">
        <v>36</v>
      </c>
      <c r="O106" s="68">
        <v>35</v>
      </c>
      <c r="P106" s="68">
        <v>29.2</v>
      </c>
      <c r="Q106" s="68">
        <v>19.3</v>
      </c>
      <c r="R106" s="68">
        <v>16.7</v>
      </c>
      <c r="S106" s="68">
        <v>-5.2</v>
      </c>
      <c r="T106" s="68">
        <v>15.5</v>
      </c>
      <c r="U106" s="68">
        <v>4.2</v>
      </c>
      <c r="V106" s="68">
        <v>2.6</v>
      </c>
      <c r="W106" s="68">
        <v>2</v>
      </c>
      <c r="X106" s="68">
        <v>38.799999999999997</v>
      </c>
      <c r="Y106" s="68">
        <v>42</v>
      </c>
      <c r="Z106" s="68">
        <v>42</v>
      </c>
      <c r="AA106" s="68">
        <v>42</v>
      </c>
      <c r="AB106" s="68">
        <v>23</v>
      </c>
      <c r="AC106" s="68">
        <v>18</v>
      </c>
      <c r="AD106" s="68">
        <v>11.3</v>
      </c>
      <c r="AE106" s="68">
        <v>33.1</v>
      </c>
      <c r="AF106" s="68"/>
      <c r="AG106" s="69"/>
      <c r="AH106" s="20">
        <f t="shared" si="10"/>
        <v>46</v>
      </c>
      <c r="AI106" s="19">
        <f t="shared" si="11"/>
        <v>-5.2</v>
      </c>
    </row>
    <row r="107" spans="1:37" x14ac:dyDescent="0.25">
      <c r="A107" s="40" t="s">
        <v>133</v>
      </c>
      <c r="B107" s="68">
        <v>34</v>
      </c>
      <c r="C107" s="68">
        <v>62.1</v>
      </c>
      <c r="D107" s="68">
        <v>57.1</v>
      </c>
      <c r="E107" s="68">
        <v>44.8</v>
      </c>
      <c r="F107" s="68">
        <v>54.3</v>
      </c>
      <c r="G107" s="68">
        <v>48.7</v>
      </c>
      <c r="H107" s="68">
        <v>48.7</v>
      </c>
      <c r="I107" s="68">
        <v>30.8</v>
      </c>
      <c r="J107" s="68">
        <v>3.6</v>
      </c>
      <c r="K107" s="68">
        <v>19</v>
      </c>
      <c r="L107" s="68">
        <v>34</v>
      </c>
      <c r="M107" s="68">
        <v>22</v>
      </c>
      <c r="N107" s="68">
        <v>35</v>
      </c>
      <c r="O107" s="68">
        <v>41</v>
      </c>
      <c r="P107" s="68">
        <v>48.5</v>
      </c>
      <c r="Q107" s="68">
        <v>23.5</v>
      </c>
      <c r="R107" s="68">
        <v>32.1</v>
      </c>
      <c r="S107" s="68">
        <v>3</v>
      </c>
      <c r="T107" s="68">
        <v>18.2</v>
      </c>
      <c r="U107" s="68">
        <v>27.8</v>
      </c>
      <c r="V107" s="68">
        <v>55</v>
      </c>
      <c r="W107" s="68">
        <v>63.3</v>
      </c>
      <c r="X107" s="68">
        <v>40.6</v>
      </c>
      <c r="Y107" s="68">
        <v>88</v>
      </c>
      <c r="Z107" s="68">
        <v>88</v>
      </c>
      <c r="AA107" s="68">
        <v>88</v>
      </c>
      <c r="AB107" s="68">
        <v>62</v>
      </c>
      <c r="AC107" s="68">
        <v>54</v>
      </c>
      <c r="AD107" s="68">
        <v>45.5</v>
      </c>
      <c r="AE107" s="68">
        <v>51.1</v>
      </c>
      <c r="AF107" s="68"/>
      <c r="AG107" s="48"/>
      <c r="AH107" s="20">
        <f t="shared" si="10"/>
        <v>88</v>
      </c>
      <c r="AI107" s="19">
        <f t="shared" si="11"/>
        <v>3</v>
      </c>
    </row>
    <row r="108" spans="1:37" x14ac:dyDescent="0.25">
      <c r="A108" s="67" t="s">
        <v>132</v>
      </c>
      <c r="B108" s="66">
        <v>104</v>
      </c>
      <c r="C108" s="66">
        <v>111.8</v>
      </c>
      <c r="D108" s="66">
        <v>113.5</v>
      </c>
      <c r="E108" s="66">
        <v>117.7</v>
      </c>
      <c r="F108" s="66">
        <v>113.6</v>
      </c>
      <c r="G108" s="66">
        <v>114.3</v>
      </c>
      <c r="H108" s="66">
        <v>114.3</v>
      </c>
      <c r="I108" s="66">
        <v>115.5</v>
      </c>
      <c r="J108" s="66">
        <v>104</v>
      </c>
      <c r="K108" s="66">
        <v>117</v>
      </c>
      <c r="L108" s="66">
        <v>110</v>
      </c>
      <c r="M108" s="66">
        <v>117</v>
      </c>
      <c r="N108" s="66">
        <v>110</v>
      </c>
      <c r="O108" s="66">
        <v>106</v>
      </c>
      <c r="P108" s="66">
        <v>107.2</v>
      </c>
      <c r="Q108" s="66">
        <v>102.4</v>
      </c>
      <c r="R108" s="66">
        <v>111.4</v>
      </c>
      <c r="S108" s="66">
        <v>116.8</v>
      </c>
      <c r="T108" s="66">
        <v>96.7</v>
      </c>
      <c r="U108" s="66">
        <v>105.9</v>
      </c>
      <c r="V108" s="66">
        <v>106</v>
      </c>
      <c r="W108" s="66">
        <v>100</v>
      </c>
      <c r="X108" s="66">
        <v>87</v>
      </c>
      <c r="Y108" s="66">
        <v>89.5</v>
      </c>
      <c r="Z108" s="66">
        <v>89.5</v>
      </c>
      <c r="AA108" s="66">
        <v>89.5</v>
      </c>
      <c r="AB108" s="66">
        <v>97</v>
      </c>
      <c r="AC108" s="66">
        <v>96</v>
      </c>
      <c r="AD108" s="66">
        <v>94.2</v>
      </c>
      <c r="AE108" s="66">
        <v>105.3</v>
      </c>
      <c r="AF108" s="66"/>
      <c r="AG108" s="48"/>
      <c r="AH108" s="20">
        <f t="shared" si="10"/>
        <v>117.7</v>
      </c>
      <c r="AI108" s="19">
        <f t="shared" si="11"/>
        <v>87</v>
      </c>
    </row>
    <row r="109" spans="1:37" ht="15.75" thickBot="1" x14ac:dyDescent="0.3">
      <c r="A109" s="67" t="s">
        <v>131</v>
      </c>
      <c r="B109" s="66">
        <v>90</v>
      </c>
      <c r="C109" s="66">
        <v>79.3</v>
      </c>
      <c r="D109" s="66">
        <v>83.5</v>
      </c>
      <c r="E109" s="66">
        <v>87.2</v>
      </c>
      <c r="F109" s="66">
        <v>82.9</v>
      </c>
      <c r="G109" s="66">
        <v>80.599999999999994</v>
      </c>
      <c r="H109" s="66">
        <v>80.599999999999994</v>
      </c>
      <c r="I109" s="66">
        <v>64.7</v>
      </c>
      <c r="J109" s="66">
        <v>78</v>
      </c>
      <c r="K109" s="66">
        <v>50</v>
      </c>
      <c r="L109" s="66">
        <v>36</v>
      </c>
      <c r="M109" s="66">
        <v>41</v>
      </c>
      <c r="N109" s="66">
        <v>45</v>
      </c>
      <c r="O109" s="66">
        <v>51</v>
      </c>
      <c r="P109" s="66">
        <v>57</v>
      </c>
      <c r="Q109" s="66">
        <v>68.099999999999994</v>
      </c>
      <c r="R109" s="66">
        <v>71.3</v>
      </c>
      <c r="S109" s="66">
        <v>81.2</v>
      </c>
      <c r="T109" s="66">
        <v>61.3</v>
      </c>
      <c r="U109" s="66">
        <v>72.7</v>
      </c>
      <c r="V109" s="66">
        <v>69</v>
      </c>
      <c r="W109" s="66">
        <v>46.4</v>
      </c>
      <c r="X109" s="66">
        <v>35.799999999999997</v>
      </c>
      <c r="Y109" s="66">
        <v>37</v>
      </c>
      <c r="Z109" s="66">
        <v>37</v>
      </c>
      <c r="AA109" s="66">
        <v>25.7</v>
      </c>
      <c r="AB109" s="66">
        <v>58</v>
      </c>
      <c r="AC109" s="66">
        <v>64</v>
      </c>
      <c r="AD109" s="66">
        <v>71.8</v>
      </c>
      <c r="AE109" s="66">
        <v>52.8</v>
      </c>
      <c r="AF109" s="66"/>
      <c r="AG109" s="48"/>
      <c r="AH109" s="20">
        <f t="shared" si="10"/>
        <v>90</v>
      </c>
      <c r="AI109" s="19">
        <f t="shared" si="11"/>
        <v>25.7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3">SUM(B111:B215)</f>
        <v>0</v>
      </c>
      <c r="C216" s="36">
        <f t="shared" si="23"/>
        <v>0</v>
      </c>
      <c r="D216" s="36">
        <f t="shared" si="23"/>
        <v>0</v>
      </c>
      <c r="E216" s="36">
        <f t="shared" si="23"/>
        <v>0</v>
      </c>
      <c r="F216" s="36">
        <f t="shared" si="23"/>
        <v>0</v>
      </c>
      <c r="G216" s="36">
        <f t="shared" si="23"/>
        <v>0</v>
      </c>
      <c r="H216" s="36">
        <f t="shared" si="23"/>
        <v>0</v>
      </c>
      <c r="I216" s="36">
        <f t="shared" si="23"/>
        <v>0</v>
      </c>
      <c r="J216" s="36">
        <f t="shared" si="23"/>
        <v>0</v>
      </c>
      <c r="K216" s="36">
        <f t="shared" si="23"/>
        <v>0</v>
      </c>
      <c r="L216" s="36">
        <f t="shared" si="23"/>
        <v>0</v>
      </c>
      <c r="M216" s="36">
        <f t="shared" si="23"/>
        <v>0</v>
      </c>
      <c r="N216" s="36">
        <f t="shared" si="23"/>
        <v>0</v>
      </c>
      <c r="O216" s="36">
        <f t="shared" si="23"/>
        <v>0</v>
      </c>
      <c r="P216" s="36">
        <f t="shared" si="23"/>
        <v>0</v>
      </c>
      <c r="Q216" s="36">
        <f t="shared" si="23"/>
        <v>0</v>
      </c>
      <c r="R216" s="36">
        <f t="shared" si="23"/>
        <v>0</v>
      </c>
      <c r="S216" s="36">
        <f t="shared" si="23"/>
        <v>0</v>
      </c>
      <c r="T216" s="36">
        <f t="shared" si="23"/>
        <v>0</v>
      </c>
      <c r="U216" s="36">
        <f t="shared" si="23"/>
        <v>0</v>
      </c>
      <c r="V216" s="36">
        <f t="shared" si="23"/>
        <v>0</v>
      </c>
      <c r="W216" s="36">
        <f t="shared" si="23"/>
        <v>0</v>
      </c>
      <c r="X216" s="36">
        <f t="shared" si="23"/>
        <v>0</v>
      </c>
      <c r="Y216" s="36">
        <f t="shared" si="23"/>
        <v>0</v>
      </c>
      <c r="Z216" s="36">
        <f t="shared" si="23"/>
        <v>0</v>
      </c>
      <c r="AA216" s="36">
        <f t="shared" si="23"/>
        <v>0</v>
      </c>
      <c r="AB216" s="36">
        <f t="shared" si="23"/>
        <v>0</v>
      </c>
      <c r="AC216" s="36">
        <f t="shared" si="23"/>
        <v>0</v>
      </c>
      <c r="AD216" s="36">
        <f t="shared" si="23"/>
        <v>0</v>
      </c>
      <c r="AE216" s="36">
        <f t="shared" si="23"/>
        <v>0</v>
      </c>
      <c r="AF216" s="51">
        <f t="shared" si="23"/>
        <v>0</v>
      </c>
      <c r="AG216" s="50">
        <f t="shared" si="23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4">AF218</f>
        <v>0</v>
      </c>
      <c r="C218" s="46">
        <v>0.3</v>
      </c>
      <c r="D218" s="46">
        <f t="shared" ref="D218:P223" si="25">C218</f>
        <v>0.3</v>
      </c>
      <c r="E218" s="46">
        <f t="shared" si="25"/>
        <v>0.3</v>
      </c>
      <c r="F218" s="46">
        <f t="shared" si="25"/>
        <v>0.3</v>
      </c>
      <c r="G218" s="46">
        <f t="shared" si="25"/>
        <v>0.3</v>
      </c>
      <c r="H218" s="46">
        <f t="shared" si="25"/>
        <v>0.3</v>
      </c>
      <c r="I218" s="46">
        <f t="shared" si="25"/>
        <v>0.3</v>
      </c>
      <c r="J218" s="46">
        <f t="shared" si="25"/>
        <v>0.3</v>
      </c>
      <c r="K218" s="46">
        <f t="shared" si="25"/>
        <v>0.3</v>
      </c>
      <c r="L218" s="46">
        <f t="shared" si="25"/>
        <v>0.3</v>
      </c>
      <c r="M218" s="46">
        <f t="shared" si="25"/>
        <v>0.3</v>
      </c>
      <c r="N218" s="46">
        <f t="shared" si="25"/>
        <v>0.3</v>
      </c>
      <c r="O218" s="46">
        <f t="shared" si="25"/>
        <v>0.3</v>
      </c>
      <c r="P218" s="46">
        <f t="shared" si="25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4"/>
        <v>0</v>
      </c>
      <c r="C219" s="43">
        <v>0.4</v>
      </c>
      <c r="D219" s="43">
        <f t="shared" si="25"/>
        <v>0.4</v>
      </c>
      <c r="E219" s="43">
        <f t="shared" si="25"/>
        <v>0.4</v>
      </c>
      <c r="F219" s="43">
        <f t="shared" si="25"/>
        <v>0.4</v>
      </c>
      <c r="G219" s="43">
        <f t="shared" si="25"/>
        <v>0.4</v>
      </c>
      <c r="H219" s="43">
        <f t="shared" si="25"/>
        <v>0.4</v>
      </c>
      <c r="I219" s="43">
        <f t="shared" si="25"/>
        <v>0.4</v>
      </c>
      <c r="J219" s="43">
        <f t="shared" si="25"/>
        <v>0.4</v>
      </c>
      <c r="K219" s="43">
        <f t="shared" si="25"/>
        <v>0.4</v>
      </c>
      <c r="L219" s="43">
        <f t="shared" si="25"/>
        <v>0.4</v>
      </c>
      <c r="M219" s="43">
        <f t="shared" si="25"/>
        <v>0.4</v>
      </c>
      <c r="N219" s="43">
        <f t="shared" si="25"/>
        <v>0.4</v>
      </c>
      <c r="O219" s="43">
        <f t="shared" si="25"/>
        <v>0.4</v>
      </c>
      <c r="P219" s="43">
        <f t="shared" si="25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4"/>
        <v>0</v>
      </c>
      <c r="C220" s="43">
        <v>1.5</v>
      </c>
      <c r="D220" s="43">
        <f t="shared" si="25"/>
        <v>1.5</v>
      </c>
      <c r="E220" s="43">
        <f t="shared" si="25"/>
        <v>1.5</v>
      </c>
      <c r="F220" s="43">
        <f t="shared" si="25"/>
        <v>1.5</v>
      </c>
      <c r="G220" s="43">
        <f t="shared" si="25"/>
        <v>1.5</v>
      </c>
      <c r="H220" s="43">
        <f t="shared" si="25"/>
        <v>1.5</v>
      </c>
      <c r="I220" s="43">
        <f t="shared" si="25"/>
        <v>1.5</v>
      </c>
      <c r="J220" s="43">
        <f t="shared" si="25"/>
        <v>1.5</v>
      </c>
      <c r="K220" s="43">
        <f t="shared" si="25"/>
        <v>1.5</v>
      </c>
      <c r="L220" s="43">
        <f t="shared" si="25"/>
        <v>1.5</v>
      </c>
      <c r="M220" s="43">
        <f t="shared" si="25"/>
        <v>1.5</v>
      </c>
      <c r="N220" s="43">
        <f t="shared" si="25"/>
        <v>1.5</v>
      </c>
      <c r="O220" s="43">
        <f t="shared" si="25"/>
        <v>1.5</v>
      </c>
      <c r="P220" s="43">
        <f t="shared" si="25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4"/>
        <v>0</v>
      </c>
      <c r="C221" s="43">
        <v>0.3</v>
      </c>
      <c r="D221" s="43">
        <f t="shared" si="25"/>
        <v>0.3</v>
      </c>
      <c r="E221" s="43">
        <f t="shared" si="25"/>
        <v>0.3</v>
      </c>
      <c r="F221" s="43">
        <f t="shared" si="25"/>
        <v>0.3</v>
      </c>
      <c r="G221" s="43">
        <f t="shared" si="25"/>
        <v>0.3</v>
      </c>
      <c r="H221" s="43">
        <f t="shared" si="25"/>
        <v>0.3</v>
      </c>
      <c r="I221" s="43">
        <f t="shared" si="25"/>
        <v>0.3</v>
      </c>
      <c r="J221" s="43">
        <f t="shared" si="25"/>
        <v>0.3</v>
      </c>
      <c r="K221" s="43">
        <f t="shared" si="25"/>
        <v>0.3</v>
      </c>
      <c r="L221" s="43">
        <f t="shared" si="25"/>
        <v>0.3</v>
      </c>
      <c r="M221" s="43">
        <f t="shared" si="25"/>
        <v>0.3</v>
      </c>
      <c r="N221" s="43">
        <f t="shared" si="25"/>
        <v>0.3</v>
      </c>
      <c r="O221" s="43">
        <f t="shared" si="25"/>
        <v>0.3</v>
      </c>
      <c r="P221" s="43">
        <f t="shared" si="25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4"/>
        <v>0</v>
      </c>
      <c r="C222" s="43">
        <v>0.4</v>
      </c>
      <c r="D222" s="43">
        <f t="shared" si="25"/>
        <v>0.4</v>
      </c>
      <c r="E222" s="43">
        <f t="shared" si="25"/>
        <v>0.4</v>
      </c>
      <c r="F222" s="43">
        <f t="shared" si="25"/>
        <v>0.4</v>
      </c>
      <c r="G222" s="43">
        <f t="shared" si="25"/>
        <v>0.4</v>
      </c>
      <c r="H222" s="43">
        <f t="shared" si="25"/>
        <v>0.4</v>
      </c>
      <c r="I222" s="43">
        <f t="shared" si="25"/>
        <v>0.4</v>
      </c>
      <c r="J222" s="43">
        <f t="shared" si="25"/>
        <v>0.4</v>
      </c>
      <c r="K222" s="43">
        <f t="shared" si="25"/>
        <v>0.4</v>
      </c>
      <c r="L222" s="43">
        <f t="shared" si="25"/>
        <v>0.4</v>
      </c>
      <c r="M222" s="43">
        <f t="shared" si="25"/>
        <v>0.4</v>
      </c>
      <c r="N222" s="43">
        <f t="shared" si="25"/>
        <v>0.4</v>
      </c>
      <c r="O222" s="43">
        <f t="shared" si="25"/>
        <v>0.4</v>
      </c>
      <c r="P222" s="43">
        <f t="shared" si="25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4"/>
        <v>0</v>
      </c>
      <c r="C223" s="39">
        <v>0.64</v>
      </c>
      <c r="D223" s="39">
        <f t="shared" si="25"/>
        <v>0.64</v>
      </c>
      <c r="E223" s="39">
        <f t="shared" si="25"/>
        <v>0.64</v>
      </c>
      <c r="F223" s="39">
        <f t="shared" si="25"/>
        <v>0.64</v>
      </c>
      <c r="G223" s="39">
        <f t="shared" si="25"/>
        <v>0.64</v>
      </c>
      <c r="H223" s="39">
        <f t="shared" si="25"/>
        <v>0.64</v>
      </c>
      <c r="I223" s="39">
        <f t="shared" si="25"/>
        <v>0.64</v>
      </c>
      <c r="J223" s="39">
        <f t="shared" si="25"/>
        <v>0.64</v>
      </c>
      <c r="K223" s="39">
        <f t="shared" si="25"/>
        <v>0.64</v>
      </c>
      <c r="L223" s="39">
        <f t="shared" si="25"/>
        <v>0.64</v>
      </c>
      <c r="M223" s="39">
        <f t="shared" si="25"/>
        <v>0.64</v>
      </c>
      <c r="N223" s="39">
        <f t="shared" si="25"/>
        <v>0.64</v>
      </c>
      <c r="O223" s="39">
        <f t="shared" si="25"/>
        <v>0.64</v>
      </c>
      <c r="P223" s="39">
        <f t="shared" si="25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6">SUM(B218:B223)</f>
        <v>0</v>
      </c>
      <c r="C224" s="36">
        <f t="shared" si="26"/>
        <v>3.54</v>
      </c>
      <c r="D224" s="36">
        <f t="shared" si="26"/>
        <v>3.54</v>
      </c>
      <c r="E224" s="36">
        <f t="shared" si="26"/>
        <v>3.54</v>
      </c>
      <c r="F224" s="36">
        <f t="shared" si="26"/>
        <v>3.54</v>
      </c>
      <c r="G224" s="36">
        <f t="shared" si="26"/>
        <v>3.54</v>
      </c>
      <c r="H224" s="36">
        <f t="shared" si="26"/>
        <v>3.54</v>
      </c>
      <c r="I224" s="36">
        <f t="shared" si="26"/>
        <v>3.54</v>
      </c>
      <c r="J224" s="36">
        <f t="shared" si="26"/>
        <v>3.54</v>
      </c>
      <c r="K224" s="36">
        <f t="shared" si="26"/>
        <v>3.54</v>
      </c>
      <c r="L224" s="36">
        <f t="shared" si="26"/>
        <v>3.54</v>
      </c>
      <c r="M224" s="36">
        <f t="shared" si="26"/>
        <v>3.54</v>
      </c>
      <c r="N224" s="36">
        <f t="shared" si="26"/>
        <v>3.54</v>
      </c>
      <c r="O224" s="36">
        <f t="shared" si="26"/>
        <v>3.54</v>
      </c>
      <c r="P224" s="36">
        <f t="shared" si="26"/>
        <v>3.54</v>
      </c>
      <c r="Q224" s="36">
        <f t="shared" si="26"/>
        <v>0</v>
      </c>
      <c r="R224" s="36">
        <f t="shared" si="26"/>
        <v>0</v>
      </c>
      <c r="S224" s="36">
        <f t="shared" si="26"/>
        <v>0</v>
      </c>
      <c r="T224" s="36">
        <f t="shared" si="26"/>
        <v>0</v>
      </c>
      <c r="U224" s="36">
        <f t="shared" si="26"/>
        <v>0</v>
      </c>
      <c r="V224" s="36">
        <f t="shared" si="26"/>
        <v>0</v>
      </c>
      <c r="W224" s="36">
        <f t="shared" si="26"/>
        <v>0</v>
      </c>
      <c r="X224" s="36">
        <f t="shared" si="26"/>
        <v>0</v>
      </c>
      <c r="Y224" s="36">
        <f t="shared" si="26"/>
        <v>0</v>
      </c>
      <c r="Z224" s="36">
        <f t="shared" si="26"/>
        <v>0</v>
      </c>
      <c r="AA224" s="36">
        <f t="shared" si="26"/>
        <v>0</v>
      </c>
      <c r="AB224" s="36">
        <f t="shared" si="26"/>
        <v>0</v>
      </c>
      <c r="AC224" s="36">
        <f t="shared" si="26"/>
        <v>0</v>
      </c>
      <c r="AD224" s="36">
        <f t="shared" si="26"/>
        <v>0</v>
      </c>
      <c r="AE224" s="36">
        <f t="shared" si="26"/>
        <v>0</v>
      </c>
      <c r="AF224" s="36">
        <f t="shared" si="26"/>
        <v>0</v>
      </c>
      <c r="AG224" s="35">
        <f t="shared" si="26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1699.54</v>
      </c>
      <c r="C233" s="16">
        <f>INDEX(G9:N9,1,MATCH(MAX(G81:N81),G81:N81,0))</f>
        <v>0.375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16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2079/06/16)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2079/06/16)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7">B81</f>
        <v>1712.74</v>
      </c>
      <c r="U238" s="9">
        <f t="shared" si="27"/>
        <v>1612.44</v>
      </c>
      <c r="V238" s="9">
        <f t="shared" si="27"/>
        <v>1621.74</v>
      </c>
      <c r="W238" s="9">
        <f t="shared" si="27"/>
        <v>1621.74</v>
      </c>
      <c r="X238" s="9">
        <f t="shared" si="27"/>
        <v>1601.24</v>
      </c>
      <c r="Y238" s="9">
        <f t="shared" si="27"/>
        <v>1603.04</v>
      </c>
      <c r="Z238" s="9">
        <f t="shared" si="27"/>
        <v>1603.04</v>
      </c>
      <c r="AA238" s="9">
        <f t="shared" si="27"/>
        <v>1584.1399999999999</v>
      </c>
      <c r="AB238" s="9">
        <f t="shared" si="27"/>
        <v>1537.6399999999999</v>
      </c>
      <c r="AC238" s="9">
        <f t="shared" si="27"/>
        <v>1537.6399999999999</v>
      </c>
      <c r="AD238" s="9">
        <f t="shared" si="27"/>
        <v>1522.74</v>
      </c>
      <c r="AE238" s="9">
        <f t="shared" si="27"/>
        <v>1669.24</v>
      </c>
      <c r="AF238" s="9">
        <f t="shared" si="27"/>
        <v>1699.54</v>
      </c>
      <c r="AG238" s="9">
        <f t="shared" si="27"/>
        <v>1689.1399999999999</v>
      </c>
      <c r="AH238" s="9">
        <f t="shared" si="27"/>
        <v>1647.3399999999997</v>
      </c>
      <c r="AI238" s="9">
        <f t="shared" si="27"/>
        <v>1683.04</v>
      </c>
      <c r="AJ238" s="9">
        <f t="shared" si="27"/>
        <v>1659.34</v>
      </c>
      <c r="AK238" s="9">
        <f t="shared" si="27"/>
        <v>1660.14</v>
      </c>
      <c r="AL238" s="9">
        <f t="shared" si="27"/>
        <v>1651.3400000000001</v>
      </c>
      <c r="AM238" s="9">
        <f t="shared" si="27"/>
        <v>1661.54</v>
      </c>
      <c r="AN238" s="9">
        <f t="shared" si="27"/>
        <v>1604.34</v>
      </c>
      <c r="AO238" s="9">
        <f t="shared" si="27"/>
        <v>1603.3400000000001</v>
      </c>
      <c r="AP238" s="9">
        <f t="shared" si="27"/>
        <v>1693.34</v>
      </c>
      <c r="AQ238" s="9">
        <f t="shared" si="27"/>
        <v>1795.44</v>
      </c>
      <c r="AR238" s="9">
        <f t="shared" si="27"/>
        <v>1796.44</v>
      </c>
      <c r="AS238" s="9">
        <f t="shared" si="27"/>
        <v>1797.44</v>
      </c>
      <c r="AT238" s="9">
        <f t="shared" si="27"/>
        <v>1808.44</v>
      </c>
      <c r="AU238" s="9">
        <f t="shared" si="27"/>
        <v>1794.94</v>
      </c>
      <c r="AV238" s="9">
        <f t="shared" si="27"/>
        <v>1795.94</v>
      </c>
      <c r="AW238" s="9">
        <f t="shared" si="27"/>
        <v>1722.1399999999999</v>
      </c>
      <c r="AX238" s="9">
        <f t="shared" si="27"/>
        <v>3.54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8">C223</f>
        <v>0.64</v>
      </c>
      <c r="C259" s="4">
        <f t="shared" si="28"/>
        <v>0.64</v>
      </c>
      <c r="D259" s="4">
        <f t="shared" si="28"/>
        <v>0.64</v>
      </c>
      <c r="E259" s="4">
        <f t="shared" si="28"/>
        <v>0.64</v>
      </c>
      <c r="F259" s="4">
        <f t="shared" si="28"/>
        <v>0.64</v>
      </c>
      <c r="G259" s="4">
        <f t="shared" si="28"/>
        <v>0.64</v>
      </c>
      <c r="H259" s="4">
        <f t="shared" si="28"/>
        <v>0.64</v>
      </c>
      <c r="I259" s="4">
        <f t="shared" si="28"/>
        <v>0.64</v>
      </c>
      <c r="J259" s="4">
        <f t="shared" si="28"/>
        <v>0.64</v>
      </c>
      <c r="K259" s="4">
        <f t="shared" si="28"/>
        <v>0.64</v>
      </c>
      <c r="L259" s="4">
        <f t="shared" si="28"/>
        <v>0.64</v>
      </c>
      <c r="M259" s="4">
        <f t="shared" si="28"/>
        <v>0.64</v>
      </c>
      <c r="N259" s="4">
        <f t="shared" si="28"/>
        <v>0.64</v>
      </c>
      <c r="O259" s="4">
        <f t="shared" si="28"/>
        <v>0.64</v>
      </c>
      <c r="P259" s="4">
        <f t="shared" si="28"/>
        <v>0</v>
      </c>
      <c r="Q259" s="4">
        <f t="shared" si="28"/>
        <v>0</v>
      </c>
      <c r="R259" s="4">
        <f t="shared" si="28"/>
        <v>0</v>
      </c>
      <c r="S259" s="4">
        <f t="shared" si="28"/>
        <v>0</v>
      </c>
      <c r="T259" s="4">
        <f t="shared" si="28"/>
        <v>0</v>
      </c>
      <c r="U259" s="4">
        <f t="shared" si="28"/>
        <v>0</v>
      </c>
      <c r="V259" s="4">
        <f t="shared" si="28"/>
        <v>0</v>
      </c>
      <c r="W259" s="4">
        <f t="shared" si="28"/>
        <v>0</v>
      </c>
      <c r="X259" s="4">
        <f t="shared" si="28"/>
        <v>0</v>
      </c>
      <c r="Y259" s="4">
        <f t="shared" si="28"/>
        <v>0</v>
      </c>
      <c r="Z259" s="4">
        <f t="shared" si="28"/>
        <v>0</v>
      </c>
      <c r="AA259" s="4">
        <f t="shared" si="28"/>
        <v>0</v>
      </c>
      <c r="AB259" s="4">
        <f t="shared" si="28"/>
        <v>0</v>
      </c>
      <c r="AC259" s="4">
        <f t="shared" si="28"/>
        <v>0</v>
      </c>
      <c r="AD259" s="4">
        <f t="shared" si="28"/>
        <v>0</v>
      </c>
      <c r="AE259" s="4">
        <f t="shared" si="28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29">IF(B227&lt;100,"",B227-520)</f>
        <v/>
      </c>
      <c r="C260" s="3" t="str">
        <f t="shared" si="29"/>
        <v/>
      </c>
      <c r="D260" s="3" t="str">
        <f t="shared" si="29"/>
        <v/>
      </c>
      <c r="E260" s="3" t="str">
        <f t="shared" si="29"/>
        <v/>
      </c>
      <c r="F260" s="3" t="str">
        <f t="shared" si="29"/>
        <v/>
      </c>
      <c r="G260" s="3" t="str">
        <f t="shared" si="29"/>
        <v/>
      </c>
      <c r="H260" s="3" t="str">
        <f t="shared" si="29"/>
        <v/>
      </c>
      <c r="I260" s="3" t="str">
        <f t="shared" si="29"/>
        <v/>
      </c>
      <c r="J260" s="3" t="str">
        <f t="shared" si="29"/>
        <v/>
      </c>
      <c r="K260" s="3" t="str">
        <f t="shared" si="29"/>
        <v/>
      </c>
      <c r="L260" s="3" t="str">
        <f t="shared" si="29"/>
        <v/>
      </c>
      <c r="M260" s="3" t="str">
        <f t="shared" si="29"/>
        <v/>
      </c>
      <c r="N260" s="3" t="str">
        <f t="shared" si="29"/>
        <v/>
      </c>
      <c r="O260" s="3" t="str">
        <f t="shared" si="29"/>
        <v/>
      </c>
      <c r="P260" s="3" t="str">
        <f t="shared" si="29"/>
        <v/>
      </c>
      <c r="Q260" s="3" t="str">
        <f t="shared" si="29"/>
        <v/>
      </c>
      <c r="R260" s="3" t="str">
        <f t="shared" si="29"/>
        <v/>
      </c>
      <c r="S260" s="3" t="str">
        <f t="shared" si="29"/>
        <v/>
      </c>
      <c r="T260" s="3" t="str">
        <f t="shared" si="29"/>
        <v/>
      </c>
      <c r="U260" s="3" t="str">
        <f t="shared" si="29"/>
        <v/>
      </c>
      <c r="V260" s="3" t="str">
        <f t="shared" si="29"/>
        <v/>
      </c>
      <c r="W260" s="3" t="str">
        <f t="shared" si="29"/>
        <v/>
      </c>
      <c r="X260" s="3" t="str">
        <f t="shared" si="29"/>
        <v/>
      </c>
      <c r="Y260" s="3" t="str">
        <f t="shared" si="29"/>
        <v/>
      </c>
      <c r="Z260" s="3" t="str">
        <f t="shared" si="29"/>
        <v/>
      </c>
      <c r="AA260" s="3" t="str">
        <f t="shared" si="29"/>
        <v/>
      </c>
      <c r="AB260" s="3" t="str">
        <f t="shared" si="29"/>
        <v/>
      </c>
      <c r="AC260" s="3" t="str">
        <f t="shared" si="29"/>
        <v/>
      </c>
      <c r="AD260" s="3" t="str">
        <f t="shared" si="29"/>
        <v/>
      </c>
      <c r="AE260" s="3" t="str">
        <f t="shared" si="29"/>
        <v/>
      </c>
      <c r="AF260" s="3" t="str">
        <f t="shared" si="29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30">IF(B228&lt;100,"",B228-620)</f>
        <v/>
      </c>
      <c r="C261" s="3" t="str">
        <f t="shared" si="30"/>
        <v/>
      </c>
      <c r="D261" s="3" t="str">
        <f t="shared" si="30"/>
        <v/>
      </c>
      <c r="E261" s="3" t="str">
        <f t="shared" si="30"/>
        <v/>
      </c>
      <c r="F261" s="3" t="str">
        <f t="shared" si="30"/>
        <v/>
      </c>
      <c r="G261" s="3" t="str">
        <f t="shared" si="30"/>
        <v/>
      </c>
      <c r="H261" s="3" t="str">
        <f t="shared" si="30"/>
        <v/>
      </c>
      <c r="I261" s="3" t="str">
        <f t="shared" si="30"/>
        <v/>
      </c>
      <c r="J261" s="3" t="str">
        <f t="shared" si="30"/>
        <v/>
      </c>
      <c r="K261" s="3" t="str">
        <f t="shared" si="30"/>
        <v/>
      </c>
      <c r="L261" s="3" t="str">
        <f t="shared" si="30"/>
        <v/>
      </c>
      <c r="M261" s="3" t="str">
        <f t="shared" si="30"/>
        <v/>
      </c>
      <c r="N261" s="3" t="str">
        <f t="shared" si="30"/>
        <v/>
      </c>
      <c r="O261" s="3" t="str">
        <f t="shared" si="30"/>
        <v/>
      </c>
      <c r="P261" s="3" t="str">
        <f t="shared" si="30"/>
        <v/>
      </c>
      <c r="Q261" s="3" t="str">
        <f t="shared" si="30"/>
        <v/>
      </c>
      <c r="R261" s="3" t="str">
        <f t="shared" si="30"/>
        <v/>
      </c>
      <c r="S261" s="3" t="str">
        <f t="shared" si="30"/>
        <v/>
      </c>
      <c r="T261" s="3" t="str">
        <f t="shared" si="30"/>
        <v/>
      </c>
      <c r="U261" s="3" t="str">
        <f t="shared" si="30"/>
        <v/>
      </c>
      <c r="V261" s="3" t="str">
        <f t="shared" si="30"/>
        <v/>
      </c>
      <c r="W261" s="3" t="str">
        <f t="shared" si="30"/>
        <v/>
      </c>
      <c r="X261" s="3" t="str">
        <f t="shared" si="30"/>
        <v/>
      </c>
      <c r="Y261" s="3" t="str">
        <f t="shared" si="30"/>
        <v/>
      </c>
      <c r="Z261" s="3" t="str">
        <f t="shared" si="30"/>
        <v/>
      </c>
      <c r="AA261" s="3" t="str">
        <f t="shared" si="30"/>
        <v/>
      </c>
      <c r="AB261" s="3" t="str">
        <f t="shared" si="30"/>
        <v/>
      </c>
      <c r="AC261" s="3" t="str">
        <f t="shared" si="30"/>
        <v/>
      </c>
      <c r="AD261" s="3" t="str">
        <f t="shared" si="30"/>
        <v/>
      </c>
      <c r="AE261" s="3" t="str">
        <f t="shared" si="30"/>
        <v/>
      </c>
      <c r="AF261" s="3" t="str">
        <f t="shared" si="30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1">IF(B229&lt;100,"",B229-330)</f>
        <v/>
      </c>
      <c r="C262" s="3" t="str">
        <f t="shared" si="31"/>
        <v/>
      </c>
      <c r="D262" s="3" t="str">
        <f t="shared" si="31"/>
        <v/>
      </c>
      <c r="E262" s="3" t="str">
        <f t="shared" si="31"/>
        <v/>
      </c>
      <c r="F262" s="3" t="str">
        <f t="shared" si="31"/>
        <v/>
      </c>
      <c r="G262" s="3" t="str">
        <f t="shared" si="31"/>
        <v/>
      </c>
      <c r="H262" s="3" t="str">
        <f t="shared" si="31"/>
        <v/>
      </c>
      <c r="I262" s="3" t="str">
        <f t="shared" si="31"/>
        <v/>
      </c>
      <c r="J262" s="3" t="str">
        <f t="shared" si="31"/>
        <v/>
      </c>
      <c r="K262" s="3" t="str">
        <f t="shared" si="31"/>
        <v/>
      </c>
      <c r="L262" s="3" t="str">
        <f t="shared" si="31"/>
        <v/>
      </c>
      <c r="M262" s="3" t="str">
        <f t="shared" si="31"/>
        <v/>
      </c>
      <c r="N262" s="3" t="str">
        <f t="shared" si="31"/>
        <v/>
      </c>
      <c r="O262" s="3" t="str">
        <f t="shared" si="31"/>
        <v/>
      </c>
      <c r="P262" s="3" t="str">
        <f t="shared" si="31"/>
        <v/>
      </c>
      <c r="Q262" s="3" t="str">
        <f t="shared" si="31"/>
        <v/>
      </c>
      <c r="R262" s="3" t="str">
        <f t="shared" si="31"/>
        <v/>
      </c>
      <c r="S262" s="3" t="str">
        <f t="shared" si="31"/>
        <v/>
      </c>
      <c r="T262" s="3" t="str">
        <f t="shared" si="31"/>
        <v/>
      </c>
      <c r="U262" s="3" t="str">
        <f t="shared" si="31"/>
        <v/>
      </c>
      <c r="V262" s="3" t="str">
        <f t="shared" si="31"/>
        <v/>
      </c>
      <c r="W262" s="3" t="str">
        <f t="shared" si="31"/>
        <v/>
      </c>
      <c r="X262" s="3" t="str">
        <f t="shared" si="31"/>
        <v/>
      </c>
      <c r="Y262" s="3" t="str">
        <f t="shared" si="31"/>
        <v/>
      </c>
      <c r="Z262" s="3" t="str">
        <f t="shared" si="31"/>
        <v/>
      </c>
      <c r="AA262" s="3" t="str">
        <f t="shared" si="31"/>
        <v/>
      </c>
      <c r="AB262" s="3" t="str">
        <f t="shared" si="31"/>
        <v/>
      </c>
      <c r="AC262" s="3" t="str">
        <f t="shared" si="31"/>
        <v/>
      </c>
      <c r="AD262" s="3" t="str">
        <f t="shared" si="31"/>
        <v/>
      </c>
      <c r="AE262" s="3" t="str">
        <f t="shared" si="31"/>
        <v/>
      </c>
      <c r="AF262" s="3" t="str">
        <f t="shared" si="31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2">IF(B230&lt;100,"",B230-1500)</f>
        <v/>
      </c>
      <c r="C263" s="3" t="str">
        <f t="shared" si="32"/>
        <v/>
      </c>
      <c r="D263" s="3" t="str">
        <f t="shared" si="32"/>
        <v/>
      </c>
      <c r="E263" s="3" t="str">
        <f t="shared" si="32"/>
        <v/>
      </c>
      <c r="F263" s="3" t="str">
        <f t="shared" si="32"/>
        <v/>
      </c>
      <c r="G263" s="3" t="str">
        <f t="shared" si="32"/>
        <v/>
      </c>
      <c r="H263" s="3" t="str">
        <f t="shared" si="32"/>
        <v/>
      </c>
      <c r="I263" s="3" t="str">
        <f t="shared" si="32"/>
        <v/>
      </c>
      <c r="J263" s="3" t="str">
        <f t="shared" si="32"/>
        <v/>
      </c>
      <c r="K263" s="3" t="str">
        <f t="shared" si="32"/>
        <v/>
      </c>
      <c r="L263" s="3" t="str">
        <f t="shared" si="32"/>
        <v/>
      </c>
      <c r="M263" s="3" t="str">
        <f t="shared" si="32"/>
        <v/>
      </c>
      <c r="N263" s="3" t="str">
        <f t="shared" si="32"/>
        <v/>
      </c>
      <c r="O263" s="3" t="str">
        <f t="shared" si="32"/>
        <v/>
      </c>
      <c r="P263" s="3" t="str">
        <f t="shared" si="32"/>
        <v/>
      </c>
      <c r="Q263" s="3" t="str">
        <f t="shared" si="32"/>
        <v/>
      </c>
      <c r="R263" s="3" t="str">
        <f t="shared" si="32"/>
        <v/>
      </c>
      <c r="S263" s="3" t="str">
        <f t="shared" si="32"/>
        <v/>
      </c>
      <c r="T263" s="3" t="str">
        <f t="shared" si="32"/>
        <v/>
      </c>
      <c r="U263" s="3" t="str">
        <f t="shared" si="32"/>
        <v/>
      </c>
      <c r="V263" s="3" t="str">
        <f t="shared" si="32"/>
        <v/>
      </c>
      <c r="W263" s="3" t="str">
        <f t="shared" si="32"/>
        <v/>
      </c>
      <c r="X263" s="3" t="str">
        <f t="shared" si="32"/>
        <v/>
      </c>
      <c r="Y263" s="3" t="str">
        <f t="shared" si="32"/>
        <v/>
      </c>
      <c r="Z263" s="3" t="str">
        <f t="shared" si="32"/>
        <v/>
      </c>
      <c r="AA263" s="3" t="str">
        <f t="shared" si="32"/>
        <v/>
      </c>
      <c r="AB263" s="3" t="str">
        <f t="shared" si="32"/>
        <v/>
      </c>
      <c r="AC263" s="3" t="str">
        <f t="shared" si="32"/>
        <v/>
      </c>
      <c r="AD263" s="3" t="str">
        <f t="shared" si="32"/>
        <v/>
      </c>
      <c r="AE263" s="3" t="str">
        <f t="shared" si="32"/>
        <v/>
      </c>
      <c r="AF263" s="3" t="str">
        <f t="shared" si="32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9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B20:AF23 W11:AF11 B16:AF16">
    <cfRule type="expression" dxfId="5571" priority="244">
      <formula>B$9&gt;=20/24</formula>
    </cfRule>
    <cfRule type="expression" dxfId="5570" priority="245">
      <formula>AND(B$9&gt;=14/24,B$9&lt;20/24)</formula>
    </cfRule>
    <cfRule type="expression" dxfId="5569" priority="246">
      <formula>AND(B$9&gt;=8/24,B$9&lt;14/24)</formula>
    </cfRule>
    <cfRule type="expression" dxfId="5568" priority="247">
      <formula>B$9&lt;8/24</formula>
    </cfRule>
  </conditionalFormatting>
  <conditionalFormatting sqref="AL4:AL6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5567" priority="239">
      <formula>S$9&gt;=20/24</formula>
    </cfRule>
    <cfRule type="expression" dxfId="5566" priority="240">
      <formula>AND(S$9&gt;=14/24,S$9&lt;20/24)</formula>
    </cfRule>
    <cfRule type="expression" dxfId="5565" priority="241">
      <formula>AND(S$9&gt;=8/24,S$9&lt;14/24)</formula>
    </cfRule>
    <cfRule type="expression" dxfId="5564" priority="242">
      <formula>S$9&lt;8/24</formula>
    </cfRule>
  </conditionalFormatting>
  <conditionalFormatting sqref="AG57 B12:V16 S39:AF39 B37:AF37 B20:AF23 B18:AF18 W11:AF16">
    <cfRule type="expression" dxfId="5563" priority="238">
      <formula>B11&gt;$AG11</formula>
    </cfRule>
  </conditionalFormatting>
  <conditionalFormatting sqref="A91:A101 A11:A14 A51:A78 A87:A89 A194:A224 A38:A49 A110:A181 A34:A35 A83:A85 A80:A81 A103:A105 A31:A32 A18:A29 A16">
    <cfRule type="expression" dxfId="5562" priority="237">
      <formula>$AH11=0</formula>
    </cfRule>
  </conditionalFormatting>
  <conditionalFormatting sqref="A106">
    <cfRule type="expression" dxfId="5561" priority="236">
      <formula>$AH106=0</formula>
    </cfRule>
  </conditionalFormatting>
  <conditionalFormatting sqref="AL35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560" priority="234">
      <formula>$AH37=0</formula>
    </cfRule>
  </conditionalFormatting>
  <conditionalFormatting sqref="A90">
    <cfRule type="expression" dxfId="5559" priority="233">
      <formula>$AH90=0</formula>
    </cfRule>
  </conditionalFormatting>
  <conditionalFormatting sqref="A15">
    <cfRule type="expression" dxfId="5558" priority="232">
      <formula>$AH15=0</formula>
    </cfRule>
  </conditionalFormatting>
  <conditionalFormatting sqref="A188:A193">
    <cfRule type="expression" dxfId="5557" priority="231">
      <formula>$AH188=0</formula>
    </cfRule>
  </conditionalFormatting>
  <conditionalFormatting sqref="A182:A187">
    <cfRule type="expression" dxfId="5556" priority="230">
      <formula>$AH182=0</formula>
    </cfRule>
  </conditionalFormatting>
  <conditionalFormatting sqref="A50">
    <cfRule type="expression" dxfId="5555" priority="229">
      <formula>$AH50=0</formula>
    </cfRule>
  </conditionalFormatting>
  <conditionalFormatting sqref="A86">
    <cfRule type="expression" dxfId="5554" priority="228">
      <formula>$AH86=0</formula>
    </cfRule>
  </conditionalFormatting>
  <conditionalFormatting sqref="C91:AF91">
    <cfRule type="expression" dxfId="5553" priority="224">
      <formula>C$9&gt;=20/24</formula>
    </cfRule>
    <cfRule type="expression" dxfId="5552" priority="225">
      <formula>AND(C$9&gt;=14/24,C$9&lt;20/24)</formula>
    </cfRule>
    <cfRule type="expression" dxfId="5551" priority="226">
      <formula>AND(C$9&gt;=8/24,C$9&lt;14/24)</formula>
    </cfRule>
    <cfRule type="expression" dxfId="5550" priority="227">
      <formula>C$9&lt;8/24</formula>
    </cfRule>
  </conditionalFormatting>
  <conditionalFormatting sqref="AL36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549" priority="250">
      <formula>C$9&gt;=20/24</formula>
    </cfRule>
    <cfRule type="expression" dxfId="5548" priority="251">
      <formula>AND(C$9&gt;=14/24,C$9&lt;20/24)</formula>
    </cfRule>
    <cfRule type="expression" dxfId="5547" priority="252">
      <formula>AND(C$9&gt;=8/24,C$9&lt;14/24)</formula>
    </cfRule>
    <cfRule type="expression" dxfId="5546" priority="253">
      <formula>C$9&lt;8/24</formula>
    </cfRule>
  </conditionalFormatting>
  <conditionalFormatting sqref="A225">
    <cfRule type="expression" dxfId="5545" priority="254">
      <formula>$AH225=0</formula>
    </cfRule>
  </conditionalFormatting>
  <conditionalFormatting sqref="AG237">
    <cfRule type="expression" dxfId="5544" priority="255">
      <formula>B$9&gt;=20/24</formula>
    </cfRule>
    <cfRule type="expression" dxfId="5543" priority="256">
      <formula>AND(B$9&gt;=14/24,B$9&lt;20/24)</formula>
    </cfRule>
    <cfRule type="expression" dxfId="5542" priority="257">
      <formula>AND(B$9&gt;=8/24,B$9&lt;14/24)</formula>
    </cfRule>
    <cfRule type="expression" dxfId="5541" priority="258">
      <formula>B$9&lt;8/24</formula>
    </cfRule>
  </conditionalFormatting>
  <conditionalFormatting sqref="S8">
    <cfRule type="expression" dxfId="5540" priority="219">
      <formula>U$9&gt;=20/24</formula>
    </cfRule>
    <cfRule type="expression" dxfId="5539" priority="220">
      <formula>AND(U$9&gt;=14/24,U$9&lt;20/24)</formula>
    </cfRule>
    <cfRule type="expression" dxfId="5538" priority="221">
      <formula>AND(U$9&gt;=8/24,U$9&lt;14/24)</formula>
    </cfRule>
    <cfRule type="expression" dxfId="5537" priority="222">
      <formula>U$9&lt;8/24</formula>
    </cfRule>
  </conditionalFormatting>
  <conditionalFormatting sqref="AB8">
    <cfRule type="expression" dxfId="5536" priority="215">
      <formula>AD$9&gt;=20/24</formula>
    </cfRule>
    <cfRule type="expression" dxfId="5535" priority="216">
      <formula>AND(AD$9&gt;=14/24,AD$9&lt;20/24)</formula>
    </cfRule>
    <cfRule type="expression" dxfId="5534" priority="217">
      <formula>AND(AD$9&gt;=8/24,AD$9&lt;14/24)</formula>
    </cfRule>
    <cfRule type="expression" dxfId="5533" priority="218">
      <formula>AD$9&lt;8/24</formula>
    </cfRule>
  </conditionalFormatting>
  <conditionalFormatting sqref="AH237:AX237">
    <cfRule type="expression" dxfId="5532" priority="259">
      <formula>AG$9&gt;=20/24</formula>
    </cfRule>
    <cfRule type="expression" dxfId="5531" priority="260">
      <formula>AND(AG$9&gt;=14/24,AG$9&lt;20/24)</formula>
    </cfRule>
    <cfRule type="expression" dxfId="5530" priority="261">
      <formula>AND(AG$9&gt;=8/24,AG$9&lt;14/24)</formula>
    </cfRule>
    <cfRule type="expression" dxfId="5529" priority="262">
      <formula>AG$9&lt;8/24</formula>
    </cfRule>
  </conditionalFormatting>
  <conditionalFormatting sqref="T237">
    <cfRule type="expression" dxfId="5528" priority="263">
      <formula>AX$9&gt;=20/24</formula>
    </cfRule>
    <cfRule type="expression" dxfId="5527" priority="264">
      <formula>AND(AX$9&gt;=14/24,AX$9&lt;20/24)</formula>
    </cfRule>
    <cfRule type="expression" dxfId="5526" priority="265">
      <formula>AND(AX$9&gt;=8/24,AX$9&lt;14/24)</formula>
    </cfRule>
    <cfRule type="expression" dxfId="5525" priority="266">
      <formula>AX$9&lt;8/24</formula>
    </cfRule>
  </conditionalFormatting>
  <conditionalFormatting sqref="A107:A108">
    <cfRule type="expression" dxfId="5524" priority="214">
      <formula>$AH107=0</formula>
    </cfRule>
  </conditionalFormatting>
  <conditionalFormatting sqref="AF38 J46:L47 M46:N49 S46:AF47 E63:AF63">
    <cfRule type="expression" dxfId="5523" priority="210">
      <formula>E$9&gt;=20/24</formula>
    </cfRule>
    <cfRule type="expression" dxfId="5522" priority="211">
      <formula>AND(E$9&gt;=14/24,E$9&lt;20/24)</formula>
    </cfRule>
    <cfRule type="expression" dxfId="5521" priority="212">
      <formula>AND(E$9&gt;=8/24,E$9&lt;14/24)</formula>
    </cfRule>
    <cfRule type="expression" dxfId="5520" priority="213">
      <formula>E$9&lt;8/24</formula>
    </cfRule>
  </conditionalFormatting>
  <conditionalFormatting sqref="F45:L45 S45:AF45">
    <cfRule type="expression" dxfId="5519" priority="206">
      <formula>F$9&gt;=20/24</formula>
    </cfRule>
    <cfRule type="expression" dxfId="5518" priority="207">
      <formula>AND(F$9&gt;=14/24,F$9&lt;20/24)</formula>
    </cfRule>
    <cfRule type="expression" dxfId="5517" priority="208">
      <formula>AND(F$9&gt;=8/24,F$9&lt;14/24)</formula>
    </cfRule>
    <cfRule type="expression" dxfId="5516" priority="209">
      <formula>F$9&lt;8/24</formula>
    </cfRule>
  </conditionalFormatting>
  <conditionalFormatting sqref="AF38 J46:J47 F45:J45 K45:L47 M46:N49 S45:AF47">
    <cfRule type="expression" dxfId="5515" priority="205">
      <formula>F38&gt;$AG38</formula>
    </cfRule>
  </conditionalFormatting>
  <conditionalFormatting sqref="C88:AF88 C78:AF78 P39:R39 E64:X65 S14:V14 W66:X73 W75:AF77 D92:AF98 V59:AF61 W12:AF14 W18:AF18 U29:AF29 U31:AF34 T38:AE38 U25:AF27 Y64:AF73">
    <cfRule type="expression" dxfId="5514" priority="201">
      <formula>C$9&gt;=20/24</formula>
    </cfRule>
    <cfRule type="expression" dxfId="5513" priority="202">
      <formula>AND(C$9&gt;=14/24,C$9&lt;20/24)</formula>
    </cfRule>
    <cfRule type="expression" dxfId="5512" priority="203">
      <formula>AND(C$9&gt;=8/24,C$9&lt;14/24)</formula>
    </cfRule>
    <cfRule type="expression" dxfId="5511" priority="204">
      <formula>C$9&lt;8/24</formula>
    </cfRule>
  </conditionalFormatting>
  <conditionalFormatting sqref="U35:AF35">
    <cfRule type="expression" dxfId="5510" priority="197">
      <formula>U$9&gt;=20/24</formula>
    </cfRule>
    <cfRule type="expression" dxfId="5509" priority="198">
      <formula>AND(U$9&gt;=14/24,U$9&lt;20/24)</formula>
    </cfRule>
    <cfRule type="expression" dxfId="5508" priority="199">
      <formula>AND(U$9&gt;=8/24,U$9&lt;14/24)</formula>
    </cfRule>
    <cfRule type="expression" dxfId="5507" priority="200">
      <formula>U$9&lt;8/24</formula>
    </cfRule>
  </conditionalFormatting>
  <conditionalFormatting sqref="AF48:AF49 C57:AF57 J48:L48 P39:R39 V59:AF61 U31:AF35 T38:AE38 U25:AF29">
    <cfRule type="expression" dxfId="5506" priority="196">
      <formula>C25&gt;$AG25</formula>
    </cfRule>
  </conditionalFormatting>
  <conditionalFormatting sqref="U37:AF37">
    <cfRule type="expression" dxfId="5505" priority="192">
      <formula>U$9&gt;=20/24</formula>
    </cfRule>
    <cfRule type="expression" dxfId="5504" priority="193">
      <formula>AND(U$9&gt;=14/24,U$9&lt;20/24)</formula>
    </cfRule>
    <cfRule type="expression" dxfId="5503" priority="194">
      <formula>AND(U$9&gt;=8/24,U$9&lt;14/24)</formula>
    </cfRule>
    <cfRule type="expression" dxfId="5502" priority="195">
      <formula>U$9&lt;8/24</formula>
    </cfRule>
  </conditionalFormatting>
  <conditionalFormatting sqref="S15:AF15">
    <cfRule type="expression" dxfId="5501" priority="188">
      <formula>S$9&gt;=20/24</formula>
    </cfRule>
    <cfRule type="expression" dxfId="5500" priority="189">
      <formula>AND(S$9&gt;=14/24,S$9&lt;20/24)</formula>
    </cfRule>
    <cfRule type="expression" dxfId="5499" priority="190">
      <formula>AND(S$9&gt;=8/24,S$9&lt;14/24)</formula>
    </cfRule>
    <cfRule type="expression" dxfId="5498" priority="191">
      <formula>S$9&lt;8/24</formula>
    </cfRule>
  </conditionalFormatting>
  <conditionalFormatting sqref="U36:AF36">
    <cfRule type="expression" dxfId="5497" priority="184">
      <formula>U$9&gt;=20/24</formula>
    </cfRule>
    <cfRule type="expression" dxfId="5496" priority="185">
      <formula>AND(U$9&gt;=14/24,U$9&lt;20/24)</formula>
    </cfRule>
    <cfRule type="expression" dxfId="5495" priority="186">
      <formula>AND(U$9&gt;=8/24,U$9&lt;14/24)</formula>
    </cfRule>
    <cfRule type="expression" dxfId="5494" priority="187">
      <formula>U$9&lt;8/24</formula>
    </cfRule>
  </conditionalFormatting>
  <conditionalFormatting sqref="U36:AF36">
    <cfRule type="expression" dxfId="5493" priority="183">
      <formula>U36&gt;$AG36</formula>
    </cfRule>
  </conditionalFormatting>
  <conditionalFormatting sqref="AF50:AF56 W48:AE49">
    <cfRule type="expression" dxfId="5492" priority="179">
      <formula>W$9&gt;=20/24</formula>
    </cfRule>
    <cfRule type="expression" dxfId="5491" priority="180">
      <formula>AND(W$9&gt;=14/24,W$9&lt;20/24)</formula>
    </cfRule>
    <cfRule type="expression" dxfId="5490" priority="181">
      <formula>AND(W$9&gt;=8/24,W$9&lt;14/24)</formula>
    </cfRule>
    <cfRule type="expression" dxfId="5489" priority="182">
      <formula>W$9&lt;8/24</formula>
    </cfRule>
  </conditionalFormatting>
  <conditionalFormatting sqref="AF50:AF56 W48:AE49">
    <cfRule type="expression" dxfId="5488" priority="178">
      <formula>W48&gt;$AG48</formula>
    </cfRule>
  </conditionalFormatting>
  <conditionalFormatting sqref="O45:R47 R50:R51 O48:S48 M45:N45 O49:R49 S49:S51 T48:V51 W50:AE51">
    <cfRule type="expression" dxfId="5487" priority="174">
      <formula>M$9&gt;=20/24</formula>
    </cfRule>
    <cfRule type="expression" dxfId="5486" priority="175">
      <formula>AND(M$9&gt;=14/24,M$9&lt;20/24)</formula>
    </cfRule>
    <cfRule type="expression" dxfId="5485" priority="176">
      <formula>AND(M$9&gt;=8/24,M$9&lt;14/24)</formula>
    </cfRule>
    <cfRule type="expression" dxfId="5484" priority="177">
      <formula>M$9&lt;8/24</formula>
    </cfRule>
  </conditionalFormatting>
  <conditionalFormatting sqref="O45:R47 R50:R51 O48:S48 M45:N45 O49:R49 S49:S51 T48:V51 W50:AE51">
    <cfRule type="expression" dxfId="5483" priority="173">
      <formula>M45&gt;$AG45</formula>
    </cfRule>
  </conditionalFormatting>
  <conditionalFormatting sqref="U28:AF28">
    <cfRule type="expression" dxfId="5482" priority="169">
      <formula>U$9&gt;=20/24</formula>
    </cfRule>
    <cfRule type="expression" dxfId="5481" priority="170">
      <formula>AND(U$9&gt;=14/24,U$9&lt;20/24)</formula>
    </cfRule>
    <cfRule type="expression" dxfId="5480" priority="171">
      <formula>AND(U$9&gt;=8/24,U$9&lt;14/24)</formula>
    </cfRule>
    <cfRule type="expression" dxfId="5479" priority="172">
      <formula>U$9&lt;8/24</formula>
    </cfRule>
  </conditionalFormatting>
  <conditionalFormatting sqref="U19:AF19 U24:AF24">
    <cfRule type="expression" dxfId="5478" priority="165">
      <formula>U$9&gt;=20/24</formula>
    </cfRule>
    <cfRule type="expression" dxfId="5477" priority="166">
      <formula>AND(U$9&gt;=14/24,U$9&lt;20/24)</formula>
    </cfRule>
    <cfRule type="expression" dxfId="5476" priority="167">
      <formula>AND(U$9&gt;=8/24,U$9&lt;14/24)</formula>
    </cfRule>
    <cfRule type="expression" dxfId="5475" priority="168">
      <formula>U$9&lt;8/24</formula>
    </cfRule>
  </conditionalFormatting>
  <conditionalFormatting sqref="U19:AF19 U24:AF24">
    <cfRule type="expression" dxfId="5474" priority="164">
      <formula>U19&gt;$AG19</formula>
    </cfRule>
  </conditionalFormatting>
  <conditionalFormatting sqref="B101 B80:AF80 B89:AF89 B103:B108 B11:V11">
    <cfRule type="expression" dxfId="5473" priority="146">
      <formula>B$9&gt;=20/24</formula>
    </cfRule>
    <cfRule type="expression" dxfId="5472" priority="147">
      <formula>AND(B$9&gt;=14/24,B$9&lt;20/24)</formula>
    </cfRule>
    <cfRule type="expression" dxfId="5471" priority="148">
      <formula>AND(B$9&gt;=8/24,B$9&lt;14/24)</formula>
    </cfRule>
    <cfRule type="expression" dxfId="5470" priority="149">
      <formula>B$9&lt;8/24</formula>
    </cfRule>
  </conditionalFormatting>
  <conditionalFormatting sqref="B39:O39">
    <cfRule type="expression" dxfId="5469" priority="142">
      <formula>B$9&gt;=20/24</formula>
    </cfRule>
    <cfRule type="expression" dxfId="5468" priority="143">
      <formula>AND(B$9&gt;=14/24,B$9&lt;20/24)</formula>
    </cfRule>
    <cfRule type="expression" dxfId="5467" priority="144">
      <formula>AND(B$9&gt;=8/24,B$9&lt;14/24)</formula>
    </cfRule>
    <cfRule type="expression" dxfId="5466" priority="145">
      <formula>B$9&lt;8/24</formula>
    </cfRule>
  </conditionalFormatting>
  <conditionalFormatting sqref="B39:O39 B11:V11">
    <cfRule type="expression" dxfId="5465" priority="141">
      <formula>B11&gt;$AG11</formula>
    </cfRule>
  </conditionalFormatting>
  <conditionalFormatting sqref="B91">
    <cfRule type="expression" dxfId="5464" priority="137">
      <formula>B$9&gt;=20/24</formula>
    </cfRule>
    <cfRule type="expression" dxfId="5463" priority="138">
      <formula>AND(B$9&gt;=14/24,B$9&lt;20/24)</formula>
    </cfRule>
    <cfRule type="expression" dxfId="5462" priority="139">
      <formula>AND(B$9&gt;=8/24,B$9&lt;14/24)</formula>
    </cfRule>
    <cfRule type="expression" dxfId="5461" priority="140">
      <formula>B$9&lt;8/24</formula>
    </cfRule>
  </conditionalFormatting>
  <conditionalFormatting sqref="B63:D63 B46:I47 B38:S38">
    <cfRule type="expression" dxfId="5460" priority="133">
      <formula>B$9&gt;=20/24</formula>
    </cfRule>
    <cfRule type="expression" dxfId="5459" priority="134">
      <formula>AND(B$9&gt;=14/24,B$9&lt;20/24)</formula>
    </cfRule>
    <cfRule type="expression" dxfId="5458" priority="135">
      <formula>AND(B$9&gt;=8/24,B$9&lt;14/24)</formula>
    </cfRule>
    <cfRule type="expression" dxfId="5457" priority="136">
      <formula>B$9&lt;8/24</formula>
    </cfRule>
  </conditionalFormatting>
  <conditionalFormatting sqref="B45:E45">
    <cfRule type="expression" dxfId="5456" priority="129">
      <formula>B$9&gt;=20/24</formula>
    </cfRule>
    <cfRule type="expression" dxfId="5455" priority="130">
      <formula>AND(B$9&gt;=14/24,B$9&lt;20/24)</formula>
    </cfRule>
    <cfRule type="expression" dxfId="5454" priority="131">
      <formula>AND(B$9&gt;=8/24,B$9&lt;14/24)</formula>
    </cfRule>
    <cfRule type="expression" dxfId="5453" priority="132">
      <formula>B$9&lt;8/24</formula>
    </cfRule>
  </conditionalFormatting>
  <conditionalFormatting sqref="B45:E47 F46:I47 B38:S38">
    <cfRule type="expression" dxfId="5452" priority="128">
      <formula>B38&gt;$AG38</formula>
    </cfRule>
  </conditionalFormatting>
  <conditionalFormatting sqref="B59:B62 B75:B79 B81:AF81 B88 C62:AG62 C79:AG79 B90:AF90 B92:C98 B64:D65 B12:R14 B25:T27 B29:T29 B31:T34 C59:U61 S12:V13 B18:V18 B66:V73 C75:V77">
    <cfRule type="expression" dxfId="5451" priority="124">
      <formula>B$9&gt;=20/24</formula>
    </cfRule>
    <cfRule type="expression" dxfId="5450" priority="125">
      <formula>AND(B$9&gt;=14/24,B$9&lt;20/24)</formula>
    </cfRule>
    <cfRule type="expression" dxfId="5449" priority="126">
      <formula>AND(B$9&gt;=8/24,B$9&lt;14/24)</formula>
    </cfRule>
    <cfRule type="expression" dxfId="5448" priority="127">
      <formula>B$9&lt;8/24</formula>
    </cfRule>
  </conditionalFormatting>
  <conditionalFormatting sqref="B35:T35">
    <cfRule type="expression" dxfId="5447" priority="120">
      <formula>B$9&gt;=20/24</formula>
    </cfRule>
    <cfRule type="expression" dxfId="5446" priority="121">
      <formula>AND(B$9&gt;=14/24,B$9&lt;20/24)</formula>
    </cfRule>
    <cfRule type="expression" dxfId="5445" priority="122">
      <formula>AND(B$9&gt;=8/24,B$9&lt;14/24)</formula>
    </cfRule>
    <cfRule type="expression" dxfId="5444" priority="123">
      <formula>B$9&lt;8/24</formula>
    </cfRule>
  </conditionalFormatting>
  <conditionalFormatting sqref="B57:B62 B40:AG40 C58:AG58 C62:AG62 B48:I49 J49:L49 B25:T29 B31:T35 C59:U61">
    <cfRule type="expression" dxfId="5443" priority="119">
      <formula>B25&gt;$AG25</formula>
    </cfRule>
  </conditionalFormatting>
  <conditionalFormatting sqref="B37:T37">
    <cfRule type="expression" dxfId="5442" priority="115">
      <formula>B$9&gt;=20/24</formula>
    </cfRule>
    <cfRule type="expression" dxfId="5441" priority="116">
      <formula>AND(B$9&gt;=14/24,B$9&lt;20/24)</formula>
    </cfRule>
    <cfRule type="expression" dxfId="5440" priority="117">
      <formula>AND(B$9&gt;=8/24,B$9&lt;14/24)</formula>
    </cfRule>
    <cfRule type="expression" dxfId="5439" priority="118">
      <formula>B$9&lt;8/24</formula>
    </cfRule>
  </conditionalFormatting>
  <conditionalFormatting sqref="B15:R15">
    <cfRule type="expression" dxfId="5438" priority="111">
      <formula>B$9&gt;=20/24</formula>
    </cfRule>
    <cfRule type="expression" dxfId="5437" priority="112">
      <formula>AND(B$9&gt;=14/24,B$9&lt;20/24)</formula>
    </cfRule>
    <cfRule type="expression" dxfId="5436" priority="113">
      <formula>AND(B$9&gt;=8/24,B$9&lt;14/24)</formula>
    </cfRule>
    <cfRule type="expression" dxfId="5435" priority="114">
      <formula>B$9&lt;8/24</formula>
    </cfRule>
  </conditionalFormatting>
  <conditionalFormatting sqref="B36:T36">
    <cfRule type="expression" dxfId="5434" priority="107">
      <formula>B$9&gt;=20/24</formula>
    </cfRule>
    <cfRule type="expression" dxfId="5433" priority="108">
      <formula>AND(B$9&gt;=14/24,B$9&lt;20/24)</formula>
    </cfRule>
    <cfRule type="expression" dxfId="5432" priority="109">
      <formula>AND(B$9&gt;=8/24,B$9&lt;14/24)</formula>
    </cfRule>
    <cfRule type="expression" dxfId="5431" priority="110">
      <formula>B$9&lt;8/24</formula>
    </cfRule>
  </conditionalFormatting>
  <conditionalFormatting sqref="B36:T36">
    <cfRule type="expression" dxfId="5430" priority="106">
      <formula>B36&gt;$AG36</formula>
    </cfRule>
  </conditionalFormatting>
  <conditionalFormatting sqref="B50:Q56 R52:V56">
    <cfRule type="expression" dxfId="5429" priority="102">
      <formula>B$9&gt;=20/24</formula>
    </cfRule>
    <cfRule type="expression" dxfId="5428" priority="103">
      <formula>AND(B$9&gt;=14/24,B$9&lt;20/24)</formula>
    </cfRule>
    <cfRule type="expression" dxfId="5427" priority="104">
      <formula>AND(B$9&gt;=8/24,B$9&lt;14/24)</formula>
    </cfRule>
    <cfRule type="expression" dxfId="5426" priority="105">
      <formula>B$9&lt;8/24</formula>
    </cfRule>
  </conditionalFormatting>
  <conditionalFormatting sqref="B50:Q56 R52:V56">
    <cfRule type="expression" dxfId="5425" priority="101">
      <formula>B50&gt;$AG50</formula>
    </cfRule>
  </conditionalFormatting>
  <conditionalFormatting sqref="B28:T28">
    <cfRule type="expression" dxfId="5424" priority="97">
      <formula>B$9&gt;=20/24</formula>
    </cfRule>
    <cfRule type="expression" dxfId="5423" priority="98">
      <formula>AND(B$9&gt;=14/24,B$9&lt;20/24)</formula>
    </cfRule>
    <cfRule type="expression" dxfId="5422" priority="99">
      <formula>AND(B$9&gt;=8/24,B$9&lt;14/24)</formula>
    </cfRule>
    <cfRule type="expression" dxfId="5421" priority="100">
      <formula>B$9&lt;8/24</formula>
    </cfRule>
  </conditionalFormatting>
  <conditionalFormatting sqref="B19:T19 B24:T24">
    <cfRule type="expression" dxfId="5420" priority="93">
      <formula>B$9&gt;=20/24</formula>
    </cfRule>
    <cfRule type="expression" dxfId="5419" priority="94">
      <formula>AND(B$9&gt;=14/24,B$9&lt;20/24)</formula>
    </cfRule>
    <cfRule type="expression" dxfId="5418" priority="95">
      <formula>AND(B$9&gt;=8/24,B$9&lt;14/24)</formula>
    </cfRule>
    <cfRule type="expression" dxfId="5417" priority="96">
      <formula>B$9&lt;8/24</formula>
    </cfRule>
  </conditionalFormatting>
  <conditionalFormatting sqref="B19:T19 B24:T24">
    <cfRule type="expression" dxfId="5416" priority="92">
      <formula>B19&gt;$AG19</formula>
    </cfRule>
  </conditionalFormatting>
  <conditionalFormatting sqref="A36">
    <cfRule type="expression" dxfId="5415" priority="91">
      <formula>$AH36=0</formula>
    </cfRule>
  </conditionalFormatting>
  <conditionalFormatting sqref="B74:AF74">
    <cfRule type="expression" dxfId="5414" priority="87">
      <formula>B$9&gt;=20/24</formula>
    </cfRule>
    <cfRule type="expression" dxfId="5413" priority="88">
      <formula>AND(B$9&gt;=14/24,B$9&lt;20/24)</formula>
    </cfRule>
    <cfRule type="expression" dxfId="5412" priority="89">
      <formula>AND(B$9&gt;=8/24,B$9&lt;14/24)</formula>
    </cfRule>
    <cfRule type="expression" dxfId="5411" priority="90">
      <formula>B$9&lt;8/24</formula>
    </cfRule>
  </conditionalFormatting>
  <conditionalFormatting sqref="B83:AF87">
    <cfRule type="expression" dxfId="5410" priority="83">
      <formula>B$9&gt;=20/24</formula>
    </cfRule>
    <cfRule type="expression" dxfId="5409" priority="84">
      <formula>AND(B$9&gt;=14/24,B$9&lt;20/24)</formula>
    </cfRule>
    <cfRule type="expression" dxfId="5408" priority="85">
      <formula>AND(B$9&gt;=8/24,B$9&lt;14/24)</formula>
    </cfRule>
    <cfRule type="expression" dxfId="5407" priority="86">
      <formula>B$9&lt;8/24</formula>
    </cfRule>
  </conditionalFormatting>
  <conditionalFormatting sqref="AL37 AL34 AL18:AL29 AL7:AL16 AL31:AL32">
    <cfRule type="iconSet" priority="267">
      <iconSet iconSet="3TrafficLights2" reverse="1">
        <cfvo type="percent" val="0"/>
        <cfvo type="num" val="1"/>
        <cfvo type="num" val="1"/>
      </iconSet>
    </cfRule>
  </conditionalFormatting>
  <conditionalFormatting sqref="D41:AF43">
    <cfRule type="expression" dxfId="5406" priority="79">
      <formula>D$9&gt;=20/24</formula>
    </cfRule>
    <cfRule type="expression" dxfId="5405" priority="80">
      <formula>AND(D$9&gt;=14/24,D$9&lt;20/24)</formula>
    </cfRule>
    <cfRule type="expression" dxfId="5404" priority="81">
      <formula>AND(D$9&gt;=8/24,D$9&lt;14/24)</formula>
    </cfRule>
    <cfRule type="expression" dxfId="5403" priority="82">
      <formula>D$9&lt;8/24</formula>
    </cfRule>
  </conditionalFormatting>
  <conditionalFormatting sqref="D41:AF43">
    <cfRule type="expression" dxfId="5402" priority="78">
      <formula>D41&gt;$AG41</formula>
    </cfRule>
  </conditionalFormatting>
  <conditionalFormatting sqref="B41:B44 C44:AG44 C41:C43">
    <cfRule type="expression" dxfId="5401" priority="74">
      <formula>B$9&gt;=20/24</formula>
    </cfRule>
    <cfRule type="expression" dxfId="5400" priority="75">
      <formula>AND(B$9&gt;=14/24,B$9&lt;20/24)</formula>
    </cfRule>
    <cfRule type="expression" dxfId="5399" priority="76">
      <formula>AND(B$9&gt;=8/24,B$9&lt;14/24)</formula>
    </cfRule>
    <cfRule type="expression" dxfId="5398" priority="77">
      <formula>B$9&lt;8/24</formula>
    </cfRule>
  </conditionalFormatting>
  <conditionalFormatting sqref="B41:B44 C44:AG44 C41:C43">
    <cfRule type="expression" dxfId="5397" priority="73">
      <formula>B41&gt;$AG41</formula>
    </cfRule>
  </conditionalFormatting>
  <conditionalFormatting sqref="C99:AF99">
    <cfRule type="expression" dxfId="5396" priority="69">
      <formula>C$9&gt;=20/24</formula>
    </cfRule>
    <cfRule type="expression" dxfId="5395" priority="70">
      <formula>AND(C$9&gt;=14/24,C$9&lt;20/24)</formula>
    </cfRule>
    <cfRule type="expression" dxfId="5394" priority="71">
      <formula>AND(C$9&gt;=8/24,C$9&lt;14/24)</formula>
    </cfRule>
    <cfRule type="expression" dxfId="5393" priority="72">
      <formula>C$9&lt;8/24</formula>
    </cfRule>
  </conditionalFormatting>
  <conditionalFormatting sqref="B99">
    <cfRule type="expression" dxfId="5392" priority="65">
      <formula>B$9&gt;=20/24</formula>
    </cfRule>
    <cfRule type="expression" dxfId="5391" priority="66">
      <formula>AND(B$9&gt;=14/24,B$9&lt;20/24)</formula>
    </cfRule>
    <cfRule type="expression" dxfId="5390" priority="67">
      <formula>AND(B$9&gt;=8/24,B$9&lt;14/24)</formula>
    </cfRule>
    <cfRule type="expression" dxfId="5389" priority="68">
      <formula>B$9&lt;8/24</formula>
    </cfRule>
  </conditionalFormatting>
  <conditionalFormatting sqref="AL33">
    <cfRule type="iconSet" priority="64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5388" priority="59">
      <formula>$AH33=0</formula>
    </cfRule>
  </conditionalFormatting>
  <conditionalFormatting sqref="A82">
    <cfRule type="expression" dxfId="5387" priority="57">
      <formula>$AH82=0</formula>
    </cfRule>
  </conditionalFormatting>
  <conditionalFormatting sqref="A79">
    <cfRule type="expression" dxfId="5386" priority="58">
      <formula>$AH79=0</formula>
    </cfRule>
  </conditionalFormatting>
  <conditionalFormatting sqref="A109">
    <cfRule type="expression" dxfId="5385" priority="48">
      <formula>$AH109=0</formula>
    </cfRule>
  </conditionalFormatting>
  <conditionalFormatting sqref="C102:AF102">
    <cfRule type="expression" dxfId="5384" priority="44">
      <formula>C$9&gt;=20/24</formula>
    </cfRule>
    <cfRule type="expression" dxfId="5383" priority="45">
      <formula>AND(C$9&gt;=14/24,C$9&lt;20/24)</formula>
    </cfRule>
    <cfRule type="expression" dxfId="5382" priority="46">
      <formula>AND(C$9&gt;=8/24,C$9&lt;14/24)</formula>
    </cfRule>
    <cfRule type="expression" dxfId="5381" priority="47">
      <formula>C$9&lt;8/24</formula>
    </cfRule>
  </conditionalFormatting>
  <conditionalFormatting sqref="A102">
    <cfRule type="expression" dxfId="5380" priority="43">
      <formula>$AH102=0</formula>
    </cfRule>
  </conditionalFormatting>
  <conditionalFormatting sqref="B102">
    <cfRule type="expression" dxfId="5379" priority="39">
      <formula>B$9&gt;=20/24</formula>
    </cfRule>
    <cfRule type="expression" dxfId="5378" priority="40">
      <formula>AND(B$9&gt;=14/24,B$9&lt;20/24)</formula>
    </cfRule>
    <cfRule type="expression" dxfId="5377" priority="41">
      <formula>AND(B$9&gt;=8/24,B$9&lt;14/24)</formula>
    </cfRule>
    <cfRule type="expression" dxfId="5376" priority="42">
      <formula>B$9&lt;8/24</formula>
    </cfRule>
  </conditionalFormatting>
  <conditionalFormatting sqref="W52:AE56">
    <cfRule type="expression" dxfId="5375" priority="35">
      <formula>W$9&gt;=20/24</formula>
    </cfRule>
    <cfRule type="expression" dxfId="5374" priority="36">
      <formula>AND(W$9&gt;=14/24,W$9&lt;20/24)</formula>
    </cfRule>
    <cfRule type="expression" dxfId="5373" priority="37">
      <formula>AND(W$9&gt;=8/24,W$9&lt;14/24)</formula>
    </cfRule>
    <cfRule type="expression" dxfId="5372" priority="38">
      <formula>W$9&lt;8/24</formula>
    </cfRule>
  </conditionalFormatting>
  <conditionalFormatting sqref="W52:AE56">
    <cfRule type="expression" dxfId="5371" priority="34">
      <formula>W52&gt;$AG52</formula>
    </cfRule>
  </conditionalFormatting>
  <conditionalFormatting sqref="B17:AF17">
    <cfRule type="expression" dxfId="5370" priority="32">
      <formula>B17&gt;$AG17</formula>
    </cfRule>
  </conditionalFormatting>
  <conditionalFormatting sqref="A17">
    <cfRule type="expression" dxfId="5369" priority="31">
      <formula>$AH17=0</formula>
    </cfRule>
  </conditionalFormatting>
  <conditionalFormatting sqref="W17:AF17">
    <cfRule type="expression" dxfId="5368" priority="27">
      <formula>W$9&gt;=20/24</formula>
    </cfRule>
    <cfRule type="expression" dxfId="5367" priority="28">
      <formula>AND(W$9&gt;=14/24,W$9&lt;20/24)</formula>
    </cfRule>
    <cfRule type="expression" dxfId="5366" priority="29">
      <formula>AND(W$9&gt;=8/24,W$9&lt;14/24)</formula>
    </cfRule>
    <cfRule type="expression" dxfId="5365" priority="30">
      <formula>W$9&lt;8/24</formula>
    </cfRule>
  </conditionalFormatting>
  <conditionalFormatting sqref="B17:V17">
    <cfRule type="expression" dxfId="5364" priority="23">
      <formula>B$9&gt;=20/24</formula>
    </cfRule>
    <cfRule type="expression" dxfId="5363" priority="24">
      <formula>AND(B$9&gt;=14/24,B$9&lt;20/24)</formula>
    </cfRule>
    <cfRule type="expression" dxfId="5362" priority="25">
      <formula>AND(B$9&gt;=8/24,B$9&lt;14/24)</formula>
    </cfRule>
    <cfRule type="expression" dxfId="5361" priority="26">
      <formula>B$9&lt;8/24</formula>
    </cfRule>
  </conditionalFormatting>
  <conditionalFormatting sqref="AL17">
    <cfRule type="iconSet" priority="33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5360" priority="21">
      <formula>$AH30=0</formula>
    </cfRule>
  </conditionalFormatting>
  <conditionalFormatting sqref="U30:AF30">
    <cfRule type="expression" dxfId="5359" priority="17">
      <formula>U$9&gt;=20/24</formula>
    </cfRule>
    <cfRule type="expression" dxfId="5358" priority="18">
      <formula>AND(U$9&gt;=14/24,U$9&lt;20/24)</formula>
    </cfRule>
    <cfRule type="expression" dxfId="5357" priority="19">
      <formula>AND(U$9&gt;=8/24,U$9&lt;14/24)</formula>
    </cfRule>
    <cfRule type="expression" dxfId="5356" priority="20">
      <formula>U$9&lt;8/24</formula>
    </cfRule>
  </conditionalFormatting>
  <conditionalFormatting sqref="U30:AF30">
    <cfRule type="expression" dxfId="5355" priority="16">
      <formula>U30&gt;$AG30</formula>
    </cfRule>
  </conditionalFormatting>
  <conditionalFormatting sqref="B30:T30">
    <cfRule type="expression" dxfId="5354" priority="7">
      <formula>B$9&gt;=20/24</formula>
    </cfRule>
    <cfRule type="expression" dxfId="5353" priority="8">
      <formula>AND(B$9&gt;=14/24,B$9&lt;20/24)</formula>
    </cfRule>
    <cfRule type="expression" dxfId="5352" priority="9">
      <formula>AND(B$9&gt;=8/24,B$9&lt;14/24)</formula>
    </cfRule>
    <cfRule type="expression" dxfId="5351" priority="10">
      <formula>B$9&lt;8/24</formula>
    </cfRule>
  </conditionalFormatting>
  <conditionalFormatting sqref="B30:T30">
    <cfRule type="expression" dxfId="5350" priority="6">
      <formula>B30&gt;$AG30</formula>
    </cfRule>
  </conditionalFormatting>
  <conditionalFormatting sqref="AL30">
    <cfRule type="iconSet" priority="22">
      <iconSet iconSet="3TrafficLights2" reverse="1">
        <cfvo type="percent" val="0"/>
        <cfvo type="num" val="1"/>
        <cfvo type="num" val="1"/>
      </iconSet>
    </cfRule>
  </conditionalFormatting>
  <conditionalFormatting sqref="AJ9">
    <cfRule type="expression" dxfId="5349" priority="5">
      <formula>AJ9&gt;$AG9</formula>
    </cfRule>
  </conditionalFormatting>
  <conditionalFormatting sqref="AJ9">
    <cfRule type="expression" dxfId="5348" priority="1">
      <formula>AJ$9&gt;=20/24</formula>
    </cfRule>
    <cfRule type="expression" dxfId="5347" priority="2">
      <formula>AND(AJ$9&gt;=14/24,AJ$9&lt;20/24)</formula>
    </cfRule>
    <cfRule type="expression" dxfId="5346" priority="3">
      <formula>AND(AJ$9&gt;=8/24,AJ$9&lt;14/24)</formula>
    </cfRule>
    <cfRule type="expression" dxfId="5345" priority="4">
      <formula>AJ$9&lt;8/24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0" id="{A65ABF84-0F40-4032-893D-E2B3D4C0E23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1" id="{C2C5BD02-CADC-4A6B-B5E7-CC36DCD1E5E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2" id="{37BA6144-41B8-483D-9FBC-E6AF94CC7652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3" id="{F0A25307-3630-435E-9727-5ABFA8B7945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53" id="{AF2F3A28-2246-41DB-8713-E580954D512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4" id="{C95F5892-0E41-47EE-850C-868BED0C1B9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5" id="{58ADEBA1-CA6A-4A9A-BF32-C428668C15B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6" id="{A9598009-CB41-444A-AF91-B5477BD64857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9" id="{BA0D8970-63D5-4F23-8223-67A1F41DAF3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0" id="{BF91F615-FA7F-4F22-A8A0-7BF52920FC0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1" id="{3C9C7C7C-9E16-4601-8CB4-7AF1513E888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2" id="{89CCDEA4-5137-4B70-8E3F-DC014556D48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K8" sqref="AK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21" style="1" bestFit="1" customWidth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2079/06/17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36.4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0</v>
      </c>
      <c r="X5" s="148">
        <f t="shared" si="0"/>
        <v>0</v>
      </c>
      <c r="Y5" s="148">
        <f t="shared" si="0"/>
        <v>0</v>
      </c>
      <c r="Z5" s="148">
        <f t="shared" si="0"/>
        <v>0</v>
      </c>
      <c r="AA5" s="148">
        <f t="shared" si="0"/>
        <v>0</v>
      </c>
      <c r="AB5" s="148">
        <f t="shared" si="0"/>
        <v>0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B74</f>
        <v>39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1541MW at 5:30hr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K6" s="1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Load=1425</v>
      </c>
      <c r="B7" s="137">
        <f t="shared" ref="B7:AF7" si="1">B81</f>
        <v>1604.8400000000001</v>
      </c>
      <c r="C7" s="137">
        <f t="shared" si="1"/>
        <v>1607.2400000000002</v>
      </c>
      <c r="D7" s="137">
        <f t="shared" si="1"/>
        <v>1579.8400000000001</v>
      </c>
      <c r="E7" s="137">
        <f t="shared" si="1"/>
        <v>1576.8400000000001</v>
      </c>
      <c r="F7" s="137">
        <f t="shared" si="1"/>
        <v>1515.54</v>
      </c>
      <c r="G7" s="137">
        <f t="shared" si="1"/>
        <v>1515.04</v>
      </c>
      <c r="H7" s="137">
        <f t="shared" si="1"/>
        <v>1541.14</v>
      </c>
      <c r="I7" s="137">
        <f t="shared" si="1"/>
        <v>1506.1399999999999</v>
      </c>
      <c r="J7" s="137">
        <f t="shared" si="1"/>
        <v>1506.1399999999999</v>
      </c>
      <c r="K7" s="137">
        <f t="shared" si="1"/>
        <v>1505.54</v>
      </c>
      <c r="L7" s="137">
        <f t="shared" si="1"/>
        <v>1504.84</v>
      </c>
      <c r="M7" s="137">
        <f t="shared" si="1"/>
        <v>1504.84</v>
      </c>
      <c r="N7" s="137">
        <f t="shared" si="1"/>
        <v>1504.84</v>
      </c>
      <c r="O7" s="137">
        <f t="shared" si="1"/>
        <v>1473.84</v>
      </c>
      <c r="P7" s="137">
        <f t="shared" si="1"/>
        <v>1473.84</v>
      </c>
      <c r="Q7" s="137">
        <f t="shared" si="1"/>
        <v>1576.84</v>
      </c>
      <c r="R7" s="137">
        <f t="shared" si="1"/>
        <v>1479.54</v>
      </c>
      <c r="S7" s="137">
        <f t="shared" si="1"/>
        <v>1485.2399999999998</v>
      </c>
      <c r="T7" s="137">
        <f t="shared" si="1"/>
        <v>1484.6399999999999</v>
      </c>
      <c r="U7" s="137">
        <f t="shared" si="1"/>
        <v>1433.74</v>
      </c>
      <c r="V7" s="137">
        <f t="shared" si="1"/>
        <v>1425.34</v>
      </c>
      <c r="W7" s="137">
        <f t="shared" si="1"/>
        <v>1425.34</v>
      </c>
      <c r="X7" s="137">
        <f t="shared" si="1"/>
        <v>1493.84</v>
      </c>
      <c r="Y7" s="137">
        <f t="shared" si="1"/>
        <v>1652.84</v>
      </c>
      <c r="Z7" s="137">
        <f t="shared" si="1"/>
        <v>1704.84</v>
      </c>
      <c r="AA7" s="137">
        <f t="shared" si="1"/>
        <v>1693.34</v>
      </c>
      <c r="AB7" s="137">
        <f t="shared" si="1"/>
        <v>1693.74</v>
      </c>
      <c r="AC7" s="137">
        <f t="shared" si="1"/>
        <v>1627.44</v>
      </c>
      <c r="AD7" s="137">
        <f t="shared" si="1"/>
        <v>1610.8400000000001</v>
      </c>
      <c r="AE7" s="137">
        <f t="shared" si="1"/>
        <v>1571.2400000000002</v>
      </c>
      <c r="AF7" s="137">
        <f t="shared" si="1"/>
        <v>1508.44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K8" s="19">
        <f>(1840*24-(B7+C7+D7+E7+F7+G7+I7+K7+M7+N7+O7+P7+Q7+R7+S7+T7+U7+V7+X7+Z7+AB7+AD7+AE7+AF7))</f>
        <v>7323.3399999999965</v>
      </c>
      <c r="AL8" s="19">
        <f>(1750*16-(C7+D7+E7+F7+G7+I7+K7+M7+N7+O7+P7+Q7+R7+S7+T7+U7+V7+X7+Z7+AB7+AD7+AE7+AF7))</f>
        <v>-7231.820000000007</v>
      </c>
      <c r="AM8" s="19">
        <f>(1750*17-(C7+D7+E7+F7+G7+H7+J7+L7+N7+O7+P7+Q7+R7+S7+T7+U7+V7+W7+Y7+AA7+AC7+AE7+AF7))</f>
        <v>-5413.1200000000026</v>
      </c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K9" s="170" t="s">
        <v>283</v>
      </c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53.4</v>
      </c>
      <c r="C11" s="105">
        <v>53.4</v>
      </c>
      <c r="D11" s="105">
        <v>53.4</v>
      </c>
      <c r="E11" s="105">
        <v>53.4</v>
      </c>
      <c r="F11" s="105">
        <v>53.4</v>
      </c>
      <c r="G11" s="105">
        <v>53.4</v>
      </c>
      <c r="H11" s="105">
        <v>53.4</v>
      </c>
      <c r="I11" s="105">
        <v>53.4</v>
      </c>
      <c r="J11" s="105">
        <v>53.4</v>
      </c>
      <c r="K11" s="105">
        <v>53.4</v>
      </c>
      <c r="L11" s="105">
        <v>53.4</v>
      </c>
      <c r="M11" s="105">
        <v>53.4</v>
      </c>
      <c r="N11" s="105">
        <v>53.4</v>
      </c>
      <c r="O11" s="105">
        <v>53.4</v>
      </c>
      <c r="P11" s="105">
        <v>53.4</v>
      </c>
      <c r="Q11" s="105">
        <v>53.4</v>
      </c>
      <c r="R11" s="105">
        <v>53.4</v>
      </c>
      <c r="S11" s="105">
        <v>53.4</v>
      </c>
      <c r="T11" s="105">
        <v>53.4</v>
      </c>
      <c r="U11" s="105">
        <v>53.4</v>
      </c>
      <c r="V11" s="105">
        <v>53.4</v>
      </c>
      <c r="W11" s="105">
        <v>53.4</v>
      </c>
      <c r="X11" s="105">
        <v>53.4</v>
      </c>
      <c r="Y11" s="128">
        <v>53.4</v>
      </c>
      <c r="Z11" s="128">
        <v>53.4</v>
      </c>
      <c r="AA11" s="128">
        <v>53.4</v>
      </c>
      <c r="AB11" s="128">
        <v>53.3</v>
      </c>
      <c r="AC11" s="128">
        <v>53.3</v>
      </c>
      <c r="AD11" s="128">
        <v>53.3</v>
      </c>
      <c r="AE11" s="128">
        <v>53.3</v>
      </c>
      <c r="AF11" s="128">
        <v>53.5</v>
      </c>
      <c r="AG11" s="127">
        <v>52.4</v>
      </c>
      <c r="AH11" s="20">
        <f>MAX(B11:AF11)</f>
        <v>53.5</v>
      </c>
      <c r="AI11" s="19">
        <f>MIN(B11:AF11)</f>
        <v>53.3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</v>
      </c>
      <c r="C12" s="105">
        <v>50</v>
      </c>
      <c r="D12" s="105">
        <v>50</v>
      </c>
      <c r="E12" s="105">
        <v>50</v>
      </c>
      <c r="F12" s="105">
        <v>50</v>
      </c>
      <c r="G12" s="105">
        <v>50</v>
      </c>
      <c r="H12" s="105">
        <v>50</v>
      </c>
      <c r="I12" s="105">
        <v>50</v>
      </c>
      <c r="J12" s="105">
        <v>50</v>
      </c>
      <c r="K12" s="105">
        <v>50</v>
      </c>
      <c r="L12" s="105">
        <v>50</v>
      </c>
      <c r="M12" s="105">
        <v>50</v>
      </c>
      <c r="N12" s="105">
        <v>50</v>
      </c>
      <c r="O12" s="105">
        <v>50</v>
      </c>
      <c r="P12" s="105">
        <v>50</v>
      </c>
      <c r="Q12" s="105">
        <v>50</v>
      </c>
      <c r="R12" s="105">
        <v>50</v>
      </c>
      <c r="S12" s="105">
        <v>50</v>
      </c>
      <c r="T12" s="105">
        <v>50</v>
      </c>
      <c r="U12" s="105">
        <v>50</v>
      </c>
      <c r="V12" s="105">
        <v>50</v>
      </c>
      <c r="W12" s="105">
        <v>50</v>
      </c>
      <c r="X12" s="105">
        <v>50</v>
      </c>
      <c r="Y12" s="105">
        <v>50</v>
      </c>
      <c r="Z12" s="105">
        <v>50</v>
      </c>
      <c r="AA12" s="105">
        <v>50</v>
      </c>
      <c r="AB12" s="105">
        <v>50.5</v>
      </c>
      <c r="AC12" s="105">
        <v>50.5</v>
      </c>
      <c r="AD12" s="105">
        <v>50.4</v>
      </c>
      <c r="AE12" s="105">
        <v>50.4</v>
      </c>
      <c r="AF12" s="105">
        <v>50.4</v>
      </c>
      <c r="AG12" s="126">
        <v>50</v>
      </c>
      <c r="AH12" s="20">
        <f t="shared" ref="AH12:AH75" si="2">MAX(B12:AF12)</f>
        <v>50.5</v>
      </c>
      <c r="AI12" s="19">
        <f t="shared" ref="AI12:AI75" si="3">MIN(B12:AF12)</f>
        <v>50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46</v>
      </c>
      <c r="C13" s="105">
        <v>46</v>
      </c>
      <c r="D13" s="105">
        <v>46</v>
      </c>
      <c r="E13" s="105">
        <v>46</v>
      </c>
      <c r="F13" s="105">
        <v>46</v>
      </c>
      <c r="G13" s="105">
        <v>46</v>
      </c>
      <c r="H13" s="105">
        <v>46</v>
      </c>
      <c r="I13" s="105">
        <v>46</v>
      </c>
      <c r="J13" s="105">
        <v>46</v>
      </c>
      <c r="K13" s="105">
        <v>46</v>
      </c>
      <c r="L13" s="105">
        <v>46</v>
      </c>
      <c r="M13" s="105">
        <v>46</v>
      </c>
      <c r="N13" s="105">
        <v>46</v>
      </c>
      <c r="O13" s="105">
        <v>46</v>
      </c>
      <c r="P13" s="105">
        <v>46</v>
      </c>
      <c r="Q13" s="105">
        <v>46</v>
      </c>
      <c r="R13" s="105">
        <v>46</v>
      </c>
      <c r="S13" s="105">
        <v>46</v>
      </c>
      <c r="T13" s="105">
        <v>46</v>
      </c>
      <c r="U13" s="105">
        <v>46</v>
      </c>
      <c r="V13" s="105">
        <v>46</v>
      </c>
      <c r="W13" s="105">
        <v>46</v>
      </c>
      <c r="X13" s="105">
        <v>46</v>
      </c>
      <c r="Y13" s="105">
        <v>46</v>
      </c>
      <c r="Z13" s="105">
        <v>46</v>
      </c>
      <c r="AA13" s="105">
        <v>46</v>
      </c>
      <c r="AB13" s="105">
        <v>46</v>
      </c>
      <c r="AC13" s="105">
        <v>46</v>
      </c>
      <c r="AD13" s="105">
        <v>46</v>
      </c>
      <c r="AE13" s="105">
        <v>46</v>
      </c>
      <c r="AF13" s="105">
        <v>37</v>
      </c>
      <c r="AG13" s="126">
        <v>45</v>
      </c>
      <c r="AH13" s="20">
        <f t="shared" si="2"/>
        <v>46</v>
      </c>
      <c r="AI13" s="19">
        <f t="shared" si="3"/>
        <v>37</v>
      </c>
      <c r="AK13" s="41"/>
      <c r="AL13" s="126">
        <f>3365/8</f>
        <v>420.625</v>
      </c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32</v>
      </c>
      <c r="C14" s="105">
        <v>37</v>
      </c>
      <c r="D14" s="105">
        <v>30</v>
      </c>
      <c r="E14" s="105">
        <v>27</v>
      </c>
      <c r="F14" s="105">
        <v>26</v>
      </c>
      <c r="G14" s="105">
        <v>26</v>
      </c>
      <c r="H14" s="105">
        <v>26</v>
      </c>
      <c r="I14" s="105">
        <v>26</v>
      </c>
      <c r="J14" s="105">
        <v>26</v>
      </c>
      <c r="K14" s="105">
        <v>26</v>
      </c>
      <c r="L14" s="105">
        <v>26</v>
      </c>
      <c r="M14" s="105">
        <v>26</v>
      </c>
      <c r="N14" s="105">
        <v>26</v>
      </c>
      <c r="O14" s="105">
        <v>26</v>
      </c>
      <c r="P14" s="105">
        <v>26</v>
      </c>
      <c r="Q14" s="105">
        <v>26</v>
      </c>
      <c r="R14" s="105">
        <v>26</v>
      </c>
      <c r="S14" s="105">
        <v>26</v>
      </c>
      <c r="T14" s="105">
        <v>26</v>
      </c>
      <c r="U14" s="105">
        <v>26</v>
      </c>
      <c r="V14" s="105">
        <v>26</v>
      </c>
      <c r="W14" s="105">
        <v>26</v>
      </c>
      <c r="X14" s="105">
        <v>26</v>
      </c>
      <c r="Y14" s="105">
        <v>35</v>
      </c>
      <c r="Z14" s="105">
        <v>40</v>
      </c>
      <c r="AA14" s="105">
        <v>40</v>
      </c>
      <c r="AB14" s="105">
        <v>40</v>
      </c>
      <c r="AC14" s="105">
        <v>40</v>
      </c>
      <c r="AD14" s="105">
        <v>35</v>
      </c>
      <c r="AE14" s="105">
        <v>35</v>
      </c>
      <c r="AF14" s="105">
        <v>25</v>
      </c>
      <c r="AG14" s="126">
        <v>42</v>
      </c>
      <c r="AH14" s="20">
        <f t="shared" si="2"/>
        <v>40</v>
      </c>
      <c r="AI14" s="19">
        <f t="shared" si="3"/>
        <v>25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0</v>
      </c>
      <c r="N15" s="105">
        <v>0</v>
      </c>
      <c r="O15" s="105">
        <v>0</v>
      </c>
      <c r="P15" s="105">
        <v>0</v>
      </c>
      <c r="Q15" s="105">
        <v>0</v>
      </c>
      <c r="R15" s="105">
        <v>0</v>
      </c>
      <c r="S15" s="105">
        <v>0</v>
      </c>
      <c r="T15" s="105">
        <v>0</v>
      </c>
      <c r="U15" s="105">
        <v>0</v>
      </c>
      <c r="V15" s="105">
        <v>0</v>
      </c>
      <c r="W15" s="105">
        <v>0</v>
      </c>
      <c r="X15" s="105">
        <v>0</v>
      </c>
      <c r="Y15" s="105">
        <v>10</v>
      </c>
      <c r="Z15" s="105">
        <v>15</v>
      </c>
      <c r="AA15" s="105">
        <v>10.5</v>
      </c>
      <c r="AB15" s="105">
        <v>10.5</v>
      </c>
      <c r="AC15" s="105">
        <v>10.5</v>
      </c>
      <c r="AD15" s="105">
        <v>0</v>
      </c>
      <c r="AE15" s="105">
        <v>0</v>
      </c>
      <c r="AF15" s="105">
        <v>0</v>
      </c>
      <c r="AG15" s="96">
        <v>30</v>
      </c>
      <c r="AH15" s="20">
        <f t="shared" si="2"/>
        <v>15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25.4</v>
      </c>
      <c r="C16" s="105">
        <v>25.4</v>
      </c>
      <c r="D16" s="105">
        <v>25.4</v>
      </c>
      <c r="E16" s="105">
        <v>25.4</v>
      </c>
      <c r="F16" s="105">
        <v>25.4</v>
      </c>
      <c r="G16" s="105">
        <v>25.4</v>
      </c>
      <c r="H16" s="105">
        <v>25.4</v>
      </c>
      <c r="I16" s="105">
        <v>25.4</v>
      </c>
      <c r="J16" s="105">
        <v>25.4</v>
      </c>
      <c r="K16" s="105">
        <v>25.4</v>
      </c>
      <c r="L16" s="105">
        <v>25.4</v>
      </c>
      <c r="M16" s="105">
        <v>25.4</v>
      </c>
      <c r="N16" s="105">
        <v>25.4</v>
      </c>
      <c r="O16" s="105">
        <v>25.4</v>
      </c>
      <c r="P16" s="105">
        <v>25.4</v>
      </c>
      <c r="Q16" s="105">
        <v>25.4</v>
      </c>
      <c r="R16" s="105">
        <v>25.4</v>
      </c>
      <c r="S16" s="105">
        <v>25.4</v>
      </c>
      <c r="T16" s="105">
        <v>25.4</v>
      </c>
      <c r="U16" s="105">
        <v>25.4</v>
      </c>
      <c r="V16" s="105">
        <v>25.4</v>
      </c>
      <c r="W16" s="105">
        <v>25.4</v>
      </c>
      <c r="X16" s="105">
        <v>25.4</v>
      </c>
      <c r="Y16" s="105">
        <v>25.4</v>
      </c>
      <c r="Z16" s="105">
        <v>25.4</v>
      </c>
      <c r="AA16" s="105">
        <v>25.4</v>
      </c>
      <c r="AB16" s="105">
        <v>25.4</v>
      </c>
      <c r="AC16" s="105">
        <v>25.4</v>
      </c>
      <c r="AD16" s="105">
        <v>25.4</v>
      </c>
      <c r="AE16" s="105">
        <v>25.4</v>
      </c>
      <c r="AF16" s="105">
        <v>25.4</v>
      </c>
      <c r="AG16" s="126">
        <v>24.2</v>
      </c>
      <c r="AH16" s="20">
        <f t="shared" si="2"/>
        <v>25.4</v>
      </c>
      <c r="AI16" s="19">
        <f t="shared" si="3"/>
        <v>25.4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0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5">
        <v>0</v>
      </c>
      <c r="O17" s="105">
        <v>0</v>
      </c>
      <c r="P17" s="105">
        <v>0</v>
      </c>
      <c r="Q17" s="105">
        <v>0</v>
      </c>
      <c r="R17" s="105">
        <v>0</v>
      </c>
      <c r="S17" s="105">
        <v>0</v>
      </c>
      <c r="T17" s="105">
        <v>0</v>
      </c>
      <c r="U17" s="105">
        <v>0</v>
      </c>
      <c r="V17" s="105">
        <v>0</v>
      </c>
      <c r="W17" s="105">
        <v>0</v>
      </c>
      <c r="X17" s="105">
        <v>0</v>
      </c>
      <c r="Y17" s="105">
        <v>9</v>
      </c>
      <c r="Z17" s="105">
        <v>15</v>
      </c>
      <c r="AA17" s="105">
        <v>10</v>
      </c>
      <c r="AB17" s="105">
        <v>10</v>
      </c>
      <c r="AC17" s="105">
        <v>10</v>
      </c>
      <c r="AD17" s="105">
        <v>0</v>
      </c>
      <c r="AE17" s="105">
        <v>0</v>
      </c>
      <c r="AF17" s="105">
        <v>0</v>
      </c>
      <c r="AG17" s="96">
        <v>30</v>
      </c>
      <c r="AH17" s="20">
        <f t="shared" si="2"/>
        <v>15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25</v>
      </c>
      <c r="C18" s="105">
        <v>25</v>
      </c>
      <c r="D18" s="105">
        <v>25</v>
      </c>
      <c r="E18" s="105">
        <v>25</v>
      </c>
      <c r="F18" s="105">
        <v>25</v>
      </c>
      <c r="G18" s="105">
        <v>25</v>
      </c>
      <c r="H18" s="105">
        <v>25</v>
      </c>
      <c r="I18" s="105">
        <v>20.399999999999999</v>
      </c>
      <c r="J18" s="105">
        <v>20.399999999999999</v>
      </c>
      <c r="K18" s="105">
        <v>20.399999999999999</v>
      </c>
      <c r="L18" s="105">
        <v>20.399999999999999</v>
      </c>
      <c r="M18" s="105">
        <v>20.399999999999999</v>
      </c>
      <c r="N18" s="105">
        <v>20.399999999999999</v>
      </c>
      <c r="O18" s="105">
        <v>20.399999999999999</v>
      </c>
      <c r="P18" s="105">
        <v>20.399999999999999</v>
      </c>
      <c r="Q18" s="105">
        <v>20.399999999999999</v>
      </c>
      <c r="R18" s="105">
        <v>20.399999999999999</v>
      </c>
      <c r="S18" s="105">
        <v>20.399999999999999</v>
      </c>
      <c r="T18" s="105">
        <v>20.399999999999999</v>
      </c>
      <c r="U18" s="105">
        <v>20.399999999999999</v>
      </c>
      <c r="V18" s="105">
        <v>20.399999999999999</v>
      </c>
      <c r="W18" s="105">
        <v>20.399999999999999</v>
      </c>
      <c r="X18" s="105">
        <v>20.399999999999999</v>
      </c>
      <c r="Y18" s="105">
        <v>20.399999999999999</v>
      </c>
      <c r="Z18" s="105">
        <v>20.399999999999999</v>
      </c>
      <c r="AA18" s="105">
        <v>20.399999999999999</v>
      </c>
      <c r="AB18" s="105">
        <v>20.399999999999999</v>
      </c>
      <c r="AC18" s="105">
        <v>25.2</v>
      </c>
      <c r="AD18" s="105">
        <v>25.4</v>
      </c>
      <c r="AE18" s="105">
        <v>25.4</v>
      </c>
      <c r="AF18" s="105">
        <v>25.4</v>
      </c>
      <c r="AG18" s="126">
        <v>25</v>
      </c>
      <c r="AH18" s="20">
        <f t="shared" si="2"/>
        <v>25.4</v>
      </c>
      <c r="AI18" s="19">
        <f t="shared" si="3"/>
        <v>20.399999999999999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25</v>
      </c>
      <c r="C19" s="105">
        <v>25</v>
      </c>
      <c r="D19" s="105">
        <v>25</v>
      </c>
      <c r="E19" s="105">
        <v>25</v>
      </c>
      <c r="F19" s="105">
        <v>23</v>
      </c>
      <c r="G19" s="105">
        <v>23</v>
      </c>
      <c r="H19" s="105">
        <v>23</v>
      </c>
      <c r="I19" s="105">
        <v>23</v>
      </c>
      <c r="J19" s="105">
        <v>23</v>
      </c>
      <c r="K19" s="105">
        <v>23</v>
      </c>
      <c r="L19" s="105">
        <v>23</v>
      </c>
      <c r="M19" s="105">
        <v>23</v>
      </c>
      <c r="N19" s="105">
        <v>23</v>
      </c>
      <c r="O19" s="105">
        <v>23</v>
      </c>
      <c r="P19" s="105">
        <v>23</v>
      </c>
      <c r="Q19" s="105"/>
      <c r="R19" s="105">
        <v>12.5</v>
      </c>
      <c r="S19" s="105">
        <v>20</v>
      </c>
      <c r="T19" s="105">
        <v>20</v>
      </c>
      <c r="U19" s="105">
        <v>20</v>
      </c>
      <c r="V19" s="105">
        <v>20</v>
      </c>
      <c r="W19" s="105">
        <v>20</v>
      </c>
      <c r="X19" s="105">
        <v>20</v>
      </c>
      <c r="Y19" s="105">
        <v>20</v>
      </c>
      <c r="Z19" s="105">
        <v>20</v>
      </c>
      <c r="AA19" s="105">
        <v>20</v>
      </c>
      <c r="AB19" s="105">
        <v>20</v>
      </c>
      <c r="AC19" s="105">
        <v>20</v>
      </c>
      <c r="AD19" s="105">
        <v>20</v>
      </c>
      <c r="AE19" s="105">
        <v>20</v>
      </c>
      <c r="AF19" s="105">
        <v>20</v>
      </c>
      <c r="AG19" s="126">
        <v>25</v>
      </c>
      <c r="AH19" s="20">
        <f t="shared" si="2"/>
        <v>25</v>
      </c>
      <c r="AI19" s="19">
        <f t="shared" si="3"/>
        <v>12.5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23</v>
      </c>
      <c r="C20" s="105">
        <v>23</v>
      </c>
      <c r="D20" s="105">
        <v>23</v>
      </c>
      <c r="E20" s="105">
        <v>23</v>
      </c>
      <c r="F20" s="105">
        <v>23</v>
      </c>
      <c r="G20" s="105">
        <v>23</v>
      </c>
      <c r="H20" s="105">
        <v>23</v>
      </c>
      <c r="I20" s="105">
        <v>23</v>
      </c>
      <c r="J20" s="105">
        <v>23</v>
      </c>
      <c r="K20" s="105">
        <v>23</v>
      </c>
      <c r="L20" s="105">
        <v>23</v>
      </c>
      <c r="M20" s="105">
        <v>23</v>
      </c>
      <c r="N20" s="105">
        <v>23</v>
      </c>
      <c r="O20" s="105">
        <v>23</v>
      </c>
      <c r="P20" s="105">
        <v>23</v>
      </c>
      <c r="Q20" s="105">
        <v>23</v>
      </c>
      <c r="R20" s="105">
        <v>23</v>
      </c>
      <c r="S20" s="105">
        <v>23</v>
      </c>
      <c r="T20" s="105">
        <v>23</v>
      </c>
      <c r="U20" s="105">
        <v>23</v>
      </c>
      <c r="V20" s="105">
        <v>23</v>
      </c>
      <c r="W20" s="105">
        <v>23</v>
      </c>
      <c r="X20" s="105">
        <v>23</v>
      </c>
      <c r="Y20" s="105">
        <v>23</v>
      </c>
      <c r="Z20" s="105">
        <v>23</v>
      </c>
      <c r="AA20" s="105">
        <v>23</v>
      </c>
      <c r="AB20" s="105">
        <v>23</v>
      </c>
      <c r="AC20" s="105">
        <v>23</v>
      </c>
      <c r="AD20" s="105">
        <v>23</v>
      </c>
      <c r="AE20" s="105">
        <v>23</v>
      </c>
      <c r="AF20" s="105">
        <v>23</v>
      </c>
      <c r="AG20" s="126">
        <v>25</v>
      </c>
      <c r="AH20" s="20">
        <f t="shared" si="2"/>
        <v>23</v>
      </c>
      <c r="AI20" s="19">
        <f t="shared" si="3"/>
        <v>23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23.2</v>
      </c>
      <c r="C21" s="105">
        <v>23.2</v>
      </c>
      <c r="D21" s="105">
        <v>23.2</v>
      </c>
      <c r="E21" s="105">
        <v>23.2</v>
      </c>
      <c r="F21" s="105">
        <v>23.2</v>
      </c>
      <c r="G21" s="105">
        <v>23.2</v>
      </c>
      <c r="H21" s="105">
        <v>23.2</v>
      </c>
      <c r="I21" s="105">
        <v>23.2</v>
      </c>
      <c r="J21" s="105">
        <v>23.2</v>
      </c>
      <c r="K21" s="105">
        <v>23.2</v>
      </c>
      <c r="L21" s="105">
        <v>23.2</v>
      </c>
      <c r="M21" s="105">
        <v>23.2</v>
      </c>
      <c r="N21" s="105">
        <v>23.2</v>
      </c>
      <c r="O21" s="105">
        <v>23.2</v>
      </c>
      <c r="P21" s="105">
        <v>23.2</v>
      </c>
      <c r="Q21" s="105">
        <v>23.2</v>
      </c>
      <c r="R21" s="105">
        <v>23.2</v>
      </c>
      <c r="S21" s="105">
        <v>23.2</v>
      </c>
      <c r="T21" s="105">
        <v>23.2</v>
      </c>
      <c r="U21" s="105">
        <v>23.2</v>
      </c>
      <c r="V21" s="105">
        <v>23.2</v>
      </c>
      <c r="W21" s="105">
        <v>23.2</v>
      </c>
      <c r="X21" s="105">
        <v>23.2</v>
      </c>
      <c r="Y21" s="105">
        <v>23.2</v>
      </c>
      <c r="Z21" s="105">
        <v>23.2</v>
      </c>
      <c r="AA21" s="105">
        <v>23.2</v>
      </c>
      <c r="AB21" s="105">
        <v>23.2</v>
      </c>
      <c r="AC21" s="105">
        <v>23.2</v>
      </c>
      <c r="AD21" s="105">
        <v>23.2</v>
      </c>
      <c r="AE21" s="105">
        <v>23.2</v>
      </c>
      <c r="AF21" s="105">
        <v>23.2</v>
      </c>
      <c r="AG21" s="126">
        <v>23.5</v>
      </c>
      <c r="AH21" s="20">
        <f t="shared" si="2"/>
        <v>23.2</v>
      </c>
      <c r="AI21" s="19">
        <f t="shared" si="3"/>
        <v>23.2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20</v>
      </c>
      <c r="C22" s="105">
        <v>20</v>
      </c>
      <c r="D22" s="105">
        <v>20</v>
      </c>
      <c r="E22" s="105">
        <v>20</v>
      </c>
      <c r="F22" s="105">
        <v>20</v>
      </c>
      <c r="G22" s="105">
        <v>20</v>
      </c>
      <c r="H22" s="105">
        <v>20</v>
      </c>
      <c r="I22" s="105">
        <v>20</v>
      </c>
      <c r="J22" s="105">
        <v>20</v>
      </c>
      <c r="K22" s="105">
        <v>20</v>
      </c>
      <c r="L22" s="105">
        <v>20</v>
      </c>
      <c r="M22" s="105">
        <v>20</v>
      </c>
      <c r="N22" s="105">
        <v>20</v>
      </c>
      <c r="O22" s="105">
        <v>20</v>
      </c>
      <c r="P22" s="105">
        <v>20</v>
      </c>
      <c r="Q22" s="105">
        <v>20</v>
      </c>
      <c r="R22" s="105">
        <v>20</v>
      </c>
      <c r="S22" s="105">
        <v>20</v>
      </c>
      <c r="T22" s="105">
        <v>20</v>
      </c>
      <c r="U22" s="105">
        <v>20</v>
      </c>
      <c r="V22" s="105">
        <v>20</v>
      </c>
      <c r="W22" s="105">
        <v>20</v>
      </c>
      <c r="X22" s="105">
        <v>20</v>
      </c>
      <c r="Y22" s="105">
        <v>20</v>
      </c>
      <c r="Z22" s="105">
        <v>20</v>
      </c>
      <c r="AA22" s="105">
        <v>20</v>
      </c>
      <c r="AB22" s="105">
        <v>20</v>
      </c>
      <c r="AC22" s="105">
        <v>20</v>
      </c>
      <c r="AD22" s="105">
        <v>20</v>
      </c>
      <c r="AE22" s="105">
        <v>20</v>
      </c>
      <c r="AF22" s="105">
        <v>20</v>
      </c>
      <c r="AG22" s="126">
        <v>22.2</v>
      </c>
      <c r="AH22" s="20">
        <f t="shared" si="2"/>
        <v>20</v>
      </c>
      <c r="AI22" s="19">
        <f t="shared" si="3"/>
        <v>20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22</v>
      </c>
      <c r="C23" s="105">
        <v>22</v>
      </c>
      <c r="D23" s="105">
        <v>22</v>
      </c>
      <c r="E23" s="105">
        <v>22</v>
      </c>
      <c r="F23" s="105">
        <v>20</v>
      </c>
      <c r="G23" s="105">
        <v>20</v>
      </c>
      <c r="H23" s="105">
        <v>20</v>
      </c>
      <c r="I23" s="105">
        <v>20</v>
      </c>
      <c r="J23" s="105">
        <v>20</v>
      </c>
      <c r="K23" s="105">
        <v>20</v>
      </c>
      <c r="L23" s="105">
        <v>20</v>
      </c>
      <c r="M23" s="105">
        <v>20</v>
      </c>
      <c r="N23" s="105">
        <v>20</v>
      </c>
      <c r="O23" s="105">
        <v>20</v>
      </c>
      <c r="P23" s="105">
        <v>20</v>
      </c>
      <c r="Q23" s="105"/>
      <c r="R23" s="105">
        <v>17</v>
      </c>
      <c r="S23" s="105">
        <v>17</v>
      </c>
      <c r="T23" s="105">
        <v>17</v>
      </c>
      <c r="U23" s="105">
        <v>17</v>
      </c>
      <c r="V23" s="105">
        <v>17</v>
      </c>
      <c r="W23" s="105">
        <v>17</v>
      </c>
      <c r="X23" s="105">
        <v>17</v>
      </c>
      <c r="Y23" s="105">
        <v>17</v>
      </c>
      <c r="Z23" s="105">
        <v>17</v>
      </c>
      <c r="AA23" s="105">
        <v>17</v>
      </c>
      <c r="AB23" s="105">
        <v>17</v>
      </c>
      <c r="AC23" s="105">
        <v>17</v>
      </c>
      <c r="AD23" s="105">
        <v>17</v>
      </c>
      <c r="AE23" s="105">
        <v>17</v>
      </c>
      <c r="AF23" s="105">
        <v>17</v>
      </c>
      <c r="AG23" s="126">
        <v>22.1</v>
      </c>
      <c r="AH23" s="20">
        <f t="shared" si="2"/>
        <v>22</v>
      </c>
      <c r="AI23" s="19">
        <f t="shared" si="3"/>
        <v>17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22</v>
      </c>
      <c r="C24" s="105">
        <v>22</v>
      </c>
      <c r="D24" s="105">
        <v>22</v>
      </c>
      <c r="E24" s="105">
        <v>22</v>
      </c>
      <c r="F24" s="105">
        <v>22</v>
      </c>
      <c r="G24" s="105">
        <v>22</v>
      </c>
      <c r="H24" s="105">
        <v>22</v>
      </c>
      <c r="I24" s="105">
        <v>22</v>
      </c>
      <c r="J24" s="105">
        <v>22</v>
      </c>
      <c r="K24" s="105">
        <v>22</v>
      </c>
      <c r="L24" s="105">
        <v>22</v>
      </c>
      <c r="M24" s="105">
        <v>22</v>
      </c>
      <c r="N24" s="105">
        <v>22</v>
      </c>
      <c r="O24" s="105">
        <v>22</v>
      </c>
      <c r="P24" s="105">
        <v>22</v>
      </c>
      <c r="Q24" s="105">
        <v>22</v>
      </c>
      <c r="R24" s="105">
        <v>22</v>
      </c>
      <c r="S24" s="105">
        <v>22</v>
      </c>
      <c r="T24" s="105">
        <v>22</v>
      </c>
      <c r="U24" s="105">
        <v>22</v>
      </c>
      <c r="V24" s="105">
        <v>22</v>
      </c>
      <c r="W24" s="105">
        <v>22</v>
      </c>
      <c r="X24" s="105">
        <v>22</v>
      </c>
      <c r="Y24" s="105">
        <v>22</v>
      </c>
      <c r="Z24" s="105">
        <v>22</v>
      </c>
      <c r="AA24" s="105">
        <v>22</v>
      </c>
      <c r="AB24" s="105">
        <v>22</v>
      </c>
      <c r="AC24" s="105">
        <v>22</v>
      </c>
      <c r="AD24" s="105">
        <v>22</v>
      </c>
      <c r="AE24" s="105">
        <v>22</v>
      </c>
      <c r="AF24" s="105">
        <v>22</v>
      </c>
      <c r="AG24" s="126">
        <v>22</v>
      </c>
      <c r="AH24" s="20">
        <f t="shared" si="2"/>
        <v>22</v>
      </c>
      <c r="AI24" s="19">
        <f t="shared" si="3"/>
        <v>22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20</v>
      </c>
      <c r="C25" s="105">
        <v>20</v>
      </c>
      <c r="D25" s="105">
        <v>20</v>
      </c>
      <c r="E25" s="105">
        <v>20</v>
      </c>
      <c r="F25" s="105">
        <v>20</v>
      </c>
      <c r="G25" s="105">
        <v>20</v>
      </c>
      <c r="H25" s="105">
        <v>20</v>
      </c>
      <c r="I25" s="105">
        <v>20</v>
      </c>
      <c r="J25" s="105">
        <v>20</v>
      </c>
      <c r="K25" s="105">
        <v>20</v>
      </c>
      <c r="L25" s="105">
        <v>20</v>
      </c>
      <c r="M25" s="105">
        <v>20</v>
      </c>
      <c r="N25" s="105">
        <v>20</v>
      </c>
      <c r="O25" s="105">
        <v>20</v>
      </c>
      <c r="P25" s="105">
        <v>20</v>
      </c>
      <c r="Q25" s="105">
        <v>20</v>
      </c>
      <c r="R25" s="105">
        <v>20</v>
      </c>
      <c r="S25" s="105">
        <v>20</v>
      </c>
      <c r="T25" s="105">
        <v>20</v>
      </c>
      <c r="U25" s="105">
        <v>20</v>
      </c>
      <c r="V25" s="105">
        <v>20</v>
      </c>
      <c r="W25" s="105">
        <v>20</v>
      </c>
      <c r="X25" s="105">
        <v>20</v>
      </c>
      <c r="Y25" s="105">
        <v>20</v>
      </c>
      <c r="Z25" s="105">
        <v>20</v>
      </c>
      <c r="AA25" s="105">
        <v>20</v>
      </c>
      <c r="AB25" s="105">
        <v>20</v>
      </c>
      <c r="AC25" s="105">
        <v>20</v>
      </c>
      <c r="AD25" s="105">
        <v>12</v>
      </c>
      <c r="AE25" s="105">
        <v>12</v>
      </c>
      <c r="AF25" s="105">
        <v>12</v>
      </c>
      <c r="AG25" s="126">
        <v>22</v>
      </c>
      <c r="AH25" s="20">
        <f t="shared" si="2"/>
        <v>20</v>
      </c>
      <c r="AI25" s="19">
        <f t="shared" si="3"/>
        <v>12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10</v>
      </c>
      <c r="C26" s="105">
        <v>10</v>
      </c>
      <c r="D26" s="105">
        <v>5</v>
      </c>
      <c r="E26" s="105">
        <v>5</v>
      </c>
      <c r="F26" s="105">
        <v>5</v>
      </c>
      <c r="G26" s="105">
        <v>5</v>
      </c>
      <c r="H26" s="105">
        <v>5</v>
      </c>
      <c r="I26" s="105">
        <v>5</v>
      </c>
      <c r="J26" s="105">
        <v>5</v>
      </c>
      <c r="K26" s="105">
        <v>5</v>
      </c>
      <c r="L26" s="105">
        <v>5</v>
      </c>
      <c r="M26" s="105">
        <v>5</v>
      </c>
      <c r="N26" s="105">
        <v>5</v>
      </c>
      <c r="O26" s="105">
        <v>5</v>
      </c>
      <c r="P26" s="105">
        <v>5</v>
      </c>
      <c r="Q26" s="105">
        <v>5</v>
      </c>
      <c r="R26" s="105">
        <v>5</v>
      </c>
      <c r="S26" s="105">
        <v>5</v>
      </c>
      <c r="T26" s="105">
        <v>5</v>
      </c>
      <c r="U26" s="105">
        <v>5</v>
      </c>
      <c r="V26" s="105">
        <v>5</v>
      </c>
      <c r="W26" s="105">
        <v>5</v>
      </c>
      <c r="X26" s="105">
        <v>5</v>
      </c>
      <c r="Y26" s="105">
        <v>10</v>
      </c>
      <c r="Z26" s="105">
        <v>10</v>
      </c>
      <c r="AA26" s="105">
        <v>10</v>
      </c>
      <c r="AB26" s="105">
        <v>10</v>
      </c>
      <c r="AC26" s="105">
        <v>10</v>
      </c>
      <c r="AD26" s="105">
        <v>0</v>
      </c>
      <c r="AE26" s="105">
        <v>0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14.9</v>
      </c>
      <c r="C27" s="105">
        <v>14.9</v>
      </c>
      <c r="D27" s="105">
        <v>14.9</v>
      </c>
      <c r="E27" s="105">
        <v>14.9</v>
      </c>
      <c r="F27" s="105">
        <v>14.9</v>
      </c>
      <c r="G27" s="105">
        <v>14.9</v>
      </c>
      <c r="H27" s="105">
        <v>14.9</v>
      </c>
      <c r="I27" s="105">
        <v>14.9</v>
      </c>
      <c r="J27" s="105">
        <v>14.9</v>
      </c>
      <c r="K27" s="105">
        <v>14.9</v>
      </c>
      <c r="L27" s="105">
        <v>14.9</v>
      </c>
      <c r="M27" s="105">
        <v>14.9</v>
      </c>
      <c r="N27" s="105">
        <v>14.9</v>
      </c>
      <c r="O27" s="105">
        <v>14.9</v>
      </c>
      <c r="P27" s="105">
        <v>14.9</v>
      </c>
      <c r="Q27" s="105">
        <v>14.9</v>
      </c>
      <c r="R27" s="105">
        <v>14.9</v>
      </c>
      <c r="S27" s="105">
        <v>14.9</v>
      </c>
      <c r="T27" s="105">
        <v>14.9</v>
      </c>
      <c r="U27" s="105">
        <v>14.9</v>
      </c>
      <c r="V27" s="105">
        <v>14.9</v>
      </c>
      <c r="W27" s="105">
        <v>14.9</v>
      </c>
      <c r="X27" s="105">
        <v>14.9</v>
      </c>
      <c r="Y27" s="105">
        <v>14.9</v>
      </c>
      <c r="Z27" s="105">
        <v>14.9</v>
      </c>
      <c r="AA27" s="105">
        <v>14.9</v>
      </c>
      <c r="AB27" s="105">
        <v>14.9</v>
      </c>
      <c r="AC27" s="105">
        <v>14.9</v>
      </c>
      <c r="AD27" s="105">
        <v>14.9</v>
      </c>
      <c r="AE27" s="105">
        <v>14.9</v>
      </c>
      <c r="AF27" s="105">
        <v>14.9</v>
      </c>
      <c r="AG27" s="126">
        <v>14.9</v>
      </c>
      <c r="AH27" s="20">
        <f t="shared" si="2"/>
        <v>14.9</v>
      </c>
      <c r="AI27" s="19">
        <f t="shared" si="3"/>
        <v>14.9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>
        <v>6.8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>
        <v>6.8</v>
      </c>
      <c r="AE28" s="105">
        <v>6.8</v>
      </c>
      <c r="AF28" s="105">
        <v>6.8</v>
      </c>
      <c r="AG28" s="126">
        <v>13.6</v>
      </c>
      <c r="AH28" s="20">
        <f t="shared" si="2"/>
        <v>6.8</v>
      </c>
      <c r="AI28" s="19">
        <f t="shared" si="3"/>
        <v>6.8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13</v>
      </c>
      <c r="C29" s="105">
        <v>13</v>
      </c>
      <c r="D29" s="105">
        <v>13</v>
      </c>
      <c r="E29" s="105">
        <v>13</v>
      </c>
      <c r="F29" s="105">
        <v>13</v>
      </c>
      <c r="G29" s="105">
        <v>13</v>
      </c>
      <c r="H29" s="105">
        <v>13</v>
      </c>
      <c r="I29" s="105">
        <v>10</v>
      </c>
      <c r="J29" s="105">
        <v>10</v>
      </c>
      <c r="K29" s="105">
        <v>10</v>
      </c>
      <c r="L29" s="105">
        <v>10</v>
      </c>
      <c r="M29" s="105">
        <v>10</v>
      </c>
      <c r="N29" s="105">
        <v>10</v>
      </c>
      <c r="O29" s="105">
        <v>10</v>
      </c>
      <c r="P29" s="105">
        <v>10</v>
      </c>
      <c r="Q29" s="105">
        <v>10</v>
      </c>
      <c r="R29" s="105">
        <v>10</v>
      </c>
      <c r="S29" s="105">
        <v>10</v>
      </c>
      <c r="T29" s="105">
        <v>10</v>
      </c>
      <c r="U29" s="105">
        <v>10</v>
      </c>
      <c r="V29" s="105">
        <v>10</v>
      </c>
      <c r="W29" s="105">
        <v>10</v>
      </c>
      <c r="X29" s="105">
        <v>10</v>
      </c>
      <c r="Y29" s="105">
        <v>10</v>
      </c>
      <c r="Z29" s="105">
        <v>10</v>
      </c>
      <c r="AA29" s="105">
        <v>10</v>
      </c>
      <c r="AB29" s="105">
        <v>10</v>
      </c>
      <c r="AC29" s="105">
        <v>10</v>
      </c>
      <c r="AD29" s="105">
        <v>10</v>
      </c>
      <c r="AE29" s="105">
        <v>10</v>
      </c>
      <c r="AF29" s="105">
        <v>10</v>
      </c>
      <c r="AG29" s="126">
        <v>13</v>
      </c>
      <c r="AH29" s="20">
        <f t="shared" si="2"/>
        <v>13</v>
      </c>
      <c r="AI29" s="19">
        <f t="shared" si="3"/>
        <v>10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0</v>
      </c>
      <c r="N30" s="105">
        <v>0</v>
      </c>
      <c r="O30" s="105">
        <v>0</v>
      </c>
      <c r="P30" s="105">
        <v>0</v>
      </c>
      <c r="Q30" s="105">
        <v>0</v>
      </c>
      <c r="R30" s="105">
        <v>0</v>
      </c>
      <c r="S30" s="105">
        <v>0</v>
      </c>
      <c r="T30" s="105">
        <v>0</v>
      </c>
      <c r="U30" s="105">
        <v>0</v>
      </c>
      <c r="V30" s="105">
        <v>0</v>
      </c>
      <c r="W30" s="105">
        <v>0</v>
      </c>
      <c r="X30" s="105">
        <v>0</v>
      </c>
      <c r="Y30" s="105">
        <v>6</v>
      </c>
      <c r="Z30" s="105">
        <v>6</v>
      </c>
      <c r="AA30" s="105">
        <v>4</v>
      </c>
      <c r="AB30" s="105">
        <v>4</v>
      </c>
      <c r="AC30" s="105">
        <v>4</v>
      </c>
      <c r="AD30" s="105">
        <v>0</v>
      </c>
      <c r="AE30" s="105">
        <v>0</v>
      </c>
      <c r="AF30" s="105">
        <v>0</v>
      </c>
      <c r="AG30" s="126">
        <v>12</v>
      </c>
      <c r="AH30" s="20">
        <f t="shared" si="2"/>
        <v>6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12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>
        <v>12</v>
      </c>
      <c r="AE31" s="105">
        <v>12</v>
      </c>
      <c r="AF31" s="105">
        <v>12</v>
      </c>
      <c r="AG31" s="126">
        <v>12</v>
      </c>
      <c r="AH31" s="20">
        <f t="shared" si="2"/>
        <v>12</v>
      </c>
      <c r="AI31" s="19">
        <f t="shared" si="3"/>
        <v>12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2</v>
      </c>
      <c r="C32" s="105">
        <v>2</v>
      </c>
      <c r="D32" s="105">
        <v>2</v>
      </c>
      <c r="E32" s="105">
        <v>2</v>
      </c>
      <c r="F32" s="105">
        <v>2</v>
      </c>
      <c r="G32" s="105">
        <v>2</v>
      </c>
      <c r="H32" s="105">
        <v>2</v>
      </c>
      <c r="I32" s="105">
        <v>2</v>
      </c>
      <c r="J32" s="105">
        <v>2</v>
      </c>
      <c r="K32" s="105">
        <v>2</v>
      </c>
      <c r="L32" s="105">
        <v>2</v>
      </c>
      <c r="M32" s="105">
        <v>2</v>
      </c>
      <c r="N32" s="105">
        <v>2</v>
      </c>
      <c r="O32" s="105">
        <v>2</v>
      </c>
      <c r="P32" s="105">
        <v>2</v>
      </c>
      <c r="Q32" s="105">
        <v>2</v>
      </c>
      <c r="R32" s="105">
        <v>2</v>
      </c>
      <c r="S32" s="105">
        <v>2</v>
      </c>
      <c r="T32" s="105">
        <v>2</v>
      </c>
      <c r="U32" s="105">
        <v>2</v>
      </c>
      <c r="V32" s="105">
        <v>2</v>
      </c>
      <c r="W32" s="105">
        <v>2</v>
      </c>
      <c r="X32" s="105">
        <v>2</v>
      </c>
      <c r="Y32" s="105">
        <v>2</v>
      </c>
      <c r="Z32" s="105">
        <v>2</v>
      </c>
      <c r="AA32" s="105">
        <v>2</v>
      </c>
      <c r="AB32" s="105">
        <v>2</v>
      </c>
      <c r="AC32" s="105">
        <v>2</v>
      </c>
      <c r="AD32" s="105">
        <v>2</v>
      </c>
      <c r="AE32" s="105">
        <v>2</v>
      </c>
      <c r="AF32" s="105">
        <v>2</v>
      </c>
      <c r="AG32" s="126">
        <v>12</v>
      </c>
      <c r="AH32" s="20">
        <f t="shared" si="2"/>
        <v>2</v>
      </c>
      <c r="AI32" s="19">
        <f t="shared" si="3"/>
        <v>2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10</v>
      </c>
      <c r="C33" s="105">
        <v>10</v>
      </c>
      <c r="D33" s="105">
        <v>10</v>
      </c>
      <c r="E33" s="105">
        <v>10</v>
      </c>
      <c r="F33" s="105">
        <v>10</v>
      </c>
      <c r="G33" s="105">
        <v>10</v>
      </c>
      <c r="H33" s="105">
        <v>10</v>
      </c>
      <c r="I33" s="105">
        <v>10</v>
      </c>
      <c r="J33" s="105">
        <v>10</v>
      </c>
      <c r="K33" s="105">
        <v>10</v>
      </c>
      <c r="L33" s="105">
        <v>10</v>
      </c>
      <c r="M33" s="105">
        <v>10</v>
      </c>
      <c r="N33" s="105">
        <v>10</v>
      </c>
      <c r="O33" s="105">
        <v>10</v>
      </c>
      <c r="P33" s="105">
        <v>10</v>
      </c>
      <c r="Q33" s="105">
        <v>10</v>
      </c>
      <c r="R33" s="105">
        <v>10</v>
      </c>
      <c r="S33" s="105">
        <v>10</v>
      </c>
      <c r="T33" s="105">
        <v>10</v>
      </c>
      <c r="U33" s="105">
        <v>10</v>
      </c>
      <c r="V33" s="105">
        <v>10</v>
      </c>
      <c r="W33" s="105">
        <v>10</v>
      </c>
      <c r="X33" s="105">
        <v>10</v>
      </c>
      <c r="Y33" s="105">
        <v>10</v>
      </c>
      <c r="Z33" s="105">
        <v>10</v>
      </c>
      <c r="AA33" s="105">
        <v>10</v>
      </c>
      <c r="AB33" s="105">
        <v>10</v>
      </c>
      <c r="AC33" s="105">
        <v>10</v>
      </c>
      <c r="AD33" s="105">
        <v>10</v>
      </c>
      <c r="AE33" s="105">
        <v>10</v>
      </c>
      <c r="AF33" s="105">
        <v>10</v>
      </c>
      <c r="AG33" s="125">
        <v>22</v>
      </c>
      <c r="AH33" s="20">
        <f t="shared" si="2"/>
        <v>10</v>
      </c>
      <c r="AI33" s="19">
        <f t="shared" si="3"/>
        <v>10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11</v>
      </c>
      <c r="C34" s="105">
        <v>11</v>
      </c>
      <c r="D34" s="105">
        <v>11</v>
      </c>
      <c r="E34" s="105">
        <v>11</v>
      </c>
      <c r="F34" s="105">
        <v>11</v>
      </c>
      <c r="G34" s="105">
        <v>11</v>
      </c>
      <c r="H34" s="105">
        <v>11</v>
      </c>
      <c r="I34" s="105">
        <v>11</v>
      </c>
      <c r="J34" s="105">
        <v>11</v>
      </c>
      <c r="K34" s="105">
        <v>11</v>
      </c>
      <c r="L34" s="105">
        <v>11</v>
      </c>
      <c r="M34" s="105">
        <v>11</v>
      </c>
      <c r="N34" s="105">
        <v>11</v>
      </c>
      <c r="O34" s="105">
        <v>11</v>
      </c>
      <c r="P34" s="105">
        <v>11</v>
      </c>
      <c r="Q34" s="105">
        <v>11</v>
      </c>
      <c r="R34" s="105">
        <v>11</v>
      </c>
      <c r="S34" s="105">
        <v>11</v>
      </c>
      <c r="T34" s="105">
        <v>11</v>
      </c>
      <c r="U34" s="105">
        <v>11</v>
      </c>
      <c r="V34" s="105">
        <v>11</v>
      </c>
      <c r="W34" s="105">
        <v>11</v>
      </c>
      <c r="X34" s="105">
        <v>11</v>
      </c>
      <c r="Y34" s="105">
        <v>11</v>
      </c>
      <c r="Z34" s="105">
        <v>11</v>
      </c>
      <c r="AA34" s="105">
        <v>11</v>
      </c>
      <c r="AB34" s="105">
        <v>11</v>
      </c>
      <c r="AC34" s="105">
        <v>11</v>
      </c>
      <c r="AD34" s="105">
        <v>11</v>
      </c>
      <c r="AE34" s="105">
        <v>11</v>
      </c>
      <c r="AF34" s="105">
        <v>11</v>
      </c>
      <c r="AG34" s="96">
        <v>11.88</v>
      </c>
      <c r="AH34" s="20">
        <f t="shared" si="2"/>
        <v>11</v>
      </c>
      <c r="AI34" s="19">
        <f t="shared" si="3"/>
        <v>11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>
        <v>11</v>
      </c>
      <c r="AG35" s="94">
        <v>11</v>
      </c>
      <c r="AH35" s="20">
        <f t="shared" si="2"/>
        <v>11</v>
      </c>
      <c r="AI35" s="19">
        <f t="shared" si="3"/>
        <v>11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>
        <v>9</v>
      </c>
      <c r="E36" s="105">
        <v>9</v>
      </c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>
        <v>9</v>
      </c>
      <c r="N36" s="105">
        <v>9</v>
      </c>
      <c r="O36" s="105">
        <v>9</v>
      </c>
      <c r="P36" s="105">
        <v>9</v>
      </c>
      <c r="Q36" s="105">
        <v>9</v>
      </c>
      <c r="R36" s="105">
        <v>9</v>
      </c>
      <c r="S36" s="105">
        <v>9</v>
      </c>
      <c r="T36" s="105">
        <v>9</v>
      </c>
      <c r="U36" s="105">
        <v>9</v>
      </c>
      <c r="V36" s="105">
        <v>9</v>
      </c>
      <c r="W36" s="105">
        <v>9</v>
      </c>
      <c r="X36" s="105">
        <v>9</v>
      </c>
      <c r="Y36" s="105">
        <v>9</v>
      </c>
      <c r="Z36" s="105">
        <v>9</v>
      </c>
      <c r="AA36" s="105">
        <v>9</v>
      </c>
      <c r="AB36" s="105">
        <v>9</v>
      </c>
      <c r="AC36" s="105">
        <v>9</v>
      </c>
      <c r="AD36" s="105">
        <v>9</v>
      </c>
      <c r="AE36" s="105">
        <v>9</v>
      </c>
      <c r="AF36" s="105">
        <v>9</v>
      </c>
      <c r="AG36" s="94">
        <v>10</v>
      </c>
      <c r="AH36" s="20">
        <f t="shared" si="2"/>
        <v>9</v>
      </c>
      <c r="AI36" s="19">
        <f t="shared" si="3"/>
        <v>9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5">
        <v>0</v>
      </c>
      <c r="O37" s="105">
        <v>0</v>
      </c>
      <c r="P37" s="105">
        <v>0</v>
      </c>
      <c r="Q37" s="105">
        <v>2</v>
      </c>
      <c r="R37" s="105">
        <v>2</v>
      </c>
      <c r="S37" s="105">
        <v>2</v>
      </c>
      <c r="T37" s="105">
        <v>2</v>
      </c>
      <c r="U37" s="105">
        <v>2</v>
      </c>
      <c r="V37" s="105">
        <v>0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2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v>181</v>
      </c>
      <c r="C39" s="119">
        <f>98.7+84.6</f>
        <v>183.3</v>
      </c>
      <c r="D39" s="119">
        <f>85.3+98</f>
        <v>183.3</v>
      </c>
      <c r="E39" s="119">
        <f>98.4+85.2</f>
        <v>183.60000000000002</v>
      </c>
      <c r="F39" s="119">
        <f>94.4+81.2</f>
        <v>175.60000000000002</v>
      </c>
      <c r="G39" s="119">
        <f>96+77.9</f>
        <v>173.9</v>
      </c>
      <c r="H39" s="119">
        <f>95.9+77.9</f>
        <v>173.8</v>
      </c>
      <c r="I39" s="119">
        <f>96.5+73.6</f>
        <v>170.1</v>
      </c>
      <c r="J39" s="119">
        <v>176.3</v>
      </c>
      <c r="K39" s="119">
        <f>29.6+75.3</f>
        <v>104.9</v>
      </c>
      <c r="L39" s="113">
        <f>86.2+80.3</f>
        <v>166.5</v>
      </c>
      <c r="M39" s="113">
        <v>172</v>
      </c>
      <c r="N39" s="113">
        <v>172</v>
      </c>
      <c r="O39" s="113">
        <v>172</v>
      </c>
      <c r="P39" s="113">
        <v>172</v>
      </c>
      <c r="Q39" s="113"/>
      <c r="R39" s="113">
        <f>79.2+65.3</f>
        <v>144.5</v>
      </c>
      <c r="S39" s="119">
        <f>83.3+68.5</f>
        <v>151.80000000000001</v>
      </c>
      <c r="T39" s="119">
        <f>83.5+69.1</f>
        <v>152.6</v>
      </c>
      <c r="U39" s="119">
        <f>88.1+70.5</f>
        <v>158.6</v>
      </c>
      <c r="V39" s="119">
        <f>89+71</f>
        <v>160</v>
      </c>
      <c r="W39" s="119">
        <f>89.1+70.2</f>
        <v>159.30000000000001</v>
      </c>
      <c r="X39" s="119">
        <f>89.1+70.2</f>
        <v>159.30000000000001</v>
      </c>
      <c r="Y39" s="119">
        <v>159.30000000000001</v>
      </c>
      <c r="Z39" s="119">
        <v>160.39999999999998</v>
      </c>
      <c r="AA39" s="119">
        <v>160.39999999999998</v>
      </c>
      <c r="AB39" s="119">
        <f>89+72</f>
        <v>161</v>
      </c>
      <c r="AC39" s="119">
        <f>72.1+89.4</f>
        <v>161.5</v>
      </c>
      <c r="AD39" s="119">
        <f>72.1+89.4</f>
        <v>161.5</v>
      </c>
      <c r="AE39" s="119">
        <f>72.7+92.1</f>
        <v>164.8</v>
      </c>
      <c r="AF39" s="119">
        <f>74.8+93.3</f>
        <v>168.1</v>
      </c>
      <c r="AG39" s="94">
        <v>240</v>
      </c>
      <c r="AH39" s="20">
        <f t="shared" si="2"/>
        <v>183.60000000000002</v>
      </c>
      <c r="AI39" s="19">
        <f t="shared" si="3"/>
        <v>104.9</v>
      </c>
      <c r="AK39" s="41"/>
    </row>
    <row r="40" spans="1:88" ht="15.75" thickBot="1" x14ac:dyDescent="0.3">
      <c r="A40" s="118" t="s">
        <v>195</v>
      </c>
      <c r="B40" s="86">
        <f t="shared" ref="B40:AG40" si="4">SUM(B11:B38)</f>
        <v>786.7</v>
      </c>
      <c r="C40" s="86">
        <f t="shared" si="4"/>
        <v>791.7</v>
      </c>
      <c r="D40" s="86">
        <f t="shared" si="4"/>
        <v>779.7</v>
      </c>
      <c r="E40" s="86">
        <f t="shared" si="4"/>
        <v>776.7</v>
      </c>
      <c r="F40" s="86">
        <f t="shared" si="4"/>
        <v>771.7</v>
      </c>
      <c r="G40" s="86">
        <f t="shared" si="4"/>
        <v>771.7</v>
      </c>
      <c r="H40" s="86">
        <f t="shared" si="4"/>
        <v>771.7</v>
      </c>
      <c r="I40" s="86">
        <f t="shared" si="4"/>
        <v>764.1</v>
      </c>
      <c r="J40" s="86">
        <f t="shared" si="4"/>
        <v>764.1</v>
      </c>
      <c r="K40" s="86">
        <f t="shared" si="4"/>
        <v>764.1</v>
      </c>
      <c r="L40" s="86">
        <f t="shared" si="4"/>
        <v>764.1</v>
      </c>
      <c r="M40" s="86">
        <f t="shared" si="4"/>
        <v>764.1</v>
      </c>
      <c r="N40" s="86">
        <f t="shared" si="4"/>
        <v>764.1</v>
      </c>
      <c r="O40" s="86">
        <f t="shared" si="4"/>
        <v>764.1</v>
      </c>
      <c r="P40" s="86">
        <f t="shared" si="4"/>
        <v>764.1</v>
      </c>
      <c r="Q40" s="86">
        <f t="shared" si="4"/>
        <v>723.1</v>
      </c>
      <c r="R40" s="86">
        <f t="shared" si="4"/>
        <v>752.6</v>
      </c>
      <c r="S40" s="86">
        <f t="shared" si="4"/>
        <v>760.1</v>
      </c>
      <c r="T40" s="86">
        <f t="shared" si="4"/>
        <v>760.1</v>
      </c>
      <c r="U40" s="86">
        <f t="shared" si="4"/>
        <v>760.1</v>
      </c>
      <c r="V40" s="86">
        <f t="shared" si="4"/>
        <v>758.1</v>
      </c>
      <c r="W40" s="86">
        <f t="shared" si="4"/>
        <v>758.1</v>
      </c>
      <c r="X40" s="86">
        <f t="shared" si="4"/>
        <v>758.1</v>
      </c>
      <c r="Y40" s="86">
        <f t="shared" si="4"/>
        <v>797.1</v>
      </c>
      <c r="Z40" s="86">
        <f t="shared" si="4"/>
        <v>813.09999999999991</v>
      </c>
      <c r="AA40" s="86">
        <f t="shared" si="4"/>
        <v>801.6</v>
      </c>
      <c r="AB40" s="86">
        <f t="shared" si="4"/>
        <v>802</v>
      </c>
      <c r="AC40" s="86">
        <f t="shared" si="4"/>
        <v>806.8</v>
      </c>
      <c r="AD40" s="86">
        <f t="shared" si="4"/>
        <v>759.4</v>
      </c>
      <c r="AE40" s="86">
        <f t="shared" si="4"/>
        <v>759.4</v>
      </c>
      <c r="AF40" s="86">
        <f t="shared" si="4"/>
        <v>740.6</v>
      </c>
      <c r="AG40" s="101">
        <f t="shared" si="4"/>
        <v>707.78000000000009</v>
      </c>
      <c r="AH40" s="20">
        <f t="shared" si="2"/>
        <v>813.09999999999991</v>
      </c>
      <c r="AI40" s="19">
        <f t="shared" si="3"/>
        <v>723.1</v>
      </c>
      <c r="AK40" s="41"/>
    </row>
    <row r="41" spans="1:88" x14ac:dyDescent="0.25">
      <c r="A41" s="117" t="s">
        <v>194</v>
      </c>
      <c r="B41" s="105">
        <v>456</v>
      </c>
      <c r="C41" s="105">
        <v>456</v>
      </c>
      <c r="D41" s="105">
        <v>456</v>
      </c>
      <c r="E41" s="105">
        <v>456</v>
      </c>
      <c r="F41" s="105">
        <v>400</v>
      </c>
      <c r="G41" s="105">
        <v>400</v>
      </c>
      <c r="H41" s="105">
        <v>400</v>
      </c>
      <c r="I41" s="105">
        <v>370</v>
      </c>
      <c r="J41" s="105">
        <v>370</v>
      </c>
      <c r="K41" s="105">
        <v>370</v>
      </c>
      <c r="L41" s="105">
        <v>370</v>
      </c>
      <c r="M41" s="105">
        <v>370</v>
      </c>
      <c r="N41" s="105">
        <v>370</v>
      </c>
      <c r="O41" s="105">
        <v>350</v>
      </c>
      <c r="P41" s="105">
        <v>350</v>
      </c>
      <c r="Q41" s="105">
        <v>456</v>
      </c>
      <c r="R41" s="105">
        <v>350</v>
      </c>
      <c r="S41" s="105">
        <v>350</v>
      </c>
      <c r="T41" s="105">
        <v>350</v>
      </c>
      <c r="U41" s="105">
        <v>300</v>
      </c>
      <c r="V41" s="105">
        <v>300</v>
      </c>
      <c r="W41" s="105">
        <v>300</v>
      </c>
      <c r="X41" s="105">
        <v>300</v>
      </c>
      <c r="Y41" s="105">
        <v>420</v>
      </c>
      <c r="Z41" s="105">
        <v>456</v>
      </c>
      <c r="AA41" s="105">
        <v>456</v>
      </c>
      <c r="AB41" s="105">
        <v>456</v>
      </c>
      <c r="AC41" s="105">
        <v>456</v>
      </c>
      <c r="AD41" s="105">
        <v>400</v>
      </c>
      <c r="AE41" s="105">
        <v>360</v>
      </c>
      <c r="AF41" s="105">
        <v>330</v>
      </c>
      <c r="AG41" s="96">
        <v>456</v>
      </c>
      <c r="AH41" s="20">
        <f t="shared" si="2"/>
        <v>456</v>
      </c>
      <c r="AI41" s="19">
        <f t="shared" si="3"/>
        <v>300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>
        <v>50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50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>
        <v>22</v>
      </c>
      <c r="S43" s="107">
        <v>22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>
        <v>22</v>
      </c>
      <c r="AG43" s="106">
        <v>22.1</v>
      </c>
      <c r="AH43" s="20">
        <f t="shared" si="2"/>
        <v>22</v>
      </c>
      <c r="AI43" s="19">
        <f t="shared" si="3"/>
        <v>22</v>
      </c>
      <c r="AK43" s="41"/>
    </row>
    <row r="44" spans="1:88" ht="15.75" thickBot="1" x14ac:dyDescent="0.3">
      <c r="A44" s="114" t="s">
        <v>191</v>
      </c>
      <c r="B44" s="86">
        <f t="shared" ref="B44:AG44" si="5">SUM(B41:B43)</f>
        <v>538</v>
      </c>
      <c r="C44" s="86">
        <f t="shared" si="5"/>
        <v>538</v>
      </c>
      <c r="D44" s="86">
        <f t="shared" si="5"/>
        <v>538</v>
      </c>
      <c r="E44" s="86">
        <f t="shared" si="5"/>
        <v>538</v>
      </c>
      <c r="F44" s="86">
        <f t="shared" si="5"/>
        <v>482</v>
      </c>
      <c r="G44" s="86">
        <f t="shared" si="5"/>
        <v>482</v>
      </c>
      <c r="H44" s="86">
        <f t="shared" si="5"/>
        <v>482</v>
      </c>
      <c r="I44" s="86">
        <f t="shared" si="5"/>
        <v>452</v>
      </c>
      <c r="J44" s="86">
        <f t="shared" si="5"/>
        <v>452</v>
      </c>
      <c r="K44" s="86">
        <f t="shared" si="5"/>
        <v>452</v>
      </c>
      <c r="L44" s="86">
        <f t="shared" si="5"/>
        <v>452</v>
      </c>
      <c r="M44" s="86">
        <f t="shared" si="5"/>
        <v>452</v>
      </c>
      <c r="N44" s="86">
        <f t="shared" si="5"/>
        <v>452</v>
      </c>
      <c r="O44" s="86">
        <f t="shared" si="5"/>
        <v>432</v>
      </c>
      <c r="P44" s="86">
        <f t="shared" si="5"/>
        <v>432</v>
      </c>
      <c r="Q44" s="86">
        <f t="shared" si="5"/>
        <v>538</v>
      </c>
      <c r="R44" s="86">
        <f t="shared" si="5"/>
        <v>422</v>
      </c>
      <c r="S44" s="86">
        <f t="shared" si="5"/>
        <v>432</v>
      </c>
      <c r="T44" s="86">
        <f t="shared" si="5"/>
        <v>432</v>
      </c>
      <c r="U44" s="86">
        <f t="shared" si="5"/>
        <v>382</v>
      </c>
      <c r="V44" s="86">
        <f t="shared" si="5"/>
        <v>382</v>
      </c>
      <c r="W44" s="86">
        <f t="shared" si="5"/>
        <v>382</v>
      </c>
      <c r="X44" s="86">
        <f t="shared" si="5"/>
        <v>382</v>
      </c>
      <c r="Y44" s="86">
        <f t="shared" si="5"/>
        <v>502</v>
      </c>
      <c r="Z44" s="86">
        <f t="shared" si="5"/>
        <v>538</v>
      </c>
      <c r="AA44" s="86">
        <f t="shared" si="5"/>
        <v>538</v>
      </c>
      <c r="AB44" s="86">
        <f t="shared" si="5"/>
        <v>538</v>
      </c>
      <c r="AC44" s="86">
        <f t="shared" si="5"/>
        <v>538</v>
      </c>
      <c r="AD44" s="86">
        <f t="shared" si="5"/>
        <v>482</v>
      </c>
      <c r="AE44" s="86">
        <f t="shared" si="5"/>
        <v>442</v>
      </c>
      <c r="AF44" s="86">
        <f t="shared" si="5"/>
        <v>412</v>
      </c>
      <c r="AG44" s="101">
        <f t="shared" si="5"/>
        <v>538.1</v>
      </c>
      <c r="AH44" s="20">
        <f t="shared" si="2"/>
        <v>538</v>
      </c>
      <c r="AI44" s="19">
        <f t="shared" si="3"/>
        <v>382</v>
      </c>
      <c r="AK44" s="41"/>
    </row>
    <row r="45" spans="1:88" x14ac:dyDescent="0.25">
      <c r="A45" s="97" t="s">
        <v>190</v>
      </c>
      <c r="B45" s="105">
        <v>0</v>
      </c>
      <c r="C45" s="105">
        <v>0</v>
      </c>
      <c r="D45" s="105">
        <v>48.4</v>
      </c>
      <c r="E45" s="105">
        <v>48.4</v>
      </c>
      <c r="F45" s="105">
        <v>48.3</v>
      </c>
      <c r="G45" s="105">
        <v>48.5</v>
      </c>
      <c r="H45" s="105">
        <v>83.4</v>
      </c>
      <c r="I45" s="105">
        <v>85.3</v>
      </c>
      <c r="J45" s="105">
        <v>85.3</v>
      </c>
      <c r="K45" s="105">
        <v>85.1</v>
      </c>
      <c r="L45" s="105">
        <v>85</v>
      </c>
      <c r="M45" s="105">
        <v>85</v>
      </c>
      <c r="N45" s="105">
        <v>85</v>
      </c>
      <c r="O45" s="105">
        <v>74</v>
      </c>
      <c r="P45" s="105">
        <v>74</v>
      </c>
      <c r="Q45" s="105">
        <v>92</v>
      </c>
      <c r="R45" s="105">
        <v>78.900000000000006</v>
      </c>
      <c r="S45" s="105">
        <v>78.3</v>
      </c>
      <c r="T45" s="105">
        <v>77.5</v>
      </c>
      <c r="U45" s="105">
        <v>77.5</v>
      </c>
      <c r="V45" s="105">
        <v>77.8</v>
      </c>
      <c r="W45" s="105">
        <v>77.8</v>
      </c>
      <c r="X45" s="105">
        <v>90.4</v>
      </c>
      <c r="Y45" s="105">
        <v>90.4</v>
      </c>
      <c r="Z45" s="105">
        <v>90.4</v>
      </c>
      <c r="AA45" s="105">
        <v>90.4</v>
      </c>
      <c r="AB45" s="105">
        <v>90.4</v>
      </c>
      <c r="AC45" s="105">
        <v>49.1</v>
      </c>
      <c r="AD45" s="105">
        <v>98.4</v>
      </c>
      <c r="AE45" s="105">
        <v>97.4</v>
      </c>
      <c r="AF45" s="105">
        <v>96.9</v>
      </c>
      <c r="AG45" s="96">
        <v>144</v>
      </c>
      <c r="AH45" s="20">
        <f t="shared" si="2"/>
        <v>98.4</v>
      </c>
      <c r="AI45" s="19">
        <f t="shared" si="3"/>
        <v>0</v>
      </c>
      <c r="AK45" s="41"/>
    </row>
    <row r="46" spans="1:88" x14ac:dyDescent="0.25">
      <c r="A46" s="95" t="s">
        <v>189</v>
      </c>
      <c r="B46" s="80">
        <v>46.7</v>
      </c>
      <c r="C46" s="80">
        <v>46.7</v>
      </c>
      <c r="D46" s="80">
        <v>51.7</v>
      </c>
      <c r="E46" s="80">
        <v>51.7</v>
      </c>
      <c r="F46" s="80">
        <v>52.1</v>
      </c>
      <c r="G46" s="80">
        <v>51</v>
      </c>
      <c r="H46" s="80">
        <v>52.6</v>
      </c>
      <c r="I46" s="80">
        <v>53.4</v>
      </c>
      <c r="J46" s="80">
        <v>53.4</v>
      </c>
      <c r="K46" s="80">
        <v>53.2</v>
      </c>
      <c r="L46" s="80">
        <v>52.5</v>
      </c>
      <c r="M46" s="80">
        <v>52.5</v>
      </c>
      <c r="N46" s="80">
        <v>52.5</v>
      </c>
      <c r="O46" s="80">
        <v>52.5</v>
      </c>
      <c r="P46" s="80">
        <v>52.5</v>
      </c>
      <c r="Q46" s="105">
        <v>53.9</v>
      </c>
      <c r="R46" s="105">
        <v>52.3</v>
      </c>
      <c r="S46" s="80">
        <v>52.4</v>
      </c>
      <c r="T46" s="80">
        <v>52.6</v>
      </c>
      <c r="U46" s="80">
        <v>51.7</v>
      </c>
      <c r="V46" s="80">
        <v>53.6</v>
      </c>
      <c r="W46" s="80">
        <v>53.6</v>
      </c>
      <c r="X46" s="80">
        <v>70.5</v>
      </c>
      <c r="Y46" s="80">
        <v>70.5</v>
      </c>
      <c r="Z46" s="80">
        <v>70.5</v>
      </c>
      <c r="AA46" s="80">
        <v>70.5</v>
      </c>
      <c r="AB46" s="80">
        <v>70.5</v>
      </c>
      <c r="AC46" s="80">
        <v>51.2</v>
      </c>
      <c r="AD46" s="80">
        <v>71.900000000000006</v>
      </c>
      <c r="AE46" s="80">
        <v>72.5</v>
      </c>
      <c r="AF46" s="80">
        <v>70.5</v>
      </c>
      <c r="AG46" s="94">
        <v>70</v>
      </c>
      <c r="AH46" s="20">
        <f t="shared" si="2"/>
        <v>72.5</v>
      </c>
      <c r="AI46" s="19">
        <f t="shared" si="3"/>
        <v>46.7</v>
      </c>
      <c r="AK46" s="41"/>
    </row>
    <row r="47" spans="1:88" x14ac:dyDescent="0.25">
      <c r="A47" s="95" t="s">
        <v>188</v>
      </c>
      <c r="B47" s="80">
        <v>46</v>
      </c>
      <c r="C47" s="80">
        <v>46</v>
      </c>
      <c r="D47" s="80">
        <v>42.8</v>
      </c>
      <c r="E47" s="80">
        <v>42.8</v>
      </c>
      <c r="F47" s="80">
        <v>42.4</v>
      </c>
      <c r="G47" s="80">
        <v>42.8</v>
      </c>
      <c r="H47" s="80">
        <v>32.4</v>
      </c>
      <c r="I47" s="80">
        <v>32.299999999999997</v>
      </c>
      <c r="J47" s="80">
        <v>32.299999999999997</v>
      </c>
      <c r="K47" s="80">
        <v>32.1</v>
      </c>
      <c r="L47" s="80">
        <v>32.299999999999997</v>
      </c>
      <c r="M47" s="80">
        <v>32.299999999999997</v>
      </c>
      <c r="N47" s="80">
        <v>32.299999999999997</v>
      </c>
      <c r="O47" s="80">
        <v>32.299999999999997</v>
      </c>
      <c r="P47" s="80">
        <v>32.299999999999997</v>
      </c>
      <c r="Q47" s="105">
        <v>41.9</v>
      </c>
      <c r="R47" s="105">
        <v>46.4</v>
      </c>
      <c r="S47" s="80">
        <v>35.1</v>
      </c>
      <c r="T47" s="80">
        <v>35.1</v>
      </c>
      <c r="U47" s="80">
        <v>35.1</v>
      </c>
      <c r="V47" s="80">
        <v>36.1</v>
      </c>
      <c r="W47" s="80">
        <v>36.1</v>
      </c>
      <c r="X47" s="80">
        <v>46.8</v>
      </c>
      <c r="Y47" s="80">
        <v>46.8</v>
      </c>
      <c r="Z47" s="80">
        <v>46.8</v>
      </c>
      <c r="AA47" s="80">
        <v>46.8</v>
      </c>
      <c r="AB47" s="80">
        <v>46.8</v>
      </c>
      <c r="AC47" s="80">
        <v>36.299999999999997</v>
      </c>
      <c r="AD47" s="80">
        <v>46.2</v>
      </c>
      <c r="AE47" s="80">
        <v>46.9</v>
      </c>
      <c r="AF47" s="80">
        <v>49.6</v>
      </c>
      <c r="AG47" s="94">
        <v>69</v>
      </c>
      <c r="AH47" s="20">
        <f t="shared" si="2"/>
        <v>49.6</v>
      </c>
      <c r="AI47" s="19">
        <f t="shared" si="3"/>
        <v>32.1</v>
      </c>
      <c r="AK47" s="41"/>
    </row>
    <row r="48" spans="1:88" x14ac:dyDescent="0.25">
      <c r="A48" s="95" t="s">
        <v>187</v>
      </c>
      <c r="B48" s="113">
        <v>61</v>
      </c>
      <c r="C48" s="113">
        <v>61</v>
      </c>
      <c r="D48" s="113">
        <v>31.7</v>
      </c>
      <c r="E48" s="113">
        <v>31.7</v>
      </c>
      <c r="F48" s="113">
        <v>31.5</v>
      </c>
      <c r="G48" s="113">
        <v>31.5</v>
      </c>
      <c r="H48" s="113">
        <v>31.5</v>
      </c>
      <c r="I48" s="113">
        <v>31.5</v>
      </c>
      <c r="J48" s="113">
        <v>31.5</v>
      </c>
      <c r="K48" s="113">
        <v>31.5</v>
      </c>
      <c r="L48" s="113">
        <v>31.5</v>
      </c>
      <c r="M48" s="113">
        <v>31.5</v>
      </c>
      <c r="N48" s="113">
        <v>31.5</v>
      </c>
      <c r="O48" s="113">
        <v>31.5</v>
      </c>
      <c r="P48" s="113">
        <v>31.5</v>
      </c>
      <c r="Q48" s="113">
        <v>31.5</v>
      </c>
      <c r="R48" s="105">
        <v>31.5</v>
      </c>
      <c r="S48" s="105">
        <v>31.5</v>
      </c>
      <c r="T48" s="105">
        <v>31.5</v>
      </c>
      <c r="U48" s="105">
        <v>31.5</v>
      </c>
      <c r="V48" s="80">
        <v>31.5</v>
      </c>
      <c r="W48" s="80">
        <v>31.5</v>
      </c>
      <c r="X48" s="80">
        <v>60</v>
      </c>
      <c r="Y48" s="80">
        <v>60</v>
      </c>
      <c r="Z48" s="80">
        <v>60</v>
      </c>
      <c r="AA48" s="80">
        <v>60</v>
      </c>
      <c r="AB48" s="80">
        <v>60</v>
      </c>
      <c r="AC48" s="80">
        <v>60</v>
      </c>
      <c r="AD48" s="113">
        <v>60.9</v>
      </c>
      <c r="AE48" s="113">
        <v>60.9</v>
      </c>
      <c r="AF48" s="113">
        <v>46</v>
      </c>
      <c r="AG48" s="94">
        <v>60</v>
      </c>
      <c r="AH48" s="20">
        <f t="shared" si="2"/>
        <v>61</v>
      </c>
      <c r="AI48" s="19">
        <f t="shared" si="3"/>
        <v>31.5</v>
      </c>
      <c r="AK48" s="41"/>
    </row>
    <row r="49" spans="1:41" x14ac:dyDescent="0.25">
      <c r="A49" s="95" t="s">
        <v>186</v>
      </c>
      <c r="B49" s="113">
        <v>29.5</v>
      </c>
      <c r="C49" s="113">
        <v>29.5</v>
      </c>
      <c r="D49" s="113">
        <v>29.6</v>
      </c>
      <c r="E49" s="113">
        <v>29.6</v>
      </c>
      <c r="F49" s="113">
        <v>29.6</v>
      </c>
      <c r="G49" s="113">
        <v>29.6</v>
      </c>
      <c r="H49" s="113">
        <v>29.6</v>
      </c>
      <c r="I49" s="113">
        <v>29.6</v>
      </c>
      <c r="J49" s="113">
        <v>29.6</v>
      </c>
      <c r="K49" s="113">
        <v>29.6</v>
      </c>
      <c r="L49" s="113">
        <v>29.5</v>
      </c>
      <c r="M49" s="113">
        <v>29.5</v>
      </c>
      <c r="N49" s="113">
        <v>29.5</v>
      </c>
      <c r="O49" s="113">
        <v>29.5</v>
      </c>
      <c r="P49" s="113">
        <v>29.5</v>
      </c>
      <c r="Q49" s="113">
        <v>29.5</v>
      </c>
      <c r="R49" s="105">
        <v>29.5</v>
      </c>
      <c r="S49" s="105">
        <v>29.5</v>
      </c>
      <c r="T49" s="105">
        <v>29.5</v>
      </c>
      <c r="U49" s="105">
        <v>29.5</v>
      </c>
      <c r="V49" s="80">
        <v>29.7</v>
      </c>
      <c r="W49" s="80">
        <v>29.7</v>
      </c>
      <c r="X49" s="80">
        <v>29.7</v>
      </c>
      <c r="Y49" s="80">
        <v>29.7</v>
      </c>
      <c r="Z49" s="80">
        <v>29.7</v>
      </c>
      <c r="AA49" s="80">
        <v>29.7</v>
      </c>
      <c r="AB49" s="80">
        <v>29.7</v>
      </c>
      <c r="AC49" s="80">
        <v>29.7</v>
      </c>
      <c r="AD49" s="113">
        <v>29.7</v>
      </c>
      <c r="AE49" s="113">
        <v>29.5</v>
      </c>
      <c r="AF49" s="113">
        <v>29.8</v>
      </c>
      <c r="AG49" s="94">
        <v>30</v>
      </c>
      <c r="AH49" s="20">
        <f t="shared" si="2"/>
        <v>29.8</v>
      </c>
      <c r="AI49" s="19">
        <f t="shared" si="3"/>
        <v>29.5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0</v>
      </c>
      <c r="N50" s="80">
        <v>0</v>
      </c>
      <c r="O50" s="80">
        <v>0</v>
      </c>
      <c r="P50" s="80">
        <v>0</v>
      </c>
      <c r="Q50" s="80">
        <v>9</v>
      </c>
      <c r="R50" s="105">
        <v>9</v>
      </c>
      <c r="S50" s="105">
        <v>9</v>
      </c>
      <c r="T50" s="105">
        <v>9</v>
      </c>
      <c r="U50" s="105">
        <v>9</v>
      </c>
      <c r="V50" s="105">
        <v>0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80">
        <v>0</v>
      </c>
      <c r="AE50" s="80">
        <v>0</v>
      </c>
      <c r="AF50" s="80">
        <v>0</v>
      </c>
      <c r="AG50" s="94">
        <v>25</v>
      </c>
      <c r="AH50" s="20">
        <f t="shared" si="2"/>
        <v>9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17</v>
      </c>
      <c r="C51" s="80">
        <v>17</v>
      </c>
      <c r="D51" s="80">
        <v>17</v>
      </c>
      <c r="E51" s="80">
        <v>17</v>
      </c>
      <c r="F51" s="80">
        <v>17</v>
      </c>
      <c r="G51" s="80">
        <v>17</v>
      </c>
      <c r="H51" s="80">
        <v>17</v>
      </c>
      <c r="I51" s="80">
        <v>17</v>
      </c>
      <c r="J51" s="80">
        <v>17</v>
      </c>
      <c r="K51" s="80">
        <v>17</v>
      </c>
      <c r="L51" s="80">
        <v>17</v>
      </c>
      <c r="M51" s="80">
        <v>17</v>
      </c>
      <c r="N51" s="80">
        <v>17</v>
      </c>
      <c r="O51" s="80">
        <v>17</v>
      </c>
      <c r="P51" s="80">
        <v>17</v>
      </c>
      <c r="Q51" s="80">
        <v>17</v>
      </c>
      <c r="R51" s="80">
        <v>17</v>
      </c>
      <c r="S51" s="80">
        <v>17</v>
      </c>
      <c r="T51" s="80">
        <v>17</v>
      </c>
      <c r="U51" s="80">
        <v>17</v>
      </c>
      <c r="V51" s="105">
        <v>16.600000000000001</v>
      </c>
      <c r="W51" s="105">
        <v>16.600000000000001</v>
      </c>
      <c r="X51" s="105">
        <v>16.5</v>
      </c>
      <c r="Y51" s="105">
        <v>16.5</v>
      </c>
      <c r="Z51" s="105">
        <v>16.5</v>
      </c>
      <c r="AA51" s="105">
        <v>16.5</v>
      </c>
      <c r="AB51" s="105">
        <v>16.5</v>
      </c>
      <c r="AC51" s="105">
        <v>16.5</v>
      </c>
      <c r="AD51" s="80">
        <v>16.100000000000001</v>
      </c>
      <c r="AE51" s="80">
        <v>16.100000000000001</v>
      </c>
      <c r="AF51" s="80">
        <v>16.2</v>
      </c>
      <c r="AG51" s="94">
        <v>24</v>
      </c>
      <c r="AH51" s="20">
        <f t="shared" si="2"/>
        <v>17</v>
      </c>
      <c r="AI51" s="19">
        <f t="shared" si="3"/>
        <v>16.100000000000001</v>
      </c>
      <c r="AK51" s="41"/>
    </row>
    <row r="52" spans="1:41" x14ac:dyDescent="0.25">
      <c r="A52" s="95" t="s">
        <v>183</v>
      </c>
      <c r="B52" s="80">
        <v>3.5</v>
      </c>
      <c r="C52" s="80">
        <v>3.5</v>
      </c>
      <c r="D52" s="80">
        <v>3.5</v>
      </c>
      <c r="E52" s="80">
        <v>3.5</v>
      </c>
      <c r="F52" s="80">
        <v>3.5</v>
      </c>
      <c r="G52" s="80">
        <v>3.5</v>
      </c>
      <c r="H52" s="80">
        <v>3.5</v>
      </c>
      <c r="I52" s="80">
        <v>3.5</v>
      </c>
      <c r="J52" s="80">
        <v>3.5</v>
      </c>
      <c r="K52" s="80">
        <v>3.5</v>
      </c>
      <c r="L52" s="80">
        <v>3.5</v>
      </c>
      <c r="M52" s="80">
        <v>3.5</v>
      </c>
      <c r="N52" s="80">
        <v>3.5</v>
      </c>
      <c r="O52" s="80">
        <v>3.5</v>
      </c>
      <c r="P52" s="80">
        <v>3.5</v>
      </c>
      <c r="Q52" s="80">
        <v>3.5</v>
      </c>
      <c r="R52" s="80">
        <v>3.5</v>
      </c>
      <c r="S52" s="80">
        <v>3.5</v>
      </c>
      <c r="T52" s="80">
        <v>3.5</v>
      </c>
      <c r="U52" s="80">
        <v>3.5</v>
      </c>
      <c r="V52" s="80">
        <v>3.5</v>
      </c>
      <c r="W52" s="80">
        <v>3.5</v>
      </c>
      <c r="X52" s="80">
        <v>3.5</v>
      </c>
      <c r="Y52" s="80">
        <v>3.5</v>
      </c>
      <c r="Z52" s="80">
        <v>3.5</v>
      </c>
      <c r="AA52" s="80">
        <v>3.5</v>
      </c>
      <c r="AB52" s="80">
        <v>3.5</v>
      </c>
      <c r="AC52" s="80">
        <v>3.5</v>
      </c>
      <c r="AD52" s="80">
        <v>3.5</v>
      </c>
      <c r="AE52" s="80">
        <v>3.5</v>
      </c>
      <c r="AF52" s="80">
        <v>3.5</v>
      </c>
      <c r="AG52" s="94">
        <v>15</v>
      </c>
      <c r="AH52" s="20">
        <f t="shared" si="2"/>
        <v>3.5</v>
      </c>
      <c r="AI52" s="19">
        <f t="shared" si="3"/>
        <v>3.5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11.1</v>
      </c>
      <c r="C53" s="80">
        <v>11.1</v>
      </c>
      <c r="D53" s="80">
        <v>11.1</v>
      </c>
      <c r="E53" s="80">
        <v>11.1</v>
      </c>
      <c r="F53" s="80">
        <v>11.1</v>
      </c>
      <c r="G53" s="80">
        <v>11.1</v>
      </c>
      <c r="H53" s="80">
        <v>11.1</v>
      </c>
      <c r="I53" s="80">
        <v>11.1</v>
      </c>
      <c r="J53" s="80">
        <v>11.1</v>
      </c>
      <c r="K53" s="80">
        <v>11.1</v>
      </c>
      <c r="L53" s="80">
        <v>11.1</v>
      </c>
      <c r="M53" s="80">
        <v>11.1</v>
      </c>
      <c r="N53" s="80">
        <v>11.1</v>
      </c>
      <c r="O53" s="80">
        <v>11.1</v>
      </c>
      <c r="P53" s="80">
        <v>11.1</v>
      </c>
      <c r="Q53" s="80">
        <v>11.1</v>
      </c>
      <c r="R53" s="80">
        <v>13.7</v>
      </c>
      <c r="S53" s="80">
        <v>13.7</v>
      </c>
      <c r="T53" s="80">
        <v>13.7</v>
      </c>
      <c r="U53" s="80">
        <v>13.7</v>
      </c>
      <c r="V53" s="80">
        <v>13</v>
      </c>
      <c r="W53" s="80">
        <v>13</v>
      </c>
      <c r="X53" s="80">
        <v>12.9</v>
      </c>
      <c r="Y53" s="80">
        <v>12.9</v>
      </c>
      <c r="Z53" s="80">
        <v>12.9</v>
      </c>
      <c r="AA53" s="80">
        <v>12.9</v>
      </c>
      <c r="AB53" s="80">
        <v>12.9</v>
      </c>
      <c r="AC53" s="80">
        <v>12.9</v>
      </c>
      <c r="AD53" s="80">
        <v>13.2</v>
      </c>
      <c r="AE53" s="80">
        <v>13.4</v>
      </c>
      <c r="AF53" s="80">
        <v>13.7</v>
      </c>
      <c r="AG53" s="94">
        <v>14.1</v>
      </c>
      <c r="AH53" s="20">
        <f t="shared" si="2"/>
        <v>13.7</v>
      </c>
      <c r="AI53" s="19">
        <f t="shared" si="3"/>
        <v>11.1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10.3</v>
      </c>
      <c r="C54" s="80">
        <v>10.3</v>
      </c>
      <c r="D54" s="80">
        <v>10.3</v>
      </c>
      <c r="E54" s="80">
        <v>10.3</v>
      </c>
      <c r="F54" s="80">
        <v>10.3</v>
      </c>
      <c r="G54" s="80">
        <v>10.3</v>
      </c>
      <c r="H54" s="80">
        <v>10.3</v>
      </c>
      <c r="I54" s="80">
        <v>10.3</v>
      </c>
      <c r="J54" s="80">
        <v>10.3</v>
      </c>
      <c r="K54" s="80">
        <v>10.3</v>
      </c>
      <c r="L54" s="80">
        <v>10.3</v>
      </c>
      <c r="M54" s="80">
        <v>10.3</v>
      </c>
      <c r="N54" s="80">
        <v>10.3</v>
      </c>
      <c r="O54" s="80">
        <v>10.3</v>
      </c>
      <c r="P54" s="80">
        <v>10.3</v>
      </c>
      <c r="Q54" s="80">
        <v>10.3</v>
      </c>
      <c r="R54" s="80">
        <v>10.3</v>
      </c>
      <c r="S54" s="80">
        <v>10.3</v>
      </c>
      <c r="T54" s="80">
        <v>10.3</v>
      </c>
      <c r="U54" s="80">
        <v>10.3</v>
      </c>
      <c r="V54" s="80">
        <v>10.3</v>
      </c>
      <c r="W54" s="80">
        <v>10.3</v>
      </c>
      <c r="X54" s="80">
        <v>10.3</v>
      </c>
      <c r="Y54" s="80">
        <v>10.3</v>
      </c>
      <c r="Z54" s="80">
        <v>10.3</v>
      </c>
      <c r="AA54" s="80">
        <v>10.3</v>
      </c>
      <c r="AB54" s="80">
        <v>10.3</v>
      </c>
      <c r="AC54" s="80">
        <v>10.3</v>
      </c>
      <c r="AD54" s="80">
        <v>14</v>
      </c>
      <c r="AE54" s="80">
        <v>14.1</v>
      </c>
      <c r="AF54" s="80">
        <v>14.1</v>
      </c>
      <c r="AG54" s="94">
        <v>14</v>
      </c>
      <c r="AH54" s="20">
        <f t="shared" si="2"/>
        <v>14.1</v>
      </c>
      <c r="AI54" s="19">
        <f t="shared" si="3"/>
        <v>10.3</v>
      </c>
      <c r="AK54" s="41"/>
    </row>
    <row r="55" spans="1:41" x14ac:dyDescent="0.25">
      <c r="A55" s="95" t="s">
        <v>180</v>
      </c>
      <c r="B55" s="80">
        <v>6.3</v>
      </c>
      <c r="C55" s="80">
        <v>6.3</v>
      </c>
      <c r="D55" s="80">
        <v>6.3</v>
      </c>
      <c r="E55" s="80">
        <v>6.3</v>
      </c>
      <c r="F55" s="80">
        <v>6.3</v>
      </c>
      <c r="G55" s="80">
        <v>6.3</v>
      </c>
      <c r="H55" s="80">
        <v>6.3</v>
      </c>
      <c r="I55" s="80">
        <v>6.3</v>
      </c>
      <c r="J55" s="80">
        <v>6.3</v>
      </c>
      <c r="K55" s="80">
        <v>6.3</v>
      </c>
      <c r="L55" s="80">
        <v>6.3</v>
      </c>
      <c r="M55" s="80">
        <v>6.3</v>
      </c>
      <c r="N55" s="80">
        <v>6.3</v>
      </c>
      <c r="O55" s="80">
        <v>6.3</v>
      </c>
      <c r="P55" s="80">
        <v>6.3</v>
      </c>
      <c r="Q55" s="80">
        <v>6.3</v>
      </c>
      <c r="R55" s="80">
        <v>6.3</v>
      </c>
      <c r="S55" s="80">
        <v>6.3</v>
      </c>
      <c r="T55" s="80">
        <v>6.3</v>
      </c>
      <c r="U55" s="80">
        <v>6.3</v>
      </c>
      <c r="V55" s="80">
        <v>6.6</v>
      </c>
      <c r="W55" s="80">
        <v>6.6</v>
      </c>
      <c r="X55" s="80">
        <v>6.6</v>
      </c>
      <c r="Y55" s="80">
        <v>6.6</v>
      </c>
      <c r="Z55" s="80">
        <v>6.6</v>
      </c>
      <c r="AA55" s="80">
        <v>6.6</v>
      </c>
      <c r="AB55" s="80">
        <v>6.6</v>
      </c>
      <c r="AC55" s="80">
        <v>6.6</v>
      </c>
      <c r="AD55" s="80">
        <v>9</v>
      </c>
      <c r="AE55" s="80">
        <v>9</v>
      </c>
      <c r="AF55" s="80">
        <v>9</v>
      </c>
      <c r="AG55" s="94">
        <v>10.050000000000001</v>
      </c>
      <c r="AH55" s="20">
        <f t="shared" si="2"/>
        <v>9</v>
      </c>
      <c r="AI55" s="19">
        <f t="shared" si="3"/>
        <v>6.3</v>
      </c>
      <c r="AK55" s="41"/>
    </row>
    <row r="56" spans="1:41" x14ac:dyDescent="0.25">
      <c r="A56" s="95" t="s">
        <v>179</v>
      </c>
      <c r="B56" s="80">
        <v>6.2</v>
      </c>
      <c r="C56" s="80">
        <v>6.2</v>
      </c>
      <c r="D56" s="80">
        <v>6.2</v>
      </c>
      <c r="E56" s="80">
        <v>6.2</v>
      </c>
      <c r="F56" s="80">
        <v>6.2</v>
      </c>
      <c r="G56" s="80">
        <v>6.2</v>
      </c>
      <c r="H56" s="80">
        <v>6.2</v>
      </c>
      <c r="I56" s="80">
        <v>6.2</v>
      </c>
      <c r="J56" s="80">
        <v>6.2</v>
      </c>
      <c r="K56" s="80">
        <v>6.2</v>
      </c>
      <c r="L56" s="80">
        <v>6.2</v>
      </c>
      <c r="M56" s="80">
        <v>6.2</v>
      </c>
      <c r="N56" s="80">
        <v>6.2</v>
      </c>
      <c r="O56" s="80">
        <v>6.2</v>
      </c>
      <c r="P56" s="80">
        <v>6.2</v>
      </c>
      <c r="Q56" s="80">
        <v>6.2</v>
      </c>
      <c r="R56" s="80">
        <v>3</v>
      </c>
      <c r="S56" s="80">
        <v>3</v>
      </c>
      <c r="T56" s="80">
        <v>3</v>
      </c>
      <c r="U56" s="80">
        <v>3</v>
      </c>
      <c r="V56" s="80">
        <v>3</v>
      </c>
      <c r="W56" s="80">
        <v>3</v>
      </c>
      <c r="X56" s="80">
        <v>3</v>
      </c>
      <c r="Y56" s="80">
        <v>3</v>
      </c>
      <c r="Z56" s="80">
        <v>3</v>
      </c>
      <c r="AA56" s="80">
        <v>3</v>
      </c>
      <c r="AB56" s="80">
        <v>3</v>
      </c>
      <c r="AC56" s="80">
        <v>3</v>
      </c>
      <c r="AD56" s="80">
        <v>3</v>
      </c>
      <c r="AE56" s="80">
        <v>3</v>
      </c>
      <c r="AF56" s="80">
        <v>3</v>
      </c>
      <c r="AG56" s="94">
        <v>6.2</v>
      </c>
      <c r="AH56" s="20">
        <f t="shared" si="2"/>
        <v>6.2</v>
      </c>
      <c r="AI56" s="19">
        <f t="shared" si="3"/>
        <v>3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6">SUM(B45:B57)</f>
        <v>241.14</v>
      </c>
      <c r="C58" s="86">
        <f t="shared" si="6"/>
        <v>241.14</v>
      </c>
      <c r="D58" s="86">
        <f t="shared" si="6"/>
        <v>262.14</v>
      </c>
      <c r="E58" s="86">
        <f t="shared" si="6"/>
        <v>262.14</v>
      </c>
      <c r="F58" s="86">
        <f t="shared" si="6"/>
        <v>261.84000000000003</v>
      </c>
      <c r="G58" s="86">
        <f t="shared" si="6"/>
        <v>261.34000000000003</v>
      </c>
      <c r="H58" s="86">
        <f t="shared" si="6"/>
        <v>287.44000000000005</v>
      </c>
      <c r="I58" s="86">
        <f t="shared" si="6"/>
        <v>290.04000000000002</v>
      </c>
      <c r="J58" s="86">
        <f t="shared" si="6"/>
        <v>290.04000000000002</v>
      </c>
      <c r="K58" s="86">
        <f t="shared" si="6"/>
        <v>289.44000000000005</v>
      </c>
      <c r="L58" s="86">
        <f t="shared" si="6"/>
        <v>288.74000000000007</v>
      </c>
      <c r="M58" s="86">
        <f t="shared" si="6"/>
        <v>288.74000000000007</v>
      </c>
      <c r="N58" s="86">
        <f t="shared" si="6"/>
        <v>288.74000000000007</v>
      </c>
      <c r="O58" s="86">
        <f t="shared" si="6"/>
        <v>277.74</v>
      </c>
      <c r="P58" s="86">
        <f t="shared" si="6"/>
        <v>277.74</v>
      </c>
      <c r="Q58" s="86">
        <f t="shared" si="6"/>
        <v>315.74000000000007</v>
      </c>
      <c r="R58" s="86">
        <f t="shared" si="6"/>
        <v>304.94000000000005</v>
      </c>
      <c r="S58" s="86">
        <f t="shared" si="6"/>
        <v>293.14</v>
      </c>
      <c r="T58" s="86">
        <f t="shared" si="6"/>
        <v>292.54000000000002</v>
      </c>
      <c r="U58" s="86">
        <f t="shared" si="6"/>
        <v>291.64000000000004</v>
      </c>
      <c r="V58" s="86">
        <f t="shared" si="6"/>
        <v>285.24</v>
      </c>
      <c r="W58" s="86">
        <f t="shared" si="6"/>
        <v>285.24</v>
      </c>
      <c r="X58" s="86">
        <f t="shared" si="6"/>
        <v>353.74</v>
      </c>
      <c r="Y58" s="86">
        <f t="shared" si="6"/>
        <v>353.74</v>
      </c>
      <c r="Z58" s="86">
        <f t="shared" si="6"/>
        <v>353.74</v>
      </c>
      <c r="AA58" s="86">
        <f t="shared" si="6"/>
        <v>353.74</v>
      </c>
      <c r="AB58" s="86">
        <f t="shared" si="6"/>
        <v>353.74</v>
      </c>
      <c r="AC58" s="86">
        <f t="shared" si="6"/>
        <v>282.64000000000004</v>
      </c>
      <c r="AD58" s="86">
        <f t="shared" si="6"/>
        <v>369.44</v>
      </c>
      <c r="AE58" s="86">
        <f t="shared" si="6"/>
        <v>369.84000000000003</v>
      </c>
      <c r="AF58" s="86">
        <f t="shared" si="6"/>
        <v>355.84000000000003</v>
      </c>
      <c r="AG58" s="101">
        <f t="shared" si="6"/>
        <v>489.91</v>
      </c>
      <c r="AH58" s="20">
        <f t="shared" si="2"/>
        <v>369.84000000000003</v>
      </c>
      <c r="AI58" s="19">
        <f t="shared" si="3"/>
        <v>241.14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/>
      <c r="R59" s="105"/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>
        <v>0</v>
      </c>
      <c r="Z59" s="105">
        <v>0</v>
      </c>
      <c r="AA59" s="105">
        <v>0</v>
      </c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/>
      <c r="R60" s="80"/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/>
      <c r="R61" s="107"/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07">
        <v>0</v>
      </c>
      <c r="Y61" s="107">
        <v>0</v>
      </c>
      <c r="Z61" s="107">
        <v>0</v>
      </c>
      <c r="AA61" s="107">
        <v>0</v>
      </c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7">SUM(B59:B61)</f>
        <v>0</v>
      </c>
      <c r="C62" s="86">
        <f t="shared" si="7"/>
        <v>0</v>
      </c>
      <c r="D62" s="86">
        <f t="shared" si="7"/>
        <v>0</v>
      </c>
      <c r="E62" s="86">
        <f t="shared" si="7"/>
        <v>0</v>
      </c>
      <c r="F62" s="86">
        <f t="shared" si="7"/>
        <v>0</v>
      </c>
      <c r="G62" s="86">
        <f t="shared" si="7"/>
        <v>0</v>
      </c>
      <c r="H62" s="86">
        <f t="shared" si="7"/>
        <v>0</v>
      </c>
      <c r="I62" s="86">
        <f t="shared" si="7"/>
        <v>0</v>
      </c>
      <c r="J62" s="86">
        <f t="shared" si="7"/>
        <v>0</v>
      </c>
      <c r="K62" s="86">
        <f t="shared" si="7"/>
        <v>0</v>
      </c>
      <c r="L62" s="86">
        <f t="shared" si="7"/>
        <v>0</v>
      </c>
      <c r="M62" s="86">
        <f t="shared" si="7"/>
        <v>0</v>
      </c>
      <c r="N62" s="86">
        <f t="shared" si="7"/>
        <v>0</v>
      </c>
      <c r="O62" s="86">
        <f t="shared" si="7"/>
        <v>0</v>
      </c>
      <c r="P62" s="86">
        <f t="shared" si="7"/>
        <v>0</v>
      </c>
      <c r="Q62" s="86">
        <f t="shared" si="7"/>
        <v>0</v>
      </c>
      <c r="R62" s="86">
        <f t="shared" si="7"/>
        <v>0</v>
      </c>
      <c r="S62" s="86">
        <f t="shared" si="7"/>
        <v>0</v>
      </c>
      <c r="T62" s="86">
        <f t="shared" si="7"/>
        <v>0</v>
      </c>
      <c r="U62" s="86">
        <f t="shared" si="7"/>
        <v>0</v>
      </c>
      <c r="V62" s="86">
        <f t="shared" si="7"/>
        <v>0</v>
      </c>
      <c r="W62" s="86">
        <f t="shared" si="7"/>
        <v>0</v>
      </c>
      <c r="X62" s="86">
        <f t="shared" si="7"/>
        <v>0</v>
      </c>
      <c r="Y62" s="86">
        <f t="shared" si="7"/>
        <v>0</v>
      </c>
      <c r="Z62" s="86">
        <f t="shared" si="7"/>
        <v>0</v>
      </c>
      <c r="AA62" s="86">
        <f t="shared" si="7"/>
        <v>0</v>
      </c>
      <c r="AB62" s="86">
        <f t="shared" si="7"/>
        <v>0</v>
      </c>
      <c r="AC62" s="86">
        <f t="shared" si="7"/>
        <v>0</v>
      </c>
      <c r="AD62" s="86">
        <f t="shared" si="7"/>
        <v>0</v>
      </c>
      <c r="AE62" s="86">
        <f t="shared" si="7"/>
        <v>0</v>
      </c>
      <c r="AF62" s="86">
        <f t="shared" si="7"/>
        <v>0</v>
      </c>
      <c r="AG62" s="101">
        <f t="shared" si="7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39</v>
      </c>
      <c r="C63" s="105">
        <v>36.4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>
        <v>0</v>
      </c>
      <c r="S63" s="105">
        <v>0</v>
      </c>
      <c r="T63" s="105">
        <v>0</v>
      </c>
      <c r="U63" s="105">
        <v>0</v>
      </c>
      <c r="V63" s="105">
        <v>0</v>
      </c>
      <c r="W63" s="105">
        <v>0</v>
      </c>
      <c r="X63" s="105">
        <v>0</v>
      </c>
      <c r="Y63" s="105">
        <v>0</v>
      </c>
      <c r="Z63" s="105">
        <v>0</v>
      </c>
      <c r="AA63" s="105">
        <v>0</v>
      </c>
      <c r="AB63" s="105">
        <v>0</v>
      </c>
      <c r="AC63" s="105">
        <v>0</v>
      </c>
      <c r="AD63" s="105">
        <v>0</v>
      </c>
      <c r="AE63" s="105">
        <v>0</v>
      </c>
      <c r="AF63" s="105">
        <v>0</v>
      </c>
      <c r="AG63" s="96"/>
      <c r="AH63" s="20">
        <f t="shared" si="2"/>
        <v>39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-428</v>
      </c>
      <c r="C65" s="80">
        <v>-452</v>
      </c>
      <c r="D65" s="80">
        <v>-436</v>
      </c>
      <c r="E65" s="80">
        <v>-449</v>
      </c>
      <c r="F65" s="80">
        <v>-410</v>
      </c>
      <c r="G65" s="80">
        <v>-405</v>
      </c>
      <c r="H65" s="80">
        <v>-420</v>
      </c>
      <c r="I65" s="80">
        <v>-440</v>
      </c>
      <c r="J65" s="80">
        <v>-430</v>
      </c>
      <c r="K65" s="80">
        <v>-370</v>
      </c>
      <c r="L65" s="80">
        <v>-440</v>
      </c>
      <c r="M65" s="80">
        <v>-423</v>
      </c>
      <c r="N65" s="80">
        <v>-425</v>
      </c>
      <c r="O65" s="80">
        <v>-392</v>
      </c>
      <c r="P65" s="80">
        <v>-393</v>
      </c>
      <c r="Q65" s="80">
        <v>-376.4</v>
      </c>
      <c r="R65" s="80">
        <v>-425.6</v>
      </c>
      <c r="S65" s="80">
        <v>-440</v>
      </c>
      <c r="T65" s="80">
        <v>-450</v>
      </c>
      <c r="U65" s="80">
        <v>-435</v>
      </c>
      <c r="V65" s="80">
        <v>-477</v>
      </c>
      <c r="W65" s="80">
        <v>-412</v>
      </c>
      <c r="X65" s="80">
        <v>-376</v>
      </c>
      <c r="Y65" s="80">
        <v>-376</v>
      </c>
      <c r="Z65" s="80">
        <v>-438</v>
      </c>
      <c r="AA65" s="80">
        <v>-397</v>
      </c>
      <c r="AB65" s="80">
        <v>-366</v>
      </c>
      <c r="AC65" s="80">
        <v>-430</v>
      </c>
      <c r="AD65" s="80">
        <v>-396</v>
      </c>
      <c r="AE65" s="80">
        <v>-416</v>
      </c>
      <c r="AF65" s="80">
        <v>-412</v>
      </c>
      <c r="AG65" s="102"/>
      <c r="AH65" s="20">
        <f t="shared" si="2"/>
        <v>-366</v>
      </c>
      <c r="AI65" s="19">
        <f t="shared" si="3"/>
        <v>-477</v>
      </c>
      <c r="AK65" s="171">
        <f>SUM(C65:F65,M65:U65,AD65:AF65)+SUM(G65:L65,V65:AC65)*0.5</f>
        <v>-9619.5</v>
      </c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8">SUMIF(B63:B73,"&gt;0")</f>
        <v>39</v>
      </c>
      <c r="C74" s="86">
        <f t="shared" si="8"/>
        <v>36.4</v>
      </c>
      <c r="D74" s="86">
        <f t="shared" si="8"/>
        <v>0</v>
      </c>
      <c r="E74" s="86">
        <f t="shared" si="8"/>
        <v>0</v>
      </c>
      <c r="F74" s="86">
        <f t="shared" si="8"/>
        <v>0</v>
      </c>
      <c r="G74" s="86">
        <f t="shared" si="8"/>
        <v>0</v>
      </c>
      <c r="H74" s="86">
        <f t="shared" si="8"/>
        <v>0</v>
      </c>
      <c r="I74" s="86">
        <f t="shared" si="8"/>
        <v>0</v>
      </c>
      <c r="J74" s="86">
        <f t="shared" si="8"/>
        <v>0</v>
      </c>
      <c r="K74" s="86">
        <f t="shared" si="8"/>
        <v>0</v>
      </c>
      <c r="L74" s="86">
        <f t="shared" si="8"/>
        <v>0</v>
      </c>
      <c r="M74" s="86">
        <f t="shared" si="8"/>
        <v>0</v>
      </c>
      <c r="N74" s="86">
        <f t="shared" si="8"/>
        <v>0</v>
      </c>
      <c r="O74" s="86">
        <f t="shared" si="8"/>
        <v>0</v>
      </c>
      <c r="P74" s="86">
        <f t="shared" si="8"/>
        <v>0</v>
      </c>
      <c r="Q74" s="86">
        <f t="shared" si="8"/>
        <v>0</v>
      </c>
      <c r="R74" s="86">
        <f t="shared" si="8"/>
        <v>0</v>
      </c>
      <c r="S74" s="86">
        <f t="shared" si="8"/>
        <v>0</v>
      </c>
      <c r="T74" s="86">
        <f t="shared" si="8"/>
        <v>0</v>
      </c>
      <c r="U74" s="86">
        <f t="shared" si="8"/>
        <v>0</v>
      </c>
      <c r="V74" s="86">
        <f t="shared" si="8"/>
        <v>0</v>
      </c>
      <c r="W74" s="86">
        <f t="shared" si="8"/>
        <v>0</v>
      </c>
      <c r="X74" s="86">
        <f t="shared" si="8"/>
        <v>0</v>
      </c>
      <c r="Y74" s="86">
        <f t="shared" si="8"/>
        <v>0</v>
      </c>
      <c r="Z74" s="86">
        <f t="shared" si="8"/>
        <v>0</v>
      </c>
      <c r="AA74" s="86">
        <f t="shared" si="8"/>
        <v>0</v>
      </c>
      <c r="AB74" s="86">
        <f t="shared" si="8"/>
        <v>0</v>
      </c>
      <c r="AC74" s="86">
        <f t="shared" si="8"/>
        <v>0</v>
      </c>
      <c r="AD74" s="86">
        <f t="shared" si="8"/>
        <v>0</v>
      </c>
      <c r="AE74" s="86">
        <f t="shared" si="8"/>
        <v>0</v>
      </c>
      <c r="AF74" s="86">
        <f t="shared" si="8"/>
        <v>0</v>
      </c>
      <c r="AG74" s="85">
        <f>SUM(AG63:AG73)</f>
        <v>0</v>
      </c>
      <c r="AH74" s="20">
        <f t="shared" si="2"/>
        <v>39</v>
      </c>
      <c r="AI74" s="19">
        <f t="shared" si="3"/>
        <v>0</v>
      </c>
      <c r="AK74" s="41"/>
    </row>
    <row r="75" spans="1:37" x14ac:dyDescent="0.25">
      <c r="A75" s="97" t="s">
        <v>164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2">
        <v>14.4</v>
      </c>
      <c r="AH76" s="20">
        <f t="shared" ref="AH76:AH109" si="9">MAX(B76:AF76)</f>
        <v>0</v>
      </c>
      <c r="AI76" s="19">
        <f t="shared" ref="AI76:AI109" si="10">MIN(B76:AF76)</f>
        <v>0</v>
      </c>
      <c r="AK76" s="41"/>
    </row>
    <row r="77" spans="1:37" ht="15.75" thickBot="1" x14ac:dyDescent="0.3">
      <c r="A77" s="91" t="s">
        <v>162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89">
        <v>2</v>
      </c>
      <c r="AH77" s="20">
        <f t="shared" si="9"/>
        <v>0</v>
      </c>
      <c r="AI77" s="19">
        <f t="shared" si="10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9"/>
        <v>0</v>
      </c>
      <c r="AI78" s="19">
        <f t="shared" si="10"/>
        <v>0</v>
      </c>
    </row>
    <row r="79" spans="1:37" ht="15.75" thickBot="1" x14ac:dyDescent="0.3">
      <c r="A79" s="87" t="s">
        <v>160</v>
      </c>
      <c r="B79" s="98">
        <f t="shared" ref="B79:AG79" si="11">B40+B44+B62+B58+B74+B78</f>
        <v>1604.8400000000001</v>
      </c>
      <c r="C79" s="98">
        <f t="shared" si="11"/>
        <v>1607.2400000000002</v>
      </c>
      <c r="D79" s="98">
        <f t="shared" si="11"/>
        <v>1579.8400000000001</v>
      </c>
      <c r="E79" s="98">
        <f t="shared" si="11"/>
        <v>1576.8400000000001</v>
      </c>
      <c r="F79" s="98">
        <f t="shared" si="11"/>
        <v>1515.54</v>
      </c>
      <c r="G79" s="98">
        <f t="shared" si="11"/>
        <v>1515.04</v>
      </c>
      <c r="H79" s="98">
        <f t="shared" si="11"/>
        <v>1541.14</v>
      </c>
      <c r="I79" s="98">
        <f t="shared" si="11"/>
        <v>1506.1399999999999</v>
      </c>
      <c r="J79" s="98">
        <f t="shared" si="11"/>
        <v>1506.1399999999999</v>
      </c>
      <c r="K79" s="98">
        <f t="shared" si="11"/>
        <v>1505.54</v>
      </c>
      <c r="L79" s="98">
        <f t="shared" si="11"/>
        <v>1504.84</v>
      </c>
      <c r="M79" s="98">
        <f t="shared" si="11"/>
        <v>1504.84</v>
      </c>
      <c r="N79" s="98">
        <f t="shared" si="11"/>
        <v>1504.84</v>
      </c>
      <c r="O79" s="98">
        <f t="shared" si="11"/>
        <v>1473.84</v>
      </c>
      <c r="P79" s="98">
        <f t="shared" si="11"/>
        <v>1473.84</v>
      </c>
      <c r="Q79" s="98">
        <f t="shared" si="11"/>
        <v>1576.84</v>
      </c>
      <c r="R79" s="98">
        <f t="shared" si="11"/>
        <v>1479.54</v>
      </c>
      <c r="S79" s="98">
        <f t="shared" si="11"/>
        <v>1485.2399999999998</v>
      </c>
      <c r="T79" s="98">
        <f t="shared" si="11"/>
        <v>1484.6399999999999</v>
      </c>
      <c r="U79" s="98">
        <f t="shared" si="11"/>
        <v>1433.74</v>
      </c>
      <c r="V79" s="98">
        <f t="shared" si="11"/>
        <v>1425.34</v>
      </c>
      <c r="W79" s="98">
        <f t="shared" si="11"/>
        <v>1425.34</v>
      </c>
      <c r="X79" s="98">
        <f t="shared" si="11"/>
        <v>1493.84</v>
      </c>
      <c r="Y79" s="98">
        <f t="shared" si="11"/>
        <v>1652.84</v>
      </c>
      <c r="Z79" s="98">
        <f t="shared" si="11"/>
        <v>1704.84</v>
      </c>
      <c r="AA79" s="98">
        <f t="shared" si="11"/>
        <v>1693.34</v>
      </c>
      <c r="AB79" s="98">
        <f t="shared" si="11"/>
        <v>1693.74</v>
      </c>
      <c r="AC79" s="98">
        <f t="shared" si="11"/>
        <v>1627.44</v>
      </c>
      <c r="AD79" s="98">
        <f t="shared" si="11"/>
        <v>1610.8400000000001</v>
      </c>
      <c r="AE79" s="98">
        <f t="shared" si="11"/>
        <v>1571.2400000000002</v>
      </c>
      <c r="AF79" s="98">
        <f t="shared" si="11"/>
        <v>1508.44</v>
      </c>
      <c r="AG79" s="101">
        <f t="shared" si="11"/>
        <v>1897.1900000000003</v>
      </c>
      <c r="AH79" s="20">
        <f t="shared" si="9"/>
        <v>1704.84</v>
      </c>
      <c r="AI79" s="19">
        <f t="shared" si="10"/>
        <v>1425.34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9"/>
        <v>0</v>
      </c>
      <c r="AI80" s="19">
        <f t="shared" si="10"/>
        <v>0</v>
      </c>
    </row>
    <row r="81" spans="1:37" ht="15.75" thickBot="1" x14ac:dyDescent="0.3">
      <c r="A81" s="87" t="s">
        <v>158</v>
      </c>
      <c r="B81" s="98">
        <f t="shared" ref="B81:AF81" si="12">B79+B80</f>
        <v>1604.8400000000001</v>
      </c>
      <c r="C81" s="98">
        <f t="shared" si="12"/>
        <v>1607.2400000000002</v>
      </c>
      <c r="D81" s="98">
        <f t="shared" si="12"/>
        <v>1579.8400000000001</v>
      </c>
      <c r="E81" s="98">
        <f t="shared" si="12"/>
        <v>1576.8400000000001</v>
      </c>
      <c r="F81" s="98">
        <f t="shared" si="12"/>
        <v>1515.54</v>
      </c>
      <c r="G81" s="98">
        <f t="shared" si="12"/>
        <v>1515.04</v>
      </c>
      <c r="H81" s="98">
        <f t="shared" si="12"/>
        <v>1541.14</v>
      </c>
      <c r="I81" s="98">
        <f t="shared" si="12"/>
        <v>1506.1399999999999</v>
      </c>
      <c r="J81" s="98">
        <f t="shared" si="12"/>
        <v>1506.1399999999999</v>
      </c>
      <c r="K81" s="98">
        <f t="shared" si="12"/>
        <v>1505.54</v>
      </c>
      <c r="L81" s="98">
        <f t="shared" si="12"/>
        <v>1504.84</v>
      </c>
      <c r="M81" s="98">
        <f t="shared" si="12"/>
        <v>1504.84</v>
      </c>
      <c r="N81" s="98">
        <f t="shared" si="12"/>
        <v>1504.84</v>
      </c>
      <c r="O81" s="98">
        <f t="shared" si="12"/>
        <v>1473.84</v>
      </c>
      <c r="P81" s="98">
        <f t="shared" si="12"/>
        <v>1473.84</v>
      </c>
      <c r="Q81" s="98">
        <f t="shared" si="12"/>
        <v>1576.84</v>
      </c>
      <c r="R81" s="98">
        <f t="shared" si="12"/>
        <v>1479.54</v>
      </c>
      <c r="S81" s="98">
        <f t="shared" si="12"/>
        <v>1485.2399999999998</v>
      </c>
      <c r="T81" s="98">
        <f t="shared" si="12"/>
        <v>1484.6399999999999</v>
      </c>
      <c r="U81" s="98">
        <f t="shared" si="12"/>
        <v>1433.74</v>
      </c>
      <c r="V81" s="98">
        <f t="shared" si="12"/>
        <v>1425.34</v>
      </c>
      <c r="W81" s="98">
        <f t="shared" si="12"/>
        <v>1425.34</v>
      </c>
      <c r="X81" s="98">
        <f t="shared" si="12"/>
        <v>1493.84</v>
      </c>
      <c r="Y81" s="98">
        <f t="shared" si="12"/>
        <v>1652.84</v>
      </c>
      <c r="Z81" s="98">
        <f t="shared" si="12"/>
        <v>1704.84</v>
      </c>
      <c r="AA81" s="98">
        <f t="shared" si="12"/>
        <v>1693.34</v>
      </c>
      <c r="AB81" s="98">
        <f t="shared" si="12"/>
        <v>1693.74</v>
      </c>
      <c r="AC81" s="98">
        <f t="shared" si="12"/>
        <v>1627.44</v>
      </c>
      <c r="AD81" s="98">
        <f t="shared" si="12"/>
        <v>1610.8400000000001</v>
      </c>
      <c r="AE81" s="98">
        <f t="shared" si="12"/>
        <v>1571.2400000000002</v>
      </c>
      <c r="AF81" s="98">
        <f t="shared" si="12"/>
        <v>1508.44</v>
      </c>
      <c r="AG81" s="85">
        <f>AG78+AG74+AG62+AG58+AG40+AG80</f>
        <v>1359.0900000000001</v>
      </c>
      <c r="AH81" s="20">
        <f t="shared" si="9"/>
        <v>1704.84</v>
      </c>
      <c r="AI81" s="19">
        <f t="shared" si="10"/>
        <v>1425.34</v>
      </c>
    </row>
    <row r="82" spans="1:37" ht="15.75" thickBot="1" x14ac:dyDescent="0.3">
      <c r="A82" s="87" t="s">
        <v>157</v>
      </c>
      <c r="B82" s="98">
        <f t="shared" ref="B82:AF82" si="13">B81-B89</f>
        <v>1176.8400000000001</v>
      </c>
      <c r="C82" s="98">
        <f t="shared" si="13"/>
        <v>1155.2400000000002</v>
      </c>
      <c r="D82" s="98">
        <f t="shared" si="13"/>
        <v>1143.8400000000001</v>
      </c>
      <c r="E82" s="98">
        <f t="shared" si="13"/>
        <v>1127.8400000000001</v>
      </c>
      <c r="F82" s="98">
        <f t="shared" si="13"/>
        <v>1105.54</v>
      </c>
      <c r="G82" s="98">
        <f t="shared" si="13"/>
        <v>1110.04</v>
      </c>
      <c r="H82" s="98">
        <f t="shared" si="13"/>
        <v>1121.1400000000001</v>
      </c>
      <c r="I82" s="98">
        <f t="shared" si="13"/>
        <v>1066.1399999999999</v>
      </c>
      <c r="J82" s="98">
        <f t="shared" si="13"/>
        <v>1076.1399999999999</v>
      </c>
      <c r="K82" s="98">
        <f t="shared" si="13"/>
        <v>1135.54</v>
      </c>
      <c r="L82" s="98">
        <f t="shared" si="13"/>
        <v>1064.8399999999999</v>
      </c>
      <c r="M82" s="98">
        <f t="shared" si="13"/>
        <v>1081.8399999999999</v>
      </c>
      <c r="N82" s="98">
        <f t="shared" si="13"/>
        <v>1079.8399999999999</v>
      </c>
      <c r="O82" s="98">
        <f t="shared" si="13"/>
        <v>1081.8399999999999</v>
      </c>
      <c r="P82" s="98">
        <f t="shared" si="13"/>
        <v>1080.8399999999999</v>
      </c>
      <c r="Q82" s="98">
        <f t="shared" si="13"/>
        <v>1200.44</v>
      </c>
      <c r="R82" s="98">
        <f t="shared" si="13"/>
        <v>1053.94</v>
      </c>
      <c r="S82" s="98">
        <f t="shared" si="13"/>
        <v>1045.2399999999998</v>
      </c>
      <c r="T82" s="98">
        <f t="shared" si="13"/>
        <v>1034.6399999999999</v>
      </c>
      <c r="U82" s="98">
        <f t="shared" si="13"/>
        <v>998.74</v>
      </c>
      <c r="V82" s="98">
        <f t="shared" si="13"/>
        <v>948.33999999999992</v>
      </c>
      <c r="W82" s="98">
        <f t="shared" si="13"/>
        <v>1013.3399999999999</v>
      </c>
      <c r="X82" s="98">
        <f t="shared" si="13"/>
        <v>1117.8399999999999</v>
      </c>
      <c r="Y82" s="98">
        <f t="shared" si="13"/>
        <v>1276.8399999999999</v>
      </c>
      <c r="Z82" s="98">
        <f t="shared" si="13"/>
        <v>1266.8399999999999</v>
      </c>
      <c r="AA82" s="98">
        <f t="shared" si="13"/>
        <v>1296.3399999999999</v>
      </c>
      <c r="AB82" s="98">
        <f t="shared" si="13"/>
        <v>1327.74</v>
      </c>
      <c r="AC82" s="98">
        <f t="shared" si="13"/>
        <v>1197.44</v>
      </c>
      <c r="AD82" s="98">
        <f t="shared" si="13"/>
        <v>1214.8400000000001</v>
      </c>
      <c r="AE82" s="98">
        <f t="shared" si="13"/>
        <v>1155.2400000000002</v>
      </c>
      <c r="AF82" s="98">
        <f t="shared" si="13"/>
        <v>1096.44</v>
      </c>
      <c r="AG82" s="85"/>
      <c r="AH82" s="20">
        <f t="shared" si="9"/>
        <v>1327.74</v>
      </c>
      <c r="AI82" s="19">
        <f t="shared" si="10"/>
        <v>948.33999999999992</v>
      </c>
    </row>
    <row r="83" spans="1:37" x14ac:dyDescent="0.25">
      <c r="A83" s="97" t="s">
        <v>156</v>
      </c>
      <c r="B83" s="93">
        <f t="shared" ref="B83:AF83" si="14">IF(B66&lt;0,B66*-1,0)</f>
        <v>0</v>
      </c>
      <c r="C83" s="93">
        <f t="shared" si="14"/>
        <v>0</v>
      </c>
      <c r="D83" s="93">
        <f t="shared" si="14"/>
        <v>0</v>
      </c>
      <c r="E83" s="93">
        <f t="shared" si="14"/>
        <v>0</v>
      </c>
      <c r="F83" s="93">
        <f t="shared" si="14"/>
        <v>0</v>
      </c>
      <c r="G83" s="93">
        <f t="shared" si="14"/>
        <v>0</v>
      </c>
      <c r="H83" s="93">
        <f t="shared" si="14"/>
        <v>0</v>
      </c>
      <c r="I83" s="93">
        <f t="shared" si="14"/>
        <v>0</v>
      </c>
      <c r="J83" s="93">
        <f t="shared" si="14"/>
        <v>0</v>
      </c>
      <c r="K83" s="93">
        <f t="shared" si="14"/>
        <v>0</v>
      </c>
      <c r="L83" s="93">
        <f t="shared" si="14"/>
        <v>0</v>
      </c>
      <c r="M83" s="93">
        <f t="shared" si="14"/>
        <v>0</v>
      </c>
      <c r="N83" s="93">
        <f t="shared" si="14"/>
        <v>0</v>
      </c>
      <c r="O83" s="93">
        <f t="shared" si="14"/>
        <v>0</v>
      </c>
      <c r="P83" s="93">
        <f t="shared" si="14"/>
        <v>0</v>
      </c>
      <c r="Q83" s="93">
        <f t="shared" si="14"/>
        <v>0</v>
      </c>
      <c r="R83" s="93">
        <f t="shared" si="14"/>
        <v>0</v>
      </c>
      <c r="S83" s="93">
        <f t="shared" si="14"/>
        <v>0</v>
      </c>
      <c r="T83" s="93">
        <f t="shared" si="14"/>
        <v>0</v>
      </c>
      <c r="U83" s="93">
        <f t="shared" si="14"/>
        <v>0</v>
      </c>
      <c r="V83" s="93">
        <f t="shared" si="14"/>
        <v>0</v>
      </c>
      <c r="W83" s="93">
        <f t="shared" si="14"/>
        <v>0</v>
      </c>
      <c r="X83" s="93">
        <f t="shared" si="14"/>
        <v>0</v>
      </c>
      <c r="Y83" s="93">
        <f t="shared" si="14"/>
        <v>0</v>
      </c>
      <c r="Z83" s="93">
        <f t="shared" si="14"/>
        <v>0</v>
      </c>
      <c r="AA83" s="93">
        <f t="shared" si="14"/>
        <v>0</v>
      </c>
      <c r="AB83" s="93">
        <f t="shared" si="14"/>
        <v>0</v>
      </c>
      <c r="AC83" s="93">
        <f t="shared" si="14"/>
        <v>0</v>
      </c>
      <c r="AD83" s="93">
        <f t="shared" si="14"/>
        <v>0</v>
      </c>
      <c r="AE83" s="93">
        <f t="shared" si="14"/>
        <v>0</v>
      </c>
      <c r="AF83" s="93">
        <f t="shared" si="14"/>
        <v>0</v>
      </c>
      <c r="AG83" s="96"/>
      <c r="AH83" s="20">
        <f t="shared" si="9"/>
        <v>0</v>
      </c>
      <c r="AI83" s="19">
        <f t="shared" si="10"/>
        <v>0</v>
      </c>
    </row>
    <row r="84" spans="1:37" x14ac:dyDescent="0.25">
      <c r="A84" s="95" t="s">
        <v>155</v>
      </c>
      <c r="B84" s="93">
        <f t="shared" ref="B84:AF84" si="15">IF(B64&lt;0,B64*-1,0)</f>
        <v>0</v>
      </c>
      <c r="C84" s="93">
        <f t="shared" si="15"/>
        <v>0</v>
      </c>
      <c r="D84" s="93">
        <f t="shared" si="15"/>
        <v>0</v>
      </c>
      <c r="E84" s="93">
        <f t="shared" si="15"/>
        <v>0</v>
      </c>
      <c r="F84" s="93">
        <f t="shared" si="15"/>
        <v>0</v>
      </c>
      <c r="G84" s="93">
        <f t="shared" si="15"/>
        <v>0</v>
      </c>
      <c r="H84" s="93">
        <f t="shared" si="15"/>
        <v>0</v>
      </c>
      <c r="I84" s="93">
        <f t="shared" si="15"/>
        <v>0</v>
      </c>
      <c r="J84" s="93">
        <f t="shared" si="15"/>
        <v>0</v>
      </c>
      <c r="K84" s="93">
        <f t="shared" si="15"/>
        <v>0</v>
      </c>
      <c r="L84" s="93">
        <f t="shared" si="15"/>
        <v>0</v>
      </c>
      <c r="M84" s="93">
        <f t="shared" si="15"/>
        <v>0</v>
      </c>
      <c r="N84" s="93">
        <f t="shared" si="15"/>
        <v>0</v>
      </c>
      <c r="O84" s="93">
        <f t="shared" si="15"/>
        <v>0</v>
      </c>
      <c r="P84" s="93">
        <f t="shared" si="15"/>
        <v>0</v>
      </c>
      <c r="Q84" s="93">
        <f t="shared" si="15"/>
        <v>0</v>
      </c>
      <c r="R84" s="93">
        <f t="shared" si="15"/>
        <v>0</v>
      </c>
      <c r="S84" s="93">
        <f t="shared" si="15"/>
        <v>0</v>
      </c>
      <c r="T84" s="93">
        <f t="shared" si="15"/>
        <v>0</v>
      </c>
      <c r="U84" s="93">
        <f t="shared" si="15"/>
        <v>0</v>
      </c>
      <c r="V84" s="93">
        <f t="shared" si="15"/>
        <v>0</v>
      </c>
      <c r="W84" s="93">
        <f t="shared" si="15"/>
        <v>0</v>
      </c>
      <c r="X84" s="93">
        <f t="shared" si="15"/>
        <v>0</v>
      </c>
      <c r="Y84" s="93">
        <f t="shared" si="15"/>
        <v>0</v>
      </c>
      <c r="Z84" s="93">
        <f t="shared" si="15"/>
        <v>0</v>
      </c>
      <c r="AA84" s="93">
        <f t="shared" si="15"/>
        <v>0</v>
      </c>
      <c r="AB84" s="93">
        <f t="shared" si="15"/>
        <v>0</v>
      </c>
      <c r="AC84" s="93">
        <f t="shared" si="15"/>
        <v>0</v>
      </c>
      <c r="AD84" s="93">
        <f t="shared" si="15"/>
        <v>0</v>
      </c>
      <c r="AE84" s="93">
        <f t="shared" si="15"/>
        <v>0</v>
      </c>
      <c r="AF84" s="93">
        <f t="shared" si="15"/>
        <v>0</v>
      </c>
      <c r="AG84" s="94"/>
      <c r="AH84" s="20">
        <f t="shared" si="9"/>
        <v>0</v>
      </c>
      <c r="AI84" s="19">
        <f t="shared" si="10"/>
        <v>0</v>
      </c>
    </row>
    <row r="85" spans="1:37" x14ac:dyDescent="0.25">
      <c r="A85" s="91" t="s">
        <v>154</v>
      </c>
      <c r="B85" s="93">
        <f t="shared" ref="B85:AF85" si="16">IF(B67&lt;0,B67*-1,0)</f>
        <v>0</v>
      </c>
      <c r="C85" s="93">
        <f t="shared" si="16"/>
        <v>0</v>
      </c>
      <c r="D85" s="93">
        <f t="shared" si="16"/>
        <v>0</v>
      </c>
      <c r="E85" s="93">
        <f t="shared" si="16"/>
        <v>0</v>
      </c>
      <c r="F85" s="93">
        <f t="shared" si="16"/>
        <v>0</v>
      </c>
      <c r="G85" s="93">
        <f t="shared" si="16"/>
        <v>0</v>
      </c>
      <c r="H85" s="93">
        <f t="shared" si="16"/>
        <v>0</v>
      </c>
      <c r="I85" s="93">
        <f t="shared" si="16"/>
        <v>0</v>
      </c>
      <c r="J85" s="93">
        <f t="shared" si="16"/>
        <v>0</v>
      </c>
      <c r="K85" s="93">
        <f t="shared" si="16"/>
        <v>0</v>
      </c>
      <c r="L85" s="93">
        <f t="shared" si="16"/>
        <v>0</v>
      </c>
      <c r="M85" s="93">
        <f t="shared" si="16"/>
        <v>0</v>
      </c>
      <c r="N85" s="93">
        <f t="shared" si="16"/>
        <v>0</v>
      </c>
      <c r="O85" s="93">
        <f t="shared" si="16"/>
        <v>0</v>
      </c>
      <c r="P85" s="93">
        <f t="shared" si="16"/>
        <v>0</v>
      </c>
      <c r="Q85" s="93">
        <f t="shared" si="16"/>
        <v>0</v>
      </c>
      <c r="R85" s="93">
        <f t="shared" si="16"/>
        <v>0</v>
      </c>
      <c r="S85" s="93">
        <f t="shared" si="16"/>
        <v>0</v>
      </c>
      <c r="T85" s="93">
        <f t="shared" si="16"/>
        <v>0</v>
      </c>
      <c r="U85" s="93">
        <f t="shared" si="16"/>
        <v>0</v>
      </c>
      <c r="V85" s="93">
        <f t="shared" si="16"/>
        <v>0</v>
      </c>
      <c r="W85" s="93">
        <f t="shared" si="16"/>
        <v>0</v>
      </c>
      <c r="X85" s="93">
        <f t="shared" si="16"/>
        <v>0</v>
      </c>
      <c r="Y85" s="93">
        <f t="shared" si="16"/>
        <v>0</v>
      </c>
      <c r="Z85" s="93">
        <f t="shared" si="16"/>
        <v>0</v>
      </c>
      <c r="AA85" s="93">
        <f t="shared" si="16"/>
        <v>0</v>
      </c>
      <c r="AB85" s="93">
        <f t="shared" si="16"/>
        <v>0</v>
      </c>
      <c r="AC85" s="93">
        <f t="shared" si="16"/>
        <v>0</v>
      </c>
      <c r="AD85" s="93">
        <f t="shared" si="16"/>
        <v>0</v>
      </c>
      <c r="AE85" s="93">
        <f t="shared" si="16"/>
        <v>0</v>
      </c>
      <c r="AF85" s="93">
        <f t="shared" si="16"/>
        <v>0</v>
      </c>
      <c r="AG85" s="92"/>
      <c r="AH85" s="20">
        <f t="shared" si="9"/>
        <v>0</v>
      </c>
      <c r="AI85" s="19">
        <f t="shared" si="10"/>
        <v>0</v>
      </c>
    </row>
    <row r="86" spans="1:37" x14ac:dyDescent="0.25">
      <c r="A86" s="91" t="s">
        <v>153</v>
      </c>
      <c r="B86" s="93">
        <f t="shared" ref="B86:AF86" si="17">IF(B65&lt;0,B65*-1,0)</f>
        <v>428</v>
      </c>
      <c r="C86" s="93">
        <f t="shared" si="17"/>
        <v>452</v>
      </c>
      <c r="D86" s="93">
        <f t="shared" si="17"/>
        <v>436</v>
      </c>
      <c r="E86" s="93">
        <f t="shared" si="17"/>
        <v>449</v>
      </c>
      <c r="F86" s="93">
        <f t="shared" si="17"/>
        <v>410</v>
      </c>
      <c r="G86" s="93">
        <f t="shared" si="17"/>
        <v>405</v>
      </c>
      <c r="H86" s="93">
        <f t="shared" si="17"/>
        <v>420</v>
      </c>
      <c r="I86" s="93">
        <f t="shared" si="17"/>
        <v>440</v>
      </c>
      <c r="J86" s="93">
        <f t="shared" si="17"/>
        <v>430</v>
      </c>
      <c r="K86" s="93">
        <f t="shared" si="17"/>
        <v>370</v>
      </c>
      <c r="L86" s="93">
        <f t="shared" si="17"/>
        <v>440</v>
      </c>
      <c r="M86" s="93">
        <f t="shared" si="17"/>
        <v>423</v>
      </c>
      <c r="N86" s="93">
        <f t="shared" si="17"/>
        <v>425</v>
      </c>
      <c r="O86" s="93">
        <f t="shared" si="17"/>
        <v>392</v>
      </c>
      <c r="P86" s="93">
        <f t="shared" si="17"/>
        <v>393</v>
      </c>
      <c r="Q86" s="93">
        <f t="shared" si="17"/>
        <v>376.4</v>
      </c>
      <c r="R86" s="93">
        <f t="shared" si="17"/>
        <v>425.6</v>
      </c>
      <c r="S86" s="93">
        <f t="shared" si="17"/>
        <v>440</v>
      </c>
      <c r="T86" s="93">
        <f t="shared" si="17"/>
        <v>450</v>
      </c>
      <c r="U86" s="93">
        <f t="shared" si="17"/>
        <v>435</v>
      </c>
      <c r="V86" s="93">
        <f t="shared" si="17"/>
        <v>477</v>
      </c>
      <c r="W86" s="93">
        <f t="shared" si="17"/>
        <v>412</v>
      </c>
      <c r="X86" s="93">
        <f t="shared" si="17"/>
        <v>376</v>
      </c>
      <c r="Y86" s="93">
        <f t="shared" si="17"/>
        <v>376</v>
      </c>
      <c r="Z86" s="93">
        <f t="shared" si="17"/>
        <v>438</v>
      </c>
      <c r="AA86" s="93">
        <f t="shared" si="17"/>
        <v>397</v>
      </c>
      <c r="AB86" s="93">
        <f t="shared" si="17"/>
        <v>366</v>
      </c>
      <c r="AC86" s="93">
        <f t="shared" si="17"/>
        <v>430</v>
      </c>
      <c r="AD86" s="93">
        <f t="shared" si="17"/>
        <v>396</v>
      </c>
      <c r="AE86" s="93">
        <f t="shared" si="17"/>
        <v>416</v>
      </c>
      <c r="AF86" s="93">
        <f t="shared" si="17"/>
        <v>412</v>
      </c>
      <c r="AG86" s="92"/>
      <c r="AH86" s="20">
        <f t="shared" si="9"/>
        <v>477</v>
      </c>
      <c r="AI86" s="19">
        <f t="shared" si="10"/>
        <v>366</v>
      </c>
    </row>
    <row r="87" spans="1:37" x14ac:dyDescent="0.25">
      <c r="A87" s="91" t="s">
        <v>152</v>
      </c>
      <c r="B87" s="93">
        <f t="shared" ref="B87:AF87" si="18">IF(B63&lt;0,B63*-1,0)</f>
        <v>0</v>
      </c>
      <c r="C87" s="93">
        <f t="shared" si="18"/>
        <v>0</v>
      </c>
      <c r="D87" s="93">
        <f t="shared" si="18"/>
        <v>0</v>
      </c>
      <c r="E87" s="93">
        <f t="shared" si="18"/>
        <v>0</v>
      </c>
      <c r="F87" s="93">
        <f t="shared" si="18"/>
        <v>0</v>
      </c>
      <c r="G87" s="93">
        <f t="shared" si="18"/>
        <v>0</v>
      </c>
      <c r="H87" s="93">
        <f t="shared" si="18"/>
        <v>0</v>
      </c>
      <c r="I87" s="93">
        <f t="shared" si="18"/>
        <v>0</v>
      </c>
      <c r="J87" s="93">
        <f t="shared" si="18"/>
        <v>0</v>
      </c>
      <c r="K87" s="93">
        <f t="shared" si="18"/>
        <v>0</v>
      </c>
      <c r="L87" s="93">
        <f t="shared" si="18"/>
        <v>0</v>
      </c>
      <c r="M87" s="93">
        <f t="shared" si="18"/>
        <v>0</v>
      </c>
      <c r="N87" s="93">
        <f t="shared" si="18"/>
        <v>0</v>
      </c>
      <c r="O87" s="93">
        <f t="shared" si="18"/>
        <v>0</v>
      </c>
      <c r="P87" s="93">
        <f t="shared" si="18"/>
        <v>0</v>
      </c>
      <c r="Q87" s="93">
        <f t="shared" si="18"/>
        <v>0</v>
      </c>
      <c r="R87" s="93">
        <f t="shared" si="18"/>
        <v>0</v>
      </c>
      <c r="S87" s="93">
        <f t="shared" si="18"/>
        <v>0</v>
      </c>
      <c r="T87" s="93">
        <f t="shared" si="18"/>
        <v>0</v>
      </c>
      <c r="U87" s="93">
        <f t="shared" si="18"/>
        <v>0</v>
      </c>
      <c r="V87" s="93">
        <f t="shared" si="18"/>
        <v>0</v>
      </c>
      <c r="W87" s="93">
        <f t="shared" si="18"/>
        <v>0</v>
      </c>
      <c r="X87" s="93">
        <f t="shared" si="18"/>
        <v>0</v>
      </c>
      <c r="Y87" s="93">
        <f t="shared" si="18"/>
        <v>0</v>
      </c>
      <c r="Z87" s="93">
        <f t="shared" si="18"/>
        <v>0</v>
      </c>
      <c r="AA87" s="93">
        <f t="shared" si="18"/>
        <v>0</v>
      </c>
      <c r="AB87" s="93">
        <f t="shared" si="18"/>
        <v>0</v>
      </c>
      <c r="AC87" s="93">
        <f t="shared" si="18"/>
        <v>0</v>
      </c>
      <c r="AD87" s="93">
        <f t="shared" si="18"/>
        <v>0</v>
      </c>
      <c r="AE87" s="93">
        <f t="shared" si="18"/>
        <v>0</v>
      </c>
      <c r="AF87" s="93">
        <f t="shared" si="18"/>
        <v>0</v>
      </c>
      <c r="AG87" s="92"/>
      <c r="AH87" s="20">
        <f t="shared" si="9"/>
        <v>0</v>
      </c>
      <c r="AI87" s="19">
        <f t="shared" si="10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9"/>
        <v>0</v>
      </c>
      <c r="AI88" s="19">
        <f t="shared" si="10"/>
        <v>0</v>
      </c>
    </row>
    <row r="89" spans="1:37" ht="15.75" thickBot="1" x14ac:dyDescent="0.3">
      <c r="A89" s="88" t="s">
        <v>150</v>
      </c>
      <c r="B89" s="86">
        <f t="shared" ref="B89:AF89" si="19">SUM(B83:B88)</f>
        <v>428</v>
      </c>
      <c r="C89" s="86">
        <f t="shared" si="19"/>
        <v>452</v>
      </c>
      <c r="D89" s="86">
        <f t="shared" si="19"/>
        <v>436</v>
      </c>
      <c r="E89" s="86">
        <f t="shared" si="19"/>
        <v>449</v>
      </c>
      <c r="F89" s="86">
        <f t="shared" si="19"/>
        <v>410</v>
      </c>
      <c r="G89" s="86">
        <f t="shared" si="19"/>
        <v>405</v>
      </c>
      <c r="H89" s="86">
        <f t="shared" si="19"/>
        <v>420</v>
      </c>
      <c r="I89" s="86">
        <f t="shared" si="19"/>
        <v>440</v>
      </c>
      <c r="J89" s="86">
        <f t="shared" si="19"/>
        <v>430</v>
      </c>
      <c r="K89" s="86">
        <f t="shared" si="19"/>
        <v>370</v>
      </c>
      <c r="L89" s="86">
        <f t="shared" si="19"/>
        <v>440</v>
      </c>
      <c r="M89" s="86">
        <f t="shared" si="19"/>
        <v>423</v>
      </c>
      <c r="N89" s="86">
        <f t="shared" si="19"/>
        <v>425</v>
      </c>
      <c r="O89" s="86">
        <f t="shared" si="19"/>
        <v>392</v>
      </c>
      <c r="P89" s="86">
        <f t="shared" si="19"/>
        <v>393</v>
      </c>
      <c r="Q89" s="86">
        <f t="shared" si="19"/>
        <v>376.4</v>
      </c>
      <c r="R89" s="86">
        <f t="shared" si="19"/>
        <v>425.6</v>
      </c>
      <c r="S89" s="86">
        <f t="shared" si="19"/>
        <v>440</v>
      </c>
      <c r="T89" s="86">
        <f t="shared" si="19"/>
        <v>450</v>
      </c>
      <c r="U89" s="86">
        <f t="shared" si="19"/>
        <v>435</v>
      </c>
      <c r="V89" s="86">
        <f t="shared" si="19"/>
        <v>477</v>
      </c>
      <c r="W89" s="86">
        <f t="shared" si="19"/>
        <v>412</v>
      </c>
      <c r="X89" s="86">
        <f t="shared" si="19"/>
        <v>376</v>
      </c>
      <c r="Y89" s="86">
        <f t="shared" si="19"/>
        <v>376</v>
      </c>
      <c r="Z89" s="86">
        <f t="shared" si="19"/>
        <v>438</v>
      </c>
      <c r="AA89" s="86">
        <f t="shared" si="19"/>
        <v>397</v>
      </c>
      <c r="AB89" s="86">
        <f t="shared" si="19"/>
        <v>366</v>
      </c>
      <c r="AC89" s="86">
        <f t="shared" si="19"/>
        <v>430</v>
      </c>
      <c r="AD89" s="86">
        <f t="shared" si="19"/>
        <v>396</v>
      </c>
      <c r="AE89" s="86">
        <f t="shared" si="19"/>
        <v>416</v>
      </c>
      <c r="AF89" s="86">
        <f t="shared" si="19"/>
        <v>412</v>
      </c>
      <c r="AG89" s="85"/>
      <c r="AH89" s="20">
        <f t="shared" si="9"/>
        <v>477</v>
      </c>
      <c r="AI89" s="19">
        <f t="shared" si="10"/>
        <v>366</v>
      </c>
      <c r="AK89" s="41"/>
    </row>
    <row r="90" spans="1:37" ht="15.75" thickBot="1" x14ac:dyDescent="0.3">
      <c r="A90" s="87" t="s">
        <v>149</v>
      </c>
      <c r="B90" s="86">
        <f t="shared" ref="B90:AF90" si="20">B74-B89</f>
        <v>-389</v>
      </c>
      <c r="C90" s="86">
        <f t="shared" si="20"/>
        <v>-415.6</v>
      </c>
      <c r="D90" s="86">
        <f t="shared" si="20"/>
        <v>-436</v>
      </c>
      <c r="E90" s="86">
        <f t="shared" si="20"/>
        <v>-449</v>
      </c>
      <c r="F90" s="86">
        <f t="shared" si="20"/>
        <v>-410</v>
      </c>
      <c r="G90" s="86">
        <f t="shared" si="20"/>
        <v>-405</v>
      </c>
      <c r="H90" s="86">
        <f t="shared" si="20"/>
        <v>-420</v>
      </c>
      <c r="I90" s="86">
        <f t="shared" si="20"/>
        <v>-440</v>
      </c>
      <c r="J90" s="86">
        <f t="shared" si="20"/>
        <v>-430</v>
      </c>
      <c r="K90" s="86">
        <f t="shared" si="20"/>
        <v>-370</v>
      </c>
      <c r="L90" s="86">
        <f t="shared" si="20"/>
        <v>-440</v>
      </c>
      <c r="M90" s="86">
        <f t="shared" si="20"/>
        <v>-423</v>
      </c>
      <c r="N90" s="86">
        <f t="shared" si="20"/>
        <v>-425</v>
      </c>
      <c r="O90" s="86">
        <f t="shared" si="20"/>
        <v>-392</v>
      </c>
      <c r="P90" s="86">
        <f t="shared" si="20"/>
        <v>-393</v>
      </c>
      <c r="Q90" s="86">
        <f t="shared" si="20"/>
        <v>-376.4</v>
      </c>
      <c r="R90" s="86">
        <f t="shared" si="20"/>
        <v>-425.6</v>
      </c>
      <c r="S90" s="86">
        <f t="shared" si="20"/>
        <v>-440</v>
      </c>
      <c r="T90" s="86">
        <f t="shared" si="20"/>
        <v>-450</v>
      </c>
      <c r="U90" s="86">
        <f t="shared" si="20"/>
        <v>-435</v>
      </c>
      <c r="V90" s="86">
        <f t="shared" si="20"/>
        <v>-477</v>
      </c>
      <c r="W90" s="86">
        <f t="shared" si="20"/>
        <v>-412</v>
      </c>
      <c r="X90" s="86">
        <f t="shared" si="20"/>
        <v>-376</v>
      </c>
      <c r="Y90" s="86">
        <f t="shared" si="20"/>
        <v>-376</v>
      </c>
      <c r="Z90" s="86">
        <f t="shared" si="20"/>
        <v>-438</v>
      </c>
      <c r="AA90" s="86">
        <f t="shared" si="20"/>
        <v>-397</v>
      </c>
      <c r="AB90" s="86">
        <f t="shared" si="20"/>
        <v>-366</v>
      </c>
      <c r="AC90" s="86">
        <f t="shared" si="20"/>
        <v>-430</v>
      </c>
      <c r="AD90" s="86">
        <f t="shared" si="20"/>
        <v>-396</v>
      </c>
      <c r="AE90" s="86">
        <f t="shared" si="20"/>
        <v>-416</v>
      </c>
      <c r="AF90" s="86">
        <f t="shared" si="20"/>
        <v>-412</v>
      </c>
      <c r="AG90" s="85"/>
      <c r="AH90" s="20">
        <f t="shared" si="9"/>
        <v>-366</v>
      </c>
      <c r="AI90" s="19">
        <f t="shared" si="10"/>
        <v>-477</v>
      </c>
    </row>
    <row r="91" spans="1:37" x14ac:dyDescent="0.25">
      <c r="A91" s="47" t="s">
        <v>148</v>
      </c>
      <c r="B91" s="84">
        <v>50.021999999999998</v>
      </c>
      <c r="C91" s="84">
        <v>49.951000000000001</v>
      </c>
      <c r="D91" s="84">
        <v>50.01</v>
      </c>
      <c r="E91" s="84">
        <v>50.012999999999998</v>
      </c>
      <c r="F91" s="84">
        <v>49.936999999999998</v>
      </c>
      <c r="G91" s="84">
        <v>50.043999999999997</v>
      </c>
      <c r="H91" s="84">
        <v>49.987000000000002</v>
      </c>
      <c r="I91" s="84">
        <v>49.935000000000002</v>
      </c>
      <c r="J91" s="84">
        <v>50.024000000000001</v>
      </c>
      <c r="K91" s="84">
        <v>50.002000000000002</v>
      </c>
      <c r="L91" s="84">
        <v>50.006999999999998</v>
      </c>
      <c r="M91" s="84">
        <v>50.02</v>
      </c>
      <c r="N91" s="84">
        <v>50.05</v>
      </c>
      <c r="O91" s="84">
        <v>50.07</v>
      </c>
      <c r="P91" s="84">
        <v>49.984999999999999</v>
      </c>
      <c r="Q91" s="84">
        <v>49.945</v>
      </c>
      <c r="R91" s="84">
        <v>50.036000000000001</v>
      </c>
      <c r="S91" s="84">
        <v>50.055999999999997</v>
      </c>
      <c r="T91" s="84">
        <v>50.02</v>
      </c>
      <c r="U91" s="84">
        <v>50.05</v>
      </c>
      <c r="V91" s="84">
        <v>49.985999999999997</v>
      </c>
      <c r="W91" s="84">
        <v>49.972999999999999</v>
      </c>
      <c r="X91" s="84">
        <v>50.02</v>
      </c>
      <c r="Y91" s="84">
        <v>50.045999999999999</v>
      </c>
      <c r="Z91" s="84">
        <v>49.968000000000004</v>
      </c>
      <c r="AA91" s="84">
        <v>49.945</v>
      </c>
      <c r="AB91" s="84">
        <v>50.03</v>
      </c>
      <c r="AC91" s="84">
        <v>50</v>
      </c>
      <c r="AD91" s="84">
        <v>50.02</v>
      </c>
      <c r="AE91" s="84">
        <v>49.92</v>
      </c>
      <c r="AF91" s="84">
        <v>50.03</v>
      </c>
      <c r="AG91" s="83"/>
      <c r="AH91" s="20">
        <f t="shared" si="9"/>
        <v>50.07</v>
      </c>
      <c r="AI91" s="19">
        <f t="shared" si="10"/>
        <v>49.92</v>
      </c>
    </row>
    <row r="92" spans="1:37" x14ac:dyDescent="0.25">
      <c r="A92" s="44" t="s">
        <v>147</v>
      </c>
      <c r="B92" s="80">
        <v>126.7</v>
      </c>
      <c r="C92" s="80">
        <v>127</v>
      </c>
      <c r="D92" s="80">
        <v>126.6</v>
      </c>
      <c r="E92" s="80">
        <v>127</v>
      </c>
      <c r="F92" s="80">
        <v>127.8</v>
      </c>
      <c r="G92" s="80">
        <v>127.4</v>
      </c>
      <c r="H92" s="80">
        <v>127.7</v>
      </c>
      <c r="I92" s="80">
        <v>127.9</v>
      </c>
      <c r="J92" s="80">
        <v>127.6</v>
      </c>
      <c r="K92" s="80">
        <v>127.4</v>
      </c>
      <c r="L92" s="80">
        <v>126.8</v>
      </c>
      <c r="M92" s="80">
        <v>126</v>
      </c>
      <c r="N92" s="80">
        <v>126</v>
      </c>
      <c r="O92" s="80">
        <v>126</v>
      </c>
      <c r="P92" s="80">
        <v>126</v>
      </c>
      <c r="Q92" s="80">
        <v>125.6</v>
      </c>
      <c r="R92" s="80">
        <v>125.9</v>
      </c>
      <c r="S92" s="80">
        <v>127.9</v>
      </c>
      <c r="T92" s="80">
        <v>127</v>
      </c>
      <c r="U92" s="80">
        <v>127.1</v>
      </c>
      <c r="V92" s="80">
        <v>127.9</v>
      </c>
      <c r="W92" s="80">
        <v>128.1</v>
      </c>
      <c r="X92" s="80">
        <v>128.5</v>
      </c>
      <c r="Y92" s="80">
        <v>127.1</v>
      </c>
      <c r="Z92" s="80">
        <v>127.2</v>
      </c>
      <c r="AA92" s="80">
        <v>127</v>
      </c>
      <c r="AB92" s="80">
        <v>127.1</v>
      </c>
      <c r="AC92" s="80">
        <v>127.2</v>
      </c>
      <c r="AD92" s="80">
        <v>128.6</v>
      </c>
      <c r="AE92" s="80">
        <v>128.30000000000001</v>
      </c>
      <c r="AF92" s="80">
        <v>128.6</v>
      </c>
      <c r="AG92" s="79"/>
      <c r="AH92" s="20">
        <f t="shared" si="9"/>
        <v>128.6</v>
      </c>
      <c r="AI92" s="19">
        <f t="shared" si="10"/>
        <v>125.6</v>
      </c>
    </row>
    <row r="93" spans="1:37" x14ac:dyDescent="0.25">
      <c r="A93" s="44" t="s">
        <v>146</v>
      </c>
      <c r="B93" s="80">
        <v>130.5</v>
      </c>
      <c r="C93" s="80">
        <v>131</v>
      </c>
      <c r="D93" s="80">
        <v>130.6</v>
      </c>
      <c r="E93" s="80">
        <v>130.9</v>
      </c>
      <c r="F93" s="80">
        <v>131.19999999999999</v>
      </c>
      <c r="G93" s="80">
        <v>130.80000000000001</v>
      </c>
      <c r="H93" s="80">
        <v>131.1</v>
      </c>
      <c r="I93" s="80">
        <v>130.69999999999999</v>
      </c>
      <c r="J93" s="80">
        <v>130.69999999999999</v>
      </c>
      <c r="K93" s="80">
        <v>130.1</v>
      </c>
      <c r="L93" s="80">
        <v>129.4</v>
      </c>
      <c r="M93" s="80">
        <v>129</v>
      </c>
      <c r="N93" s="80">
        <v>129</v>
      </c>
      <c r="O93" s="80">
        <v>129</v>
      </c>
      <c r="P93" s="80">
        <v>129</v>
      </c>
      <c r="Q93" s="80">
        <v>128.19999999999999</v>
      </c>
      <c r="R93" s="80">
        <v>128.69999999999999</v>
      </c>
      <c r="S93" s="80">
        <v>129.69999999999999</v>
      </c>
      <c r="T93" s="80">
        <v>129.5</v>
      </c>
      <c r="U93" s="80">
        <v>129.69999999999999</v>
      </c>
      <c r="V93" s="80">
        <v>130.6</v>
      </c>
      <c r="W93" s="80">
        <v>130.6</v>
      </c>
      <c r="X93" s="80">
        <v>130.80000000000001</v>
      </c>
      <c r="Y93" s="80">
        <v>130</v>
      </c>
      <c r="Z93" s="80">
        <v>129.80000000000001</v>
      </c>
      <c r="AA93" s="80">
        <v>130</v>
      </c>
      <c r="AB93" s="80">
        <v>130.4</v>
      </c>
      <c r="AC93" s="80">
        <v>128.5</v>
      </c>
      <c r="AD93" s="80">
        <v>131.6</v>
      </c>
      <c r="AE93" s="80">
        <v>131.6</v>
      </c>
      <c r="AF93" s="80">
        <v>131.9</v>
      </c>
      <c r="AG93" s="79"/>
      <c r="AH93" s="20">
        <f t="shared" si="9"/>
        <v>131.9</v>
      </c>
      <c r="AI93" s="19">
        <f t="shared" si="10"/>
        <v>128.19999999999999</v>
      </c>
    </row>
    <row r="94" spans="1:37" x14ac:dyDescent="0.25">
      <c r="A94" s="44" t="s">
        <v>145</v>
      </c>
      <c r="B94" s="80">
        <v>129.5</v>
      </c>
      <c r="C94" s="80">
        <v>130.69999999999999</v>
      </c>
      <c r="D94" s="80">
        <v>128.30000000000001</v>
      </c>
      <c r="E94" s="80">
        <v>129.5</v>
      </c>
      <c r="F94" s="80">
        <v>130.6</v>
      </c>
      <c r="G94" s="80">
        <v>130.80000000000001</v>
      </c>
      <c r="H94" s="80">
        <v>131</v>
      </c>
      <c r="I94" s="80">
        <v>129.9</v>
      </c>
      <c r="J94" s="80">
        <v>129.9</v>
      </c>
      <c r="K94" s="80">
        <v>131.4</v>
      </c>
      <c r="L94" s="80">
        <v>129</v>
      </c>
      <c r="M94" s="80">
        <v>128</v>
      </c>
      <c r="N94" s="80">
        <v>128</v>
      </c>
      <c r="O94" s="80">
        <v>129</v>
      </c>
      <c r="P94" s="80">
        <v>129</v>
      </c>
      <c r="Q94" s="80">
        <v>131.5</v>
      </c>
      <c r="R94" s="80">
        <v>132.6</v>
      </c>
      <c r="S94" s="80">
        <v>130.69999999999999</v>
      </c>
      <c r="T94" s="80">
        <v>130.5</v>
      </c>
      <c r="U94" s="80">
        <v>130.1</v>
      </c>
      <c r="V94" s="80">
        <v>131</v>
      </c>
      <c r="W94" s="80">
        <v>130.5</v>
      </c>
      <c r="X94" s="80">
        <v>130.19999999999999</v>
      </c>
      <c r="Y94" s="80">
        <v>129</v>
      </c>
      <c r="Z94" s="80">
        <v>128.69999999999999</v>
      </c>
      <c r="AA94" s="80">
        <v>128.4</v>
      </c>
      <c r="AB94" s="80">
        <v>128.69999999999999</v>
      </c>
      <c r="AC94" s="80">
        <v>128.69999999999999</v>
      </c>
      <c r="AD94" s="80">
        <v>129.9</v>
      </c>
      <c r="AE94" s="80">
        <v>130.30000000000001</v>
      </c>
      <c r="AF94" s="80">
        <v>131.4</v>
      </c>
      <c r="AG94" s="79"/>
      <c r="AH94" s="20">
        <f t="shared" si="9"/>
        <v>132.6</v>
      </c>
      <c r="AI94" s="19">
        <f t="shared" si="10"/>
        <v>128</v>
      </c>
    </row>
    <row r="95" spans="1:37" x14ac:dyDescent="0.25">
      <c r="A95" s="82" t="s">
        <v>144</v>
      </c>
      <c r="B95" s="80">
        <v>134.5</v>
      </c>
      <c r="C95" s="80">
        <v>135.6</v>
      </c>
      <c r="D95" s="80">
        <v>132.4</v>
      </c>
      <c r="E95" s="80">
        <v>133.69999999999999</v>
      </c>
      <c r="F95" s="80">
        <v>134.4</v>
      </c>
      <c r="G95" s="80">
        <v>135.1</v>
      </c>
      <c r="H95" s="80">
        <v>135</v>
      </c>
      <c r="I95" s="80">
        <v>134.30000000000001</v>
      </c>
      <c r="J95" s="80">
        <v>134.30000000000001</v>
      </c>
      <c r="K95" s="80">
        <v>133.5</v>
      </c>
      <c r="L95" s="80">
        <v>133</v>
      </c>
      <c r="M95" s="80">
        <v>131</v>
      </c>
      <c r="N95" s="80">
        <v>131</v>
      </c>
      <c r="O95" s="80">
        <v>132</v>
      </c>
      <c r="P95" s="80">
        <v>132</v>
      </c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79"/>
      <c r="AH95" s="20">
        <f t="shared" si="9"/>
        <v>135.6</v>
      </c>
      <c r="AI95" s="19">
        <f t="shared" si="10"/>
        <v>131</v>
      </c>
    </row>
    <row r="96" spans="1:37" x14ac:dyDescent="0.25">
      <c r="A96" s="82" t="s">
        <v>143</v>
      </c>
      <c r="B96" s="66">
        <v>127.4</v>
      </c>
      <c r="C96" s="66">
        <v>129</v>
      </c>
      <c r="D96" s="66">
        <v>129.6</v>
      </c>
      <c r="E96" s="66">
        <v>130.1</v>
      </c>
      <c r="F96" s="66">
        <v>131.4</v>
      </c>
      <c r="G96" s="66">
        <v>128.80000000000001</v>
      </c>
      <c r="H96" s="66">
        <v>133.1</v>
      </c>
      <c r="I96" s="66">
        <v>133.80000000000001</v>
      </c>
      <c r="J96" s="66">
        <v>133.80000000000001</v>
      </c>
      <c r="K96" s="66">
        <v>131.9</v>
      </c>
      <c r="L96" s="66">
        <v>131.1</v>
      </c>
      <c r="M96" s="66">
        <v>130.69999999999999</v>
      </c>
      <c r="N96" s="66">
        <v>130.69999999999999</v>
      </c>
      <c r="O96" s="66">
        <v>132</v>
      </c>
      <c r="P96" s="66">
        <v>132</v>
      </c>
      <c r="Q96" s="66">
        <v>132.80000000000001</v>
      </c>
      <c r="R96" s="66">
        <v>132.19999999999999</v>
      </c>
      <c r="S96" s="66">
        <v>134</v>
      </c>
      <c r="T96" s="66">
        <v>132.6</v>
      </c>
      <c r="U96" s="66">
        <v>132.80000000000001</v>
      </c>
      <c r="V96" s="66">
        <v>133.6</v>
      </c>
      <c r="W96" s="66">
        <v>134.5</v>
      </c>
      <c r="X96" s="66">
        <v>134.4</v>
      </c>
      <c r="Y96" s="66">
        <v>132.4</v>
      </c>
      <c r="Z96" s="66">
        <v>131.6</v>
      </c>
      <c r="AA96" s="66">
        <v>130.9</v>
      </c>
      <c r="AB96" s="66">
        <v>130</v>
      </c>
      <c r="AC96" s="66">
        <v>132.5</v>
      </c>
      <c r="AD96" s="66">
        <v>132.1</v>
      </c>
      <c r="AE96" s="66">
        <v>134.6</v>
      </c>
      <c r="AF96" s="66">
        <v>131.6</v>
      </c>
      <c r="AG96" s="81"/>
      <c r="AH96" s="20">
        <f t="shared" si="9"/>
        <v>134.6</v>
      </c>
      <c r="AI96" s="19">
        <f t="shared" si="10"/>
        <v>127.4</v>
      </c>
    </row>
    <row r="97" spans="1:37" x14ac:dyDescent="0.25">
      <c r="A97" s="44" t="s">
        <v>142</v>
      </c>
      <c r="B97" s="80">
        <v>128.69999999999999</v>
      </c>
      <c r="C97" s="80">
        <v>131</v>
      </c>
      <c r="D97" s="80">
        <v>132.19999999999999</v>
      </c>
      <c r="E97" s="80">
        <v>132.6</v>
      </c>
      <c r="F97" s="80">
        <v>133.80000000000001</v>
      </c>
      <c r="G97" s="80">
        <v>132.1</v>
      </c>
      <c r="H97" s="80">
        <v>134.69999999999999</v>
      </c>
      <c r="I97" s="80">
        <v>133.30000000000001</v>
      </c>
      <c r="J97" s="80">
        <v>133.30000000000001</v>
      </c>
      <c r="K97" s="80">
        <v>131.1</v>
      </c>
      <c r="L97" s="80">
        <v>129.80000000000001</v>
      </c>
      <c r="M97" s="80">
        <v>129.80000000000001</v>
      </c>
      <c r="N97" s="80">
        <v>129.80000000000001</v>
      </c>
      <c r="O97" s="80">
        <v>134</v>
      </c>
      <c r="P97" s="80">
        <v>134</v>
      </c>
      <c r="Q97" s="80">
        <v>131.19999999999999</v>
      </c>
      <c r="R97" s="80">
        <v>131.80000000000001</v>
      </c>
      <c r="S97" s="80">
        <v>133.6</v>
      </c>
      <c r="T97" s="80">
        <v>132.30000000000001</v>
      </c>
      <c r="U97" s="80">
        <v>131.1</v>
      </c>
      <c r="V97" s="80">
        <v>131.5</v>
      </c>
      <c r="W97" s="80">
        <v>131.9</v>
      </c>
      <c r="X97" s="80">
        <v>133.30000000000001</v>
      </c>
      <c r="Y97" s="80">
        <v>129.69999999999999</v>
      </c>
      <c r="Z97" s="80">
        <v>130.6</v>
      </c>
      <c r="AA97" s="80">
        <v>130.30000000000001</v>
      </c>
      <c r="AB97" s="80">
        <v>137.30000000000001</v>
      </c>
      <c r="AC97" s="80">
        <v>133.1</v>
      </c>
      <c r="AD97" s="80">
        <v>131.80000000000001</v>
      </c>
      <c r="AE97" s="80">
        <v>134.6</v>
      </c>
      <c r="AF97" s="80">
        <v>134</v>
      </c>
      <c r="AG97" s="79"/>
      <c r="AH97" s="20">
        <f t="shared" si="9"/>
        <v>137.30000000000001</v>
      </c>
      <c r="AI97" s="19">
        <f t="shared" si="10"/>
        <v>128.69999999999999</v>
      </c>
    </row>
    <row r="98" spans="1:37" ht="15.75" thickBot="1" x14ac:dyDescent="0.3">
      <c r="A98" s="44" t="s">
        <v>141</v>
      </c>
      <c r="B98" s="77">
        <v>66</v>
      </c>
      <c r="C98" s="77">
        <v>66.099999999999994</v>
      </c>
      <c r="D98" s="77">
        <v>66</v>
      </c>
      <c r="E98" s="77">
        <v>66</v>
      </c>
      <c r="F98" s="77">
        <v>66.3</v>
      </c>
      <c r="G98" s="77">
        <v>66.099999999999994</v>
      </c>
      <c r="H98" s="77">
        <v>66.2</v>
      </c>
      <c r="I98" s="77">
        <v>66</v>
      </c>
      <c r="J98" s="77">
        <v>66</v>
      </c>
      <c r="K98" s="77">
        <v>65.599999999999994</v>
      </c>
      <c r="L98" s="77">
        <v>65.3</v>
      </c>
      <c r="M98" s="77">
        <v>64.900000000000006</v>
      </c>
      <c r="N98" s="77">
        <v>64.900000000000006</v>
      </c>
      <c r="O98" s="77">
        <v>64.7</v>
      </c>
      <c r="P98" s="77">
        <v>64.7</v>
      </c>
      <c r="Q98" s="77">
        <v>64.400000000000006</v>
      </c>
      <c r="R98" s="77">
        <v>64.7</v>
      </c>
      <c r="S98" s="77">
        <v>65.2</v>
      </c>
      <c r="T98" s="77">
        <v>65.2</v>
      </c>
      <c r="U98" s="77">
        <v>65.099999999999994</v>
      </c>
      <c r="V98" s="77">
        <v>65.599999999999994</v>
      </c>
      <c r="W98" s="77">
        <v>65.599999999999994</v>
      </c>
      <c r="X98" s="77">
        <v>65.7</v>
      </c>
      <c r="Y98" s="77">
        <v>65.3</v>
      </c>
      <c r="Z98" s="77">
        <v>65.3</v>
      </c>
      <c r="AA98" s="77">
        <v>65.400000000000006</v>
      </c>
      <c r="AB98" s="77">
        <v>65.5</v>
      </c>
      <c r="AC98" s="77">
        <v>66.3</v>
      </c>
      <c r="AD98" s="77">
        <v>66.400000000000006</v>
      </c>
      <c r="AE98" s="77">
        <v>66.599999999999994</v>
      </c>
      <c r="AF98" s="77">
        <v>66.7</v>
      </c>
      <c r="AG98" s="76"/>
      <c r="AH98" s="20">
        <f t="shared" si="9"/>
        <v>66.7</v>
      </c>
      <c r="AI98" s="19">
        <f t="shared" si="10"/>
        <v>64.400000000000006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9"/>
        <v>0</v>
      </c>
      <c r="AI99" s="19">
        <f t="shared" si="10"/>
        <v>0</v>
      </c>
    </row>
    <row r="100" spans="1:37" ht="15.75" thickBot="1" x14ac:dyDescent="0.3">
      <c r="A100" s="75" t="s">
        <v>140</v>
      </c>
      <c r="B100" s="74">
        <f t="shared" ref="B100:AF100" si="21">SUM(B15,B20,B22:B23,B48,B50:B51,B53,B55,B101:B105,B127,B133,B139,B148,B150,B162,B169,B172:B173,B180,B182,B184,B188:B190,B192:B194,B199,B205:B206,B208:B210,B218,B223)</f>
        <v>31.799999999999994</v>
      </c>
      <c r="C100" s="74">
        <f t="shared" si="21"/>
        <v>25.339999999999996</v>
      </c>
      <c r="D100" s="74">
        <f t="shared" si="21"/>
        <v>20.04000000000001</v>
      </c>
      <c r="E100" s="74">
        <f t="shared" si="21"/>
        <v>20.539999999999988</v>
      </c>
      <c r="F100" s="74">
        <f t="shared" si="21"/>
        <v>28.039999999999996</v>
      </c>
      <c r="G100" s="74">
        <f t="shared" si="21"/>
        <v>40.940000000000012</v>
      </c>
      <c r="H100" s="74">
        <f t="shared" si="21"/>
        <v>60.34</v>
      </c>
      <c r="I100" s="74">
        <f t="shared" si="21"/>
        <v>64.34</v>
      </c>
      <c r="J100" s="74">
        <f t="shared" si="21"/>
        <v>86.84</v>
      </c>
      <c r="K100" s="74">
        <f t="shared" si="21"/>
        <v>90.14</v>
      </c>
      <c r="L100" s="74">
        <f t="shared" si="21"/>
        <v>102.84</v>
      </c>
      <c r="M100" s="74">
        <f t="shared" si="21"/>
        <v>97.44</v>
      </c>
      <c r="N100" s="74">
        <f t="shared" si="21"/>
        <v>101.24000000000001</v>
      </c>
      <c r="O100" s="74">
        <f t="shared" si="21"/>
        <v>92.84</v>
      </c>
      <c r="P100" s="74">
        <f t="shared" si="21"/>
        <v>82.44</v>
      </c>
      <c r="Q100" s="74">
        <f t="shared" si="21"/>
        <v>58.79999999999999</v>
      </c>
      <c r="R100" s="74">
        <f t="shared" si="21"/>
        <v>75.7</v>
      </c>
      <c r="S100" s="74">
        <f t="shared" si="21"/>
        <v>73.7</v>
      </c>
      <c r="T100" s="74">
        <f t="shared" si="21"/>
        <v>83.2</v>
      </c>
      <c r="U100" s="74">
        <f t="shared" si="21"/>
        <v>89</v>
      </c>
      <c r="V100" s="74">
        <f t="shared" si="21"/>
        <v>75.09999999999998</v>
      </c>
      <c r="W100" s="74">
        <f t="shared" si="21"/>
        <v>110.69999999999999</v>
      </c>
      <c r="X100" s="74">
        <f t="shared" si="21"/>
        <v>143.69999999999999</v>
      </c>
      <c r="Y100" s="74">
        <f t="shared" si="21"/>
        <v>172.59999999999997</v>
      </c>
      <c r="Z100" s="74">
        <f t="shared" si="21"/>
        <v>171</v>
      </c>
      <c r="AA100" s="74">
        <f t="shared" si="21"/>
        <v>141.9</v>
      </c>
      <c r="AB100" s="74">
        <f t="shared" si="21"/>
        <v>161.80000000000001</v>
      </c>
      <c r="AC100" s="74">
        <f t="shared" si="21"/>
        <v>118.6</v>
      </c>
      <c r="AD100" s="74">
        <f t="shared" si="21"/>
        <v>102.79999999999998</v>
      </c>
      <c r="AE100" s="74">
        <f t="shared" si="21"/>
        <v>104.30000000000003</v>
      </c>
      <c r="AF100" s="74">
        <f t="shared" si="21"/>
        <v>83.500000000000028</v>
      </c>
      <c r="AG100" s="73"/>
      <c r="AH100" s="20">
        <f t="shared" si="9"/>
        <v>172.59999999999997</v>
      </c>
      <c r="AI100" s="19">
        <f t="shared" si="10"/>
        <v>20.04000000000001</v>
      </c>
    </row>
    <row r="101" spans="1:37" x14ac:dyDescent="0.25">
      <c r="A101" s="47" t="s">
        <v>139</v>
      </c>
      <c r="B101" s="72">
        <v>-3.9</v>
      </c>
      <c r="C101" s="72">
        <v>-3</v>
      </c>
      <c r="D101" s="72">
        <v>0</v>
      </c>
      <c r="E101" s="72">
        <v>-1.1000000000000001</v>
      </c>
      <c r="F101" s="72">
        <v>0</v>
      </c>
      <c r="G101" s="72">
        <v>2.2999999999999998</v>
      </c>
      <c r="H101" s="72">
        <v>8</v>
      </c>
      <c r="I101" s="72">
        <v>9</v>
      </c>
      <c r="J101" s="72">
        <v>11</v>
      </c>
      <c r="K101" s="72">
        <v>6.8</v>
      </c>
      <c r="L101" s="72">
        <v>11</v>
      </c>
      <c r="M101" s="72">
        <v>10</v>
      </c>
      <c r="N101" s="72">
        <v>9.4</v>
      </c>
      <c r="O101" s="72">
        <v>12</v>
      </c>
      <c r="P101" s="72">
        <v>10</v>
      </c>
      <c r="Q101" s="72">
        <v>11.4</v>
      </c>
      <c r="R101" s="72">
        <v>9.1999999999999993</v>
      </c>
      <c r="S101" s="72">
        <v>10</v>
      </c>
      <c r="T101" s="72">
        <v>9</v>
      </c>
      <c r="U101" s="72">
        <v>10</v>
      </c>
      <c r="V101" s="72">
        <v>9.1</v>
      </c>
      <c r="W101" s="72">
        <v>12.4</v>
      </c>
      <c r="X101" s="72">
        <v>16.2</v>
      </c>
      <c r="Y101" s="72">
        <v>14.2</v>
      </c>
      <c r="Z101" s="72">
        <v>15.2</v>
      </c>
      <c r="AA101" s="72">
        <v>13.5</v>
      </c>
      <c r="AB101" s="72">
        <v>9.4</v>
      </c>
      <c r="AC101" s="72">
        <v>18.8</v>
      </c>
      <c r="AD101" s="72">
        <v>16.7</v>
      </c>
      <c r="AE101" s="72">
        <v>20</v>
      </c>
      <c r="AF101" s="72">
        <v>15.8</v>
      </c>
      <c r="AG101" s="70">
        <v>75</v>
      </c>
      <c r="AH101" s="20">
        <f t="shared" si="9"/>
        <v>20</v>
      </c>
      <c r="AI101" s="19">
        <f t="shared" si="10"/>
        <v>-3.9</v>
      </c>
    </row>
    <row r="102" spans="1:37" x14ac:dyDescent="0.25">
      <c r="A102" s="44" t="s">
        <v>138</v>
      </c>
      <c r="B102" s="71">
        <v>3.1</v>
      </c>
      <c r="C102" s="71">
        <v>3.7</v>
      </c>
      <c r="D102" s="71">
        <v>10.3</v>
      </c>
      <c r="E102" s="71">
        <v>7.7</v>
      </c>
      <c r="F102" s="71">
        <v>9.1999999999999993</v>
      </c>
      <c r="G102" s="71">
        <v>12</v>
      </c>
      <c r="H102" s="71">
        <v>19</v>
      </c>
      <c r="I102" s="71">
        <v>20</v>
      </c>
      <c r="J102" s="71">
        <v>22</v>
      </c>
      <c r="K102" s="71">
        <v>15.2</v>
      </c>
      <c r="L102" s="71">
        <v>22</v>
      </c>
      <c r="M102" s="71">
        <v>20.6</v>
      </c>
      <c r="N102" s="71">
        <v>19</v>
      </c>
      <c r="O102" s="71">
        <v>25</v>
      </c>
      <c r="P102" s="71">
        <v>21</v>
      </c>
      <c r="Q102" s="71">
        <v>23</v>
      </c>
      <c r="R102" s="71">
        <v>19.8</v>
      </c>
      <c r="S102" s="71">
        <v>21</v>
      </c>
      <c r="T102" s="71">
        <v>20</v>
      </c>
      <c r="U102" s="71">
        <v>22</v>
      </c>
      <c r="V102" s="71">
        <v>20.399999999999999</v>
      </c>
      <c r="W102" s="71">
        <v>21.6</v>
      </c>
      <c r="X102" s="71">
        <v>26.5</v>
      </c>
      <c r="Y102" s="71">
        <v>30</v>
      </c>
      <c r="Z102" s="71">
        <v>28.3</v>
      </c>
      <c r="AA102" s="71">
        <v>25</v>
      </c>
      <c r="AB102" s="71">
        <v>62.5</v>
      </c>
      <c r="AC102" s="71">
        <v>26.7</v>
      </c>
      <c r="AD102" s="71">
        <v>28.6</v>
      </c>
      <c r="AE102" s="71">
        <v>35.700000000000003</v>
      </c>
      <c r="AF102" s="71">
        <v>35.200000000000003</v>
      </c>
      <c r="AG102" s="70">
        <v>240</v>
      </c>
      <c r="AH102" s="20">
        <f t="shared" si="9"/>
        <v>62.5</v>
      </c>
      <c r="AI102" s="19">
        <f t="shared" si="10"/>
        <v>3.1</v>
      </c>
    </row>
    <row r="103" spans="1:37" x14ac:dyDescent="0.25">
      <c r="A103" s="44" t="s">
        <v>137</v>
      </c>
      <c r="B103" s="71">
        <f>-60-64</f>
        <v>-124</v>
      </c>
      <c r="C103" s="71">
        <f>-64-67</f>
        <v>-131</v>
      </c>
      <c r="D103" s="71">
        <f>-58-60.3</f>
        <v>-118.3</v>
      </c>
      <c r="E103" s="71">
        <f>-56-59</f>
        <v>-115</v>
      </c>
      <c r="F103" s="71">
        <v>-108</v>
      </c>
      <c r="G103" s="71">
        <v>-102</v>
      </c>
      <c r="H103" s="71">
        <v>-95</v>
      </c>
      <c r="I103" s="71">
        <v>-96</v>
      </c>
      <c r="J103" s="71">
        <v>-80</v>
      </c>
      <c r="K103" s="71">
        <v>-70</v>
      </c>
      <c r="L103" s="71">
        <v>-70</v>
      </c>
      <c r="M103" s="71">
        <v>-72</v>
      </c>
      <c r="N103" s="71">
        <v>-65</v>
      </c>
      <c r="O103" s="71">
        <v>-82</v>
      </c>
      <c r="P103" s="71">
        <v>-84</v>
      </c>
      <c r="Q103" s="71">
        <f>-46.9-49.7</f>
        <v>-96.6</v>
      </c>
      <c r="R103" s="71">
        <f>-46-49</f>
        <v>-95</v>
      </c>
      <c r="S103" s="71">
        <v>-100</v>
      </c>
      <c r="T103" s="71">
        <v>-85</v>
      </c>
      <c r="U103" s="71">
        <v>-85</v>
      </c>
      <c r="V103" s="71">
        <f>-42-45.7</f>
        <v>-87.7</v>
      </c>
      <c r="W103" s="71">
        <f>-29-31.3</f>
        <v>-60.3</v>
      </c>
      <c r="X103" s="71">
        <f>-32-35</f>
        <v>-67</v>
      </c>
      <c r="Y103" s="71">
        <v>-50.3</v>
      </c>
      <c r="Z103" s="71">
        <f>-26-28</f>
        <v>-54</v>
      </c>
      <c r="AA103" s="71">
        <f>-35-37</f>
        <v>-72</v>
      </c>
      <c r="AB103" s="71">
        <f>-39.6-41.5</f>
        <v>-81.099999999999994</v>
      </c>
      <c r="AC103" s="71">
        <f>-47.1-50.4</f>
        <v>-97.5</v>
      </c>
      <c r="AD103" s="71">
        <f>-47.9-51.3</f>
        <v>-99.199999999999989</v>
      </c>
      <c r="AE103" s="71">
        <f>-59.5-63</f>
        <v>-122.5</v>
      </c>
      <c r="AF103" s="71">
        <f>-61.9-65.4</f>
        <v>-127.30000000000001</v>
      </c>
      <c r="AG103" s="70">
        <v>240</v>
      </c>
      <c r="AH103" s="20">
        <f t="shared" si="9"/>
        <v>-50.3</v>
      </c>
      <c r="AI103" s="19">
        <f t="shared" si="10"/>
        <v>-131</v>
      </c>
    </row>
    <row r="104" spans="1:37" x14ac:dyDescent="0.25">
      <c r="A104" s="44" t="s">
        <v>136</v>
      </c>
      <c r="B104" s="71">
        <v>-3.8</v>
      </c>
      <c r="C104" s="71">
        <v>-5.7</v>
      </c>
      <c r="D104" s="71">
        <v>-4</v>
      </c>
      <c r="E104" s="71">
        <v>-3.1</v>
      </c>
      <c r="F104" s="71">
        <v>-3</v>
      </c>
      <c r="G104" s="71">
        <v>-1.2</v>
      </c>
      <c r="H104" s="71">
        <v>-1.5</v>
      </c>
      <c r="I104" s="71">
        <v>1.5</v>
      </c>
      <c r="J104" s="71">
        <v>4</v>
      </c>
      <c r="K104" s="71">
        <v>8.3000000000000007</v>
      </c>
      <c r="L104" s="71">
        <v>10</v>
      </c>
      <c r="M104" s="71">
        <v>9</v>
      </c>
      <c r="N104" s="71">
        <v>8</v>
      </c>
      <c r="O104" s="71">
        <v>8</v>
      </c>
      <c r="P104" s="71">
        <v>5.6</v>
      </c>
      <c r="Q104" s="71">
        <v>3.1</v>
      </c>
      <c r="R104" s="71">
        <v>4.2</v>
      </c>
      <c r="S104" s="71">
        <v>5.2</v>
      </c>
      <c r="T104" s="71">
        <v>1.7</v>
      </c>
      <c r="U104" s="71">
        <v>4.5</v>
      </c>
      <c r="V104" s="71">
        <v>5.6</v>
      </c>
      <c r="W104" s="71">
        <v>9.3000000000000007</v>
      </c>
      <c r="X104" s="71">
        <v>12</v>
      </c>
      <c r="Y104" s="71">
        <v>12.7</v>
      </c>
      <c r="Z104" s="71">
        <v>10.5</v>
      </c>
      <c r="AA104" s="71">
        <v>8.9</v>
      </c>
      <c r="AB104" s="71">
        <v>4.5</v>
      </c>
      <c r="AC104" s="71">
        <v>4.0999999999999996</v>
      </c>
      <c r="AD104" s="71">
        <v>-2.5</v>
      </c>
      <c r="AE104" s="71">
        <v>11.7</v>
      </c>
      <c r="AF104" s="71">
        <v>14.9</v>
      </c>
      <c r="AG104" s="70">
        <v>60</v>
      </c>
      <c r="AH104" s="20">
        <f t="shared" si="9"/>
        <v>14.9</v>
      </c>
      <c r="AI104" s="19">
        <f t="shared" si="10"/>
        <v>-5.7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71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9">
        <v>120</v>
      </c>
      <c r="AH105" s="20">
        <f t="shared" si="9"/>
        <v>0</v>
      </c>
      <c r="AI105" s="19">
        <f t="shared" si="10"/>
        <v>0</v>
      </c>
    </row>
    <row r="106" spans="1:37" x14ac:dyDescent="0.25">
      <c r="A106" s="40" t="s">
        <v>134</v>
      </c>
      <c r="B106" s="68">
        <v>19.8</v>
      </c>
      <c r="C106" s="68">
        <v>13.6</v>
      </c>
      <c r="D106" s="68">
        <v>19.600000000000001</v>
      </c>
      <c r="E106" s="68">
        <v>20.9</v>
      </c>
      <c r="F106" s="68">
        <v>22</v>
      </c>
      <c r="G106" s="68">
        <v>22</v>
      </c>
      <c r="H106" s="68">
        <v>20</v>
      </c>
      <c r="I106" s="68">
        <v>9</v>
      </c>
      <c r="J106" s="68">
        <v>18</v>
      </c>
      <c r="K106" s="68">
        <v>24</v>
      </c>
      <c r="L106" s="68">
        <v>19</v>
      </c>
      <c r="M106" s="68">
        <v>13.6</v>
      </c>
      <c r="N106" s="68">
        <v>20</v>
      </c>
      <c r="O106" s="68">
        <v>13</v>
      </c>
      <c r="P106" s="68">
        <v>12</v>
      </c>
      <c r="Q106" s="68">
        <v>12.8</v>
      </c>
      <c r="R106" s="68">
        <v>14.5</v>
      </c>
      <c r="S106" s="68">
        <v>8</v>
      </c>
      <c r="T106" s="68">
        <v>10</v>
      </c>
      <c r="U106" s="68">
        <v>10</v>
      </c>
      <c r="V106" s="68">
        <v>-2.9</v>
      </c>
      <c r="W106" s="68">
        <v>15.1</v>
      </c>
      <c r="X106" s="68">
        <v>13</v>
      </c>
      <c r="Y106" s="68">
        <v>36.4</v>
      </c>
      <c r="Z106" s="68">
        <v>32</v>
      </c>
      <c r="AA106" s="68">
        <v>31.6</v>
      </c>
      <c r="AB106" s="68">
        <v>33.700000000000003</v>
      </c>
      <c r="AC106" s="68">
        <v>16.399999999999999</v>
      </c>
      <c r="AD106" s="68">
        <v>21</v>
      </c>
      <c r="AE106" s="68">
        <v>2.9</v>
      </c>
      <c r="AF106" s="68">
        <v>-2.8</v>
      </c>
      <c r="AG106" s="69"/>
      <c r="AH106" s="20">
        <f t="shared" si="9"/>
        <v>36.4</v>
      </c>
      <c r="AI106" s="19">
        <f t="shared" si="10"/>
        <v>-2.9</v>
      </c>
    </row>
    <row r="107" spans="1:37" x14ac:dyDescent="0.25">
      <c r="A107" s="40" t="s">
        <v>133</v>
      </c>
      <c r="B107" s="68">
        <v>78.7</v>
      </c>
      <c r="C107" s="68">
        <v>78.400000000000006</v>
      </c>
      <c r="D107" s="68">
        <v>69.5</v>
      </c>
      <c r="E107" s="68">
        <v>76</v>
      </c>
      <c r="F107" s="68">
        <v>79</v>
      </c>
      <c r="G107" s="68">
        <v>69</v>
      </c>
      <c r="H107" s="68">
        <v>42</v>
      </c>
      <c r="I107" s="68">
        <v>41</v>
      </c>
      <c r="J107" s="68">
        <v>42</v>
      </c>
      <c r="K107" s="68">
        <v>43</v>
      </c>
      <c r="L107" s="68">
        <v>40</v>
      </c>
      <c r="M107" s="68">
        <v>34.5</v>
      </c>
      <c r="N107" s="68">
        <v>44</v>
      </c>
      <c r="O107" s="68">
        <v>28</v>
      </c>
      <c r="P107" s="68">
        <v>36</v>
      </c>
      <c r="Q107" s="68">
        <v>37.6</v>
      </c>
      <c r="R107" s="68">
        <v>43.5</v>
      </c>
      <c r="S107" s="68">
        <v>33</v>
      </c>
      <c r="T107" s="68">
        <v>39</v>
      </c>
      <c r="U107" s="68">
        <v>33</v>
      </c>
      <c r="V107" s="68">
        <v>36.4</v>
      </c>
      <c r="W107" s="68">
        <v>37.700000000000003</v>
      </c>
      <c r="X107" s="68">
        <v>40</v>
      </c>
      <c r="Y107" s="68">
        <v>74</v>
      </c>
      <c r="Z107" s="68">
        <v>81.2</v>
      </c>
      <c r="AA107" s="68">
        <v>78.099999999999994</v>
      </c>
      <c r="AB107" s="68">
        <v>44.6</v>
      </c>
      <c r="AC107" s="68">
        <v>26.4</v>
      </c>
      <c r="AD107" s="68">
        <v>40</v>
      </c>
      <c r="AE107" s="68">
        <v>16.100000000000001</v>
      </c>
      <c r="AF107" s="68">
        <v>12</v>
      </c>
      <c r="AG107" s="48"/>
      <c r="AH107" s="20">
        <f t="shared" si="9"/>
        <v>81.2</v>
      </c>
      <c r="AI107" s="19">
        <f t="shared" si="10"/>
        <v>12</v>
      </c>
    </row>
    <row r="108" spans="1:37" x14ac:dyDescent="0.25">
      <c r="A108" s="67" t="s">
        <v>132</v>
      </c>
      <c r="B108" s="66">
        <v>114</v>
      </c>
      <c r="C108" s="66">
        <v>116</v>
      </c>
      <c r="D108" s="66">
        <v>121</v>
      </c>
      <c r="E108" s="66">
        <v>121.3</v>
      </c>
      <c r="F108" s="66">
        <v>113.2</v>
      </c>
      <c r="G108" s="66">
        <v>116</v>
      </c>
      <c r="H108" s="66">
        <v>118</v>
      </c>
      <c r="I108" s="66">
        <v>118</v>
      </c>
      <c r="J108" s="66">
        <v>124</v>
      </c>
      <c r="K108" s="66">
        <v>80</v>
      </c>
      <c r="L108" s="66">
        <v>114</v>
      </c>
      <c r="M108" s="66">
        <v>117</v>
      </c>
      <c r="N108" s="66">
        <v>124</v>
      </c>
      <c r="O108" s="66">
        <v>100</v>
      </c>
      <c r="P108" s="66">
        <v>100</v>
      </c>
      <c r="Q108" s="66">
        <v>1.1000000000000001</v>
      </c>
      <c r="R108" s="66">
        <v>115.8</v>
      </c>
      <c r="S108" s="66">
        <v>116</v>
      </c>
      <c r="T108" s="66">
        <v>105</v>
      </c>
      <c r="U108" s="66">
        <v>111</v>
      </c>
      <c r="V108" s="66">
        <v>109.7</v>
      </c>
      <c r="W108" s="66">
        <v>104.1</v>
      </c>
      <c r="X108" s="66">
        <v>94</v>
      </c>
      <c r="Y108" s="68">
        <v>5.5</v>
      </c>
      <c r="Z108" s="66">
        <v>99.1</v>
      </c>
      <c r="AA108" s="66">
        <v>97</v>
      </c>
      <c r="AB108" s="66">
        <v>100.3</v>
      </c>
      <c r="AC108" s="66">
        <v>95.6</v>
      </c>
      <c r="AD108" s="66">
        <v>105.3</v>
      </c>
      <c r="AE108" s="66">
        <v>107</v>
      </c>
      <c r="AF108" s="66">
        <v>115.8</v>
      </c>
      <c r="AG108" s="48"/>
      <c r="AH108" s="20">
        <f t="shared" si="9"/>
        <v>124</v>
      </c>
      <c r="AI108" s="19">
        <f t="shared" si="10"/>
        <v>1.1000000000000001</v>
      </c>
    </row>
    <row r="109" spans="1:37" ht="15.75" thickBot="1" x14ac:dyDescent="0.3">
      <c r="A109" s="67" t="s">
        <v>131</v>
      </c>
      <c r="B109" s="66">
        <v>64</v>
      </c>
      <c r="C109" s="66">
        <v>68.8</v>
      </c>
      <c r="D109" s="66">
        <v>64.3</v>
      </c>
      <c r="E109" s="66">
        <v>62</v>
      </c>
      <c r="F109" s="66">
        <v>57</v>
      </c>
      <c r="G109" s="66">
        <v>57</v>
      </c>
      <c r="H109" s="66">
        <v>57</v>
      </c>
      <c r="I109" s="66">
        <v>56</v>
      </c>
      <c r="J109" s="66">
        <v>48</v>
      </c>
      <c r="K109" s="66">
        <v>37</v>
      </c>
      <c r="L109" s="66">
        <v>40</v>
      </c>
      <c r="M109" s="66">
        <v>40</v>
      </c>
      <c r="N109" s="66">
        <v>37</v>
      </c>
      <c r="O109" s="66">
        <v>45</v>
      </c>
      <c r="P109" s="66">
        <v>47</v>
      </c>
      <c r="Q109" s="66">
        <v>55.4</v>
      </c>
      <c r="R109" s="66">
        <v>55</v>
      </c>
      <c r="S109" s="66">
        <v>57</v>
      </c>
      <c r="T109" s="66">
        <v>50</v>
      </c>
      <c r="U109" s="66">
        <v>49</v>
      </c>
      <c r="V109" s="66">
        <v>49.8</v>
      </c>
      <c r="W109" s="66">
        <v>31.1</v>
      </c>
      <c r="X109" s="66">
        <v>34</v>
      </c>
      <c r="Y109" s="66">
        <v>28</v>
      </c>
      <c r="Z109" s="66">
        <v>26.5</v>
      </c>
      <c r="AA109" s="66">
        <v>35.1</v>
      </c>
      <c r="AB109" s="66">
        <v>52.1</v>
      </c>
      <c r="AC109" s="66">
        <v>60.2</v>
      </c>
      <c r="AD109" s="66">
        <v>57.9</v>
      </c>
      <c r="AE109" s="66">
        <v>72.5</v>
      </c>
      <c r="AF109" s="66">
        <v>77.900000000000006</v>
      </c>
      <c r="AG109" s="48"/>
      <c r="AH109" s="20">
        <f t="shared" si="9"/>
        <v>77.900000000000006</v>
      </c>
      <c r="AI109" s="19">
        <f t="shared" si="10"/>
        <v>26.5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2">SUM(B111:B215)</f>
        <v>0</v>
      </c>
      <c r="C216" s="36">
        <f t="shared" si="22"/>
        <v>0</v>
      </c>
      <c r="D216" s="36">
        <f t="shared" si="22"/>
        <v>0</v>
      </c>
      <c r="E216" s="36">
        <f t="shared" si="22"/>
        <v>0</v>
      </c>
      <c r="F216" s="36">
        <f t="shared" si="22"/>
        <v>0</v>
      </c>
      <c r="G216" s="36">
        <f t="shared" si="22"/>
        <v>0</v>
      </c>
      <c r="H216" s="36">
        <f t="shared" si="22"/>
        <v>0</v>
      </c>
      <c r="I216" s="36">
        <f t="shared" si="22"/>
        <v>0</v>
      </c>
      <c r="J216" s="36">
        <f t="shared" si="22"/>
        <v>0</v>
      </c>
      <c r="K216" s="36">
        <f t="shared" si="22"/>
        <v>0</v>
      </c>
      <c r="L216" s="36">
        <f t="shared" si="22"/>
        <v>0</v>
      </c>
      <c r="M216" s="36">
        <f t="shared" si="22"/>
        <v>0</v>
      </c>
      <c r="N216" s="36">
        <f t="shared" si="22"/>
        <v>0</v>
      </c>
      <c r="O216" s="36">
        <f t="shared" si="22"/>
        <v>0</v>
      </c>
      <c r="P216" s="36">
        <f t="shared" si="22"/>
        <v>0</v>
      </c>
      <c r="Q216" s="36">
        <f t="shared" si="22"/>
        <v>0</v>
      </c>
      <c r="R216" s="36">
        <f t="shared" si="22"/>
        <v>0</v>
      </c>
      <c r="S216" s="36">
        <f t="shared" si="22"/>
        <v>0</v>
      </c>
      <c r="T216" s="36">
        <f t="shared" si="22"/>
        <v>0</v>
      </c>
      <c r="U216" s="36">
        <f t="shared" si="22"/>
        <v>0</v>
      </c>
      <c r="V216" s="36">
        <f t="shared" si="22"/>
        <v>0</v>
      </c>
      <c r="W216" s="36">
        <f t="shared" si="22"/>
        <v>0</v>
      </c>
      <c r="X216" s="36">
        <f t="shared" si="22"/>
        <v>0</v>
      </c>
      <c r="Y216" s="36">
        <f t="shared" si="22"/>
        <v>0</v>
      </c>
      <c r="Z216" s="36">
        <f t="shared" si="22"/>
        <v>0</v>
      </c>
      <c r="AA216" s="36">
        <f t="shared" si="22"/>
        <v>0</v>
      </c>
      <c r="AB216" s="36">
        <f t="shared" si="22"/>
        <v>0</v>
      </c>
      <c r="AC216" s="36">
        <f t="shared" si="22"/>
        <v>0</v>
      </c>
      <c r="AD216" s="36">
        <f t="shared" si="22"/>
        <v>0</v>
      </c>
      <c r="AE216" s="36">
        <f t="shared" si="22"/>
        <v>0</v>
      </c>
      <c r="AF216" s="51">
        <f t="shared" si="22"/>
        <v>0</v>
      </c>
      <c r="AG216" s="50">
        <f t="shared" si="22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3">AF218</f>
        <v>0</v>
      </c>
      <c r="C218" s="46">
        <v>0.3</v>
      </c>
      <c r="D218" s="46">
        <f t="shared" ref="D218:P223" si="24">C218</f>
        <v>0.3</v>
      </c>
      <c r="E218" s="46">
        <f t="shared" si="24"/>
        <v>0.3</v>
      </c>
      <c r="F218" s="46">
        <f t="shared" si="24"/>
        <v>0.3</v>
      </c>
      <c r="G218" s="46">
        <f t="shared" si="24"/>
        <v>0.3</v>
      </c>
      <c r="H218" s="46">
        <f t="shared" si="24"/>
        <v>0.3</v>
      </c>
      <c r="I218" s="46">
        <f t="shared" si="24"/>
        <v>0.3</v>
      </c>
      <c r="J218" s="46">
        <f t="shared" si="24"/>
        <v>0.3</v>
      </c>
      <c r="K218" s="46">
        <f t="shared" si="24"/>
        <v>0.3</v>
      </c>
      <c r="L218" s="46">
        <f t="shared" si="24"/>
        <v>0.3</v>
      </c>
      <c r="M218" s="46">
        <f t="shared" si="24"/>
        <v>0.3</v>
      </c>
      <c r="N218" s="46">
        <f t="shared" si="24"/>
        <v>0.3</v>
      </c>
      <c r="O218" s="46">
        <f t="shared" si="24"/>
        <v>0.3</v>
      </c>
      <c r="P218" s="46">
        <f t="shared" si="24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3"/>
        <v>0</v>
      </c>
      <c r="C219" s="43">
        <v>0.4</v>
      </c>
      <c r="D219" s="43">
        <f t="shared" si="24"/>
        <v>0.4</v>
      </c>
      <c r="E219" s="43">
        <f t="shared" si="24"/>
        <v>0.4</v>
      </c>
      <c r="F219" s="43">
        <f t="shared" si="24"/>
        <v>0.4</v>
      </c>
      <c r="G219" s="43">
        <f t="shared" si="24"/>
        <v>0.4</v>
      </c>
      <c r="H219" s="43">
        <f t="shared" si="24"/>
        <v>0.4</v>
      </c>
      <c r="I219" s="43">
        <f t="shared" si="24"/>
        <v>0.4</v>
      </c>
      <c r="J219" s="43">
        <f t="shared" si="24"/>
        <v>0.4</v>
      </c>
      <c r="K219" s="43">
        <f t="shared" si="24"/>
        <v>0.4</v>
      </c>
      <c r="L219" s="43">
        <f t="shared" si="24"/>
        <v>0.4</v>
      </c>
      <c r="M219" s="43">
        <f t="shared" si="24"/>
        <v>0.4</v>
      </c>
      <c r="N219" s="43">
        <f t="shared" si="24"/>
        <v>0.4</v>
      </c>
      <c r="O219" s="43">
        <f t="shared" si="24"/>
        <v>0.4</v>
      </c>
      <c r="P219" s="43">
        <f t="shared" si="24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3"/>
        <v>0</v>
      </c>
      <c r="C220" s="43">
        <v>1.5</v>
      </c>
      <c r="D220" s="43">
        <f t="shared" si="24"/>
        <v>1.5</v>
      </c>
      <c r="E220" s="43">
        <f t="shared" si="24"/>
        <v>1.5</v>
      </c>
      <c r="F220" s="43">
        <f t="shared" si="24"/>
        <v>1.5</v>
      </c>
      <c r="G220" s="43">
        <f t="shared" si="24"/>
        <v>1.5</v>
      </c>
      <c r="H220" s="43">
        <f t="shared" si="24"/>
        <v>1.5</v>
      </c>
      <c r="I220" s="43">
        <f t="shared" si="24"/>
        <v>1.5</v>
      </c>
      <c r="J220" s="43">
        <f t="shared" si="24"/>
        <v>1.5</v>
      </c>
      <c r="K220" s="43">
        <f t="shared" si="24"/>
        <v>1.5</v>
      </c>
      <c r="L220" s="43">
        <f t="shared" si="24"/>
        <v>1.5</v>
      </c>
      <c r="M220" s="43">
        <f t="shared" si="24"/>
        <v>1.5</v>
      </c>
      <c r="N220" s="43">
        <f t="shared" si="24"/>
        <v>1.5</v>
      </c>
      <c r="O220" s="43">
        <f t="shared" si="24"/>
        <v>1.5</v>
      </c>
      <c r="P220" s="43">
        <f t="shared" si="24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3"/>
        <v>0</v>
      </c>
      <c r="C221" s="43">
        <v>0.3</v>
      </c>
      <c r="D221" s="43">
        <f t="shared" si="24"/>
        <v>0.3</v>
      </c>
      <c r="E221" s="43">
        <f t="shared" si="24"/>
        <v>0.3</v>
      </c>
      <c r="F221" s="43">
        <f t="shared" si="24"/>
        <v>0.3</v>
      </c>
      <c r="G221" s="43">
        <f t="shared" si="24"/>
        <v>0.3</v>
      </c>
      <c r="H221" s="43">
        <f t="shared" si="24"/>
        <v>0.3</v>
      </c>
      <c r="I221" s="43">
        <f t="shared" si="24"/>
        <v>0.3</v>
      </c>
      <c r="J221" s="43">
        <f t="shared" si="24"/>
        <v>0.3</v>
      </c>
      <c r="K221" s="43">
        <f t="shared" si="24"/>
        <v>0.3</v>
      </c>
      <c r="L221" s="43">
        <f t="shared" si="24"/>
        <v>0.3</v>
      </c>
      <c r="M221" s="43">
        <f t="shared" si="24"/>
        <v>0.3</v>
      </c>
      <c r="N221" s="43">
        <f t="shared" si="24"/>
        <v>0.3</v>
      </c>
      <c r="O221" s="43">
        <f t="shared" si="24"/>
        <v>0.3</v>
      </c>
      <c r="P221" s="43">
        <f t="shared" si="24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3"/>
        <v>0</v>
      </c>
      <c r="C222" s="43">
        <v>0.4</v>
      </c>
      <c r="D222" s="43">
        <f t="shared" si="24"/>
        <v>0.4</v>
      </c>
      <c r="E222" s="43">
        <f t="shared" si="24"/>
        <v>0.4</v>
      </c>
      <c r="F222" s="43">
        <f t="shared" si="24"/>
        <v>0.4</v>
      </c>
      <c r="G222" s="43">
        <f t="shared" si="24"/>
        <v>0.4</v>
      </c>
      <c r="H222" s="43">
        <f t="shared" si="24"/>
        <v>0.4</v>
      </c>
      <c r="I222" s="43">
        <f t="shared" si="24"/>
        <v>0.4</v>
      </c>
      <c r="J222" s="43">
        <f t="shared" si="24"/>
        <v>0.4</v>
      </c>
      <c r="K222" s="43">
        <f t="shared" si="24"/>
        <v>0.4</v>
      </c>
      <c r="L222" s="43">
        <f t="shared" si="24"/>
        <v>0.4</v>
      </c>
      <c r="M222" s="43">
        <f t="shared" si="24"/>
        <v>0.4</v>
      </c>
      <c r="N222" s="43">
        <f t="shared" si="24"/>
        <v>0.4</v>
      </c>
      <c r="O222" s="43">
        <f t="shared" si="24"/>
        <v>0.4</v>
      </c>
      <c r="P222" s="43">
        <f t="shared" si="24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3"/>
        <v>0</v>
      </c>
      <c r="C223" s="39">
        <v>0.64</v>
      </c>
      <c r="D223" s="39">
        <f t="shared" si="24"/>
        <v>0.64</v>
      </c>
      <c r="E223" s="39">
        <f t="shared" si="24"/>
        <v>0.64</v>
      </c>
      <c r="F223" s="39">
        <f t="shared" si="24"/>
        <v>0.64</v>
      </c>
      <c r="G223" s="39">
        <f t="shared" si="24"/>
        <v>0.64</v>
      </c>
      <c r="H223" s="39">
        <f t="shared" si="24"/>
        <v>0.64</v>
      </c>
      <c r="I223" s="39">
        <f t="shared" si="24"/>
        <v>0.64</v>
      </c>
      <c r="J223" s="39">
        <f t="shared" si="24"/>
        <v>0.64</v>
      </c>
      <c r="K223" s="39">
        <f t="shared" si="24"/>
        <v>0.64</v>
      </c>
      <c r="L223" s="39">
        <f t="shared" si="24"/>
        <v>0.64</v>
      </c>
      <c r="M223" s="39">
        <f t="shared" si="24"/>
        <v>0.64</v>
      </c>
      <c r="N223" s="39">
        <f t="shared" si="24"/>
        <v>0.64</v>
      </c>
      <c r="O223" s="39">
        <f t="shared" si="24"/>
        <v>0.64</v>
      </c>
      <c r="P223" s="39">
        <f t="shared" si="24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5">SUM(B218:B223)</f>
        <v>0</v>
      </c>
      <c r="C224" s="36">
        <f t="shared" si="25"/>
        <v>3.54</v>
      </c>
      <c r="D224" s="36">
        <f t="shared" si="25"/>
        <v>3.54</v>
      </c>
      <c r="E224" s="36">
        <f t="shared" si="25"/>
        <v>3.54</v>
      </c>
      <c r="F224" s="36">
        <f t="shared" si="25"/>
        <v>3.54</v>
      </c>
      <c r="G224" s="36">
        <f t="shared" si="25"/>
        <v>3.54</v>
      </c>
      <c r="H224" s="36">
        <f t="shared" si="25"/>
        <v>3.54</v>
      </c>
      <c r="I224" s="36">
        <f t="shared" si="25"/>
        <v>3.54</v>
      </c>
      <c r="J224" s="36">
        <f t="shared" si="25"/>
        <v>3.54</v>
      </c>
      <c r="K224" s="36">
        <f t="shared" si="25"/>
        <v>3.54</v>
      </c>
      <c r="L224" s="36">
        <f t="shared" si="25"/>
        <v>3.54</v>
      </c>
      <c r="M224" s="36">
        <f t="shared" si="25"/>
        <v>3.54</v>
      </c>
      <c r="N224" s="36">
        <f t="shared" si="25"/>
        <v>3.54</v>
      </c>
      <c r="O224" s="36">
        <f t="shared" si="25"/>
        <v>3.54</v>
      </c>
      <c r="P224" s="36">
        <f t="shared" si="25"/>
        <v>3.54</v>
      </c>
      <c r="Q224" s="36">
        <f t="shared" si="25"/>
        <v>0</v>
      </c>
      <c r="R224" s="36">
        <f t="shared" si="25"/>
        <v>0</v>
      </c>
      <c r="S224" s="36">
        <f t="shared" si="25"/>
        <v>0</v>
      </c>
      <c r="T224" s="36">
        <f t="shared" si="25"/>
        <v>0</v>
      </c>
      <c r="U224" s="36">
        <f t="shared" si="25"/>
        <v>0</v>
      </c>
      <c r="V224" s="36">
        <f t="shared" si="25"/>
        <v>0</v>
      </c>
      <c r="W224" s="36">
        <f t="shared" si="25"/>
        <v>0</v>
      </c>
      <c r="X224" s="36">
        <f t="shared" si="25"/>
        <v>0</v>
      </c>
      <c r="Y224" s="36">
        <f t="shared" si="25"/>
        <v>0</v>
      </c>
      <c r="Z224" s="36">
        <f t="shared" si="25"/>
        <v>0</v>
      </c>
      <c r="AA224" s="36">
        <f t="shared" si="25"/>
        <v>0</v>
      </c>
      <c r="AB224" s="36">
        <f t="shared" si="25"/>
        <v>0</v>
      </c>
      <c r="AC224" s="36">
        <f t="shared" si="25"/>
        <v>0</v>
      </c>
      <c r="AD224" s="36">
        <f t="shared" si="25"/>
        <v>0</v>
      </c>
      <c r="AE224" s="36">
        <f t="shared" si="25"/>
        <v>0</v>
      </c>
      <c r="AF224" s="36">
        <f t="shared" si="25"/>
        <v>0</v>
      </c>
      <c r="AG224" s="35">
        <f t="shared" si="25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1541.14</v>
      </c>
      <c r="C233" s="16">
        <f>INDEX(G9:N9,1,MATCH(MAX(G81:N81),G81:N81,0))</f>
        <v>0.22916666666666666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17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2079/06/17)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2079/06/17)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6">B81</f>
        <v>1604.8400000000001</v>
      </c>
      <c r="U238" s="9">
        <f t="shared" si="26"/>
        <v>1607.2400000000002</v>
      </c>
      <c r="V238" s="9">
        <f t="shared" si="26"/>
        <v>1579.8400000000001</v>
      </c>
      <c r="W238" s="9">
        <f t="shared" si="26"/>
        <v>1576.8400000000001</v>
      </c>
      <c r="X238" s="9">
        <f t="shared" si="26"/>
        <v>1515.54</v>
      </c>
      <c r="Y238" s="9">
        <f t="shared" si="26"/>
        <v>1515.04</v>
      </c>
      <c r="Z238" s="9">
        <f t="shared" si="26"/>
        <v>1541.14</v>
      </c>
      <c r="AA238" s="9">
        <f t="shared" si="26"/>
        <v>1506.1399999999999</v>
      </c>
      <c r="AB238" s="9">
        <f t="shared" si="26"/>
        <v>1506.1399999999999</v>
      </c>
      <c r="AC238" s="9">
        <f t="shared" si="26"/>
        <v>1505.54</v>
      </c>
      <c r="AD238" s="9">
        <f t="shared" si="26"/>
        <v>1504.84</v>
      </c>
      <c r="AE238" s="9">
        <f t="shared" si="26"/>
        <v>1504.84</v>
      </c>
      <c r="AF238" s="9">
        <f t="shared" si="26"/>
        <v>1504.84</v>
      </c>
      <c r="AG238" s="9">
        <f t="shared" si="26"/>
        <v>1473.84</v>
      </c>
      <c r="AH238" s="9">
        <f t="shared" si="26"/>
        <v>1473.84</v>
      </c>
      <c r="AI238" s="9">
        <f t="shared" si="26"/>
        <v>1576.84</v>
      </c>
      <c r="AJ238" s="9">
        <f t="shared" si="26"/>
        <v>1479.54</v>
      </c>
      <c r="AK238" s="9">
        <f t="shared" si="26"/>
        <v>1485.2399999999998</v>
      </c>
      <c r="AL238" s="9">
        <f t="shared" si="26"/>
        <v>1484.6399999999999</v>
      </c>
      <c r="AM238" s="9">
        <f t="shared" si="26"/>
        <v>1433.74</v>
      </c>
      <c r="AN238" s="9">
        <f t="shared" si="26"/>
        <v>1425.34</v>
      </c>
      <c r="AO238" s="9">
        <f t="shared" si="26"/>
        <v>1425.34</v>
      </c>
      <c r="AP238" s="9">
        <f t="shared" si="26"/>
        <v>1493.84</v>
      </c>
      <c r="AQ238" s="9">
        <f t="shared" si="26"/>
        <v>1652.84</v>
      </c>
      <c r="AR238" s="9">
        <f t="shared" si="26"/>
        <v>1704.84</v>
      </c>
      <c r="AS238" s="9">
        <f t="shared" si="26"/>
        <v>1693.34</v>
      </c>
      <c r="AT238" s="9">
        <f t="shared" si="26"/>
        <v>1693.74</v>
      </c>
      <c r="AU238" s="9">
        <f t="shared" si="26"/>
        <v>1627.44</v>
      </c>
      <c r="AV238" s="9">
        <f t="shared" si="26"/>
        <v>1610.8400000000001</v>
      </c>
      <c r="AW238" s="9">
        <f t="shared" si="26"/>
        <v>1571.2400000000002</v>
      </c>
      <c r="AX238" s="9">
        <f t="shared" si="26"/>
        <v>1508.44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7">C223</f>
        <v>0.64</v>
      </c>
      <c r="C259" s="4">
        <f t="shared" si="27"/>
        <v>0.64</v>
      </c>
      <c r="D259" s="4">
        <f t="shared" si="27"/>
        <v>0.64</v>
      </c>
      <c r="E259" s="4">
        <f t="shared" si="27"/>
        <v>0.64</v>
      </c>
      <c r="F259" s="4">
        <f t="shared" si="27"/>
        <v>0.64</v>
      </c>
      <c r="G259" s="4">
        <f t="shared" si="27"/>
        <v>0.64</v>
      </c>
      <c r="H259" s="4">
        <f t="shared" si="27"/>
        <v>0.64</v>
      </c>
      <c r="I259" s="4">
        <f t="shared" si="27"/>
        <v>0.64</v>
      </c>
      <c r="J259" s="4">
        <f t="shared" si="27"/>
        <v>0.64</v>
      </c>
      <c r="K259" s="4">
        <f t="shared" si="27"/>
        <v>0.64</v>
      </c>
      <c r="L259" s="4">
        <f t="shared" si="27"/>
        <v>0.64</v>
      </c>
      <c r="M259" s="4">
        <f t="shared" si="27"/>
        <v>0.64</v>
      </c>
      <c r="N259" s="4">
        <f t="shared" si="27"/>
        <v>0.64</v>
      </c>
      <c r="O259" s="4">
        <f t="shared" si="27"/>
        <v>0.64</v>
      </c>
      <c r="P259" s="4">
        <f t="shared" si="27"/>
        <v>0</v>
      </c>
      <c r="Q259" s="4">
        <f t="shared" si="27"/>
        <v>0</v>
      </c>
      <c r="R259" s="4">
        <f t="shared" si="27"/>
        <v>0</v>
      </c>
      <c r="S259" s="4">
        <f t="shared" si="27"/>
        <v>0</v>
      </c>
      <c r="T259" s="4">
        <f t="shared" si="27"/>
        <v>0</v>
      </c>
      <c r="U259" s="4">
        <f t="shared" si="27"/>
        <v>0</v>
      </c>
      <c r="V259" s="4">
        <f t="shared" si="27"/>
        <v>0</v>
      </c>
      <c r="W259" s="4">
        <f t="shared" si="27"/>
        <v>0</v>
      </c>
      <c r="X259" s="4">
        <f t="shared" si="27"/>
        <v>0</v>
      </c>
      <c r="Y259" s="4">
        <f t="shared" si="27"/>
        <v>0</v>
      </c>
      <c r="Z259" s="4">
        <f t="shared" si="27"/>
        <v>0</v>
      </c>
      <c r="AA259" s="4">
        <f t="shared" si="27"/>
        <v>0</v>
      </c>
      <c r="AB259" s="4">
        <f t="shared" si="27"/>
        <v>0</v>
      </c>
      <c r="AC259" s="4">
        <f t="shared" si="27"/>
        <v>0</v>
      </c>
      <c r="AD259" s="4">
        <f t="shared" si="27"/>
        <v>0</v>
      </c>
      <c r="AE259" s="4">
        <f t="shared" si="27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28">IF(B227&lt;100,"",B227-520)</f>
        <v/>
      </c>
      <c r="C260" s="3" t="str">
        <f t="shared" si="28"/>
        <v/>
      </c>
      <c r="D260" s="3" t="str">
        <f t="shared" si="28"/>
        <v/>
      </c>
      <c r="E260" s="3" t="str">
        <f t="shared" si="28"/>
        <v/>
      </c>
      <c r="F260" s="3" t="str">
        <f t="shared" si="28"/>
        <v/>
      </c>
      <c r="G260" s="3" t="str">
        <f t="shared" si="28"/>
        <v/>
      </c>
      <c r="H260" s="3" t="str">
        <f t="shared" si="28"/>
        <v/>
      </c>
      <c r="I260" s="3" t="str">
        <f t="shared" si="28"/>
        <v/>
      </c>
      <c r="J260" s="3" t="str">
        <f t="shared" si="28"/>
        <v/>
      </c>
      <c r="K260" s="3" t="str">
        <f t="shared" si="28"/>
        <v/>
      </c>
      <c r="L260" s="3" t="str">
        <f t="shared" si="28"/>
        <v/>
      </c>
      <c r="M260" s="3" t="str">
        <f t="shared" si="28"/>
        <v/>
      </c>
      <c r="N260" s="3" t="str">
        <f t="shared" si="28"/>
        <v/>
      </c>
      <c r="O260" s="3" t="str">
        <f t="shared" si="28"/>
        <v/>
      </c>
      <c r="P260" s="3" t="str">
        <f t="shared" si="28"/>
        <v/>
      </c>
      <c r="Q260" s="3" t="str">
        <f t="shared" si="28"/>
        <v/>
      </c>
      <c r="R260" s="3" t="str">
        <f t="shared" si="28"/>
        <v/>
      </c>
      <c r="S260" s="3" t="str">
        <f t="shared" si="28"/>
        <v/>
      </c>
      <c r="T260" s="3" t="str">
        <f t="shared" si="28"/>
        <v/>
      </c>
      <c r="U260" s="3" t="str">
        <f t="shared" si="28"/>
        <v/>
      </c>
      <c r="V260" s="3" t="str">
        <f t="shared" si="28"/>
        <v/>
      </c>
      <c r="W260" s="3" t="str">
        <f t="shared" si="28"/>
        <v/>
      </c>
      <c r="X260" s="3" t="str">
        <f t="shared" si="28"/>
        <v/>
      </c>
      <c r="Y260" s="3" t="str">
        <f t="shared" si="28"/>
        <v/>
      </c>
      <c r="Z260" s="3" t="str">
        <f t="shared" si="28"/>
        <v/>
      </c>
      <c r="AA260" s="3" t="str">
        <f t="shared" si="28"/>
        <v/>
      </c>
      <c r="AB260" s="3" t="str">
        <f t="shared" si="28"/>
        <v/>
      </c>
      <c r="AC260" s="3" t="str">
        <f t="shared" si="28"/>
        <v/>
      </c>
      <c r="AD260" s="3" t="str">
        <f t="shared" si="28"/>
        <v/>
      </c>
      <c r="AE260" s="3" t="str">
        <f t="shared" si="28"/>
        <v/>
      </c>
      <c r="AF260" s="3" t="str">
        <f t="shared" si="28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29">IF(B228&lt;100,"",B228-620)</f>
        <v/>
      </c>
      <c r="C261" s="3" t="str">
        <f t="shared" si="29"/>
        <v/>
      </c>
      <c r="D261" s="3" t="str">
        <f t="shared" si="29"/>
        <v/>
      </c>
      <c r="E261" s="3" t="str">
        <f t="shared" si="29"/>
        <v/>
      </c>
      <c r="F261" s="3" t="str">
        <f t="shared" si="29"/>
        <v/>
      </c>
      <c r="G261" s="3" t="str">
        <f t="shared" si="29"/>
        <v/>
      </c>
      <c r="H261" s="3" t="str">
        <f t="shared" si="29"/>
        <v/>
      </c>
      <c r="I261" s="3" t="str">
        <f t="shared" si="29"/>
        <v/>
      </c>
      <c r="J261" s="3" t="str">
        <f t="shared" si="29"/>
        <v/>
      </c>
      <c r="K261" s="3" t="str">
        <f t="shared" si="29"/>
        <v/>
      </c>
      <c r="L261" s="3" t="str">
        <f t="shared" si="29"/>
        <v/>
      </c>
      <c r="M261" s="3" t="str">
        <f t="shared" si="29"/>
        <v/>
      </c>
      <c r="N261" s="3" t="str">
        <f t="shared" si="29"/>
        <v/>
      </c>
      <c r="O261" s="3" t="str">
        <f t="shared" si="29"/>
        <v/>
      </c>
      <c r="P261" s="3" t="str">
        <f t="shared" si="29"/>
        <v/>
      </c>
      <c r="Q261" s="3" t="str">
        <f t="shared" si="29"/>
        <v/>
      </c>
      <c r="R261" s="3" t="str">
        <f t="shared" si="29"/>
        <v/>
      </c>
      <c r="S261" s="3" t="str">
        <f t="shared" si="29"/>
        <v/>
      </c>
      <c r="T261" s="3" t="str">
        <f t="shared" si="29"/>
        <v/>
      </c>
      <c r="U261" s="3" t="str">
        <f t="shared" si="29"/>
        <v/>
      </c>
      <c r="V261" s="3" t="str">
        <f t="shared" si="29"/>
        <v/>
      </c>
      <c r="W261" s="3" t="str">
        <f t="shared" si="29"/>
        <v/>
      </c>
      <c r="X261" s="3" t="str">
        <f t="shared" si="29"/>
        <v/>
      </c>
      <c r="Y261" s="3" t="str">
        <f t="shared" si="29"/>
        <v/>
      </c>
      <c r="Z261" s="3" t="str">
        <f t="shared" si="29"/>
        <v/>
      </c>
      <c r="AA261" s="3" t="str">
        <f t="shared" si="29"/>
        <v/>
      </c>
      <c r="AB261" s="3" t="str">
        <f t="shared" si="29"/>
        <v/>
      </c>
      <c r="AC261" s="3" t="str">
        <f t="shared" si="29"/>
        <v/>
      </c>
      <c r="AD261" s="3" t="str">
        <f t="shared" si="29"/>
        <v/>
      </c>
      <c r="AE261" s="3" t="str">
        <f t="shared" si="29"/>
        <v/>
      </c>
      <c r="AF261" s="3" t="str">
        <f t="shared" si="29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0">IF(B229&lt;100,"",B229-330)</f>
        <v/>
      </c>
      <c r="C262" s="3" t="str">
        <f t="shared" si="30"/>
        <v/>
      </c>
      <c r="D262" s="3" t="str">
        <f t="shared" si="30"/>
        <v/>
      </c>
      <c r="E262" s="3" t="str">
        <f t="shared" si="30"/>
        <v/>
      </c>
      <c r="F262" s="3" t="str">
        <f t="shared" si="30"/>
        <v/>
      </c>
      <c r="G262" s="3" t="str">
        <f t="shared" si="30"/>
        <v/>
      </c>
      <c r="H262" s="3" t="str">
        <f t="shared" si="30"/>
        <v/>
      </c>
      <c r="I262" s="3" t="str">
        <f t="shared" si="30"/>
        <v/>
      </c>
      <c r="J262" s="3" t="str">
        <f t="shared" si="30"/>
        <v/>
      </c>
      <c r="K262" s="3" t="str">
        <f t="shared" si="30"/>
        <v/>
      </c>
      <c r="L262" s="3" t="str">
        <f t="shared" si="30"/>
        <v/>
      </c>
      <c r="M262" s="3" t="str">
        <f t="shared" si="30"/>
        <v/>
      </c>
      <c r="N262" s="3" t="str">
        <f t="shared" si="30"/>
        <v/>
      </c>
      <c r="O262" s="3" t="str">
        <f t="shared" si="30"/>
        <v/>
      </c>
      <c r="P262" s="3" t="str">
        <f t="shared" si="30"/>
        <v/>
      </c>
      <c r="Q262" s="3" t="str">
        <f t="shared" si="30"/>
        <v/>
      </c>
      <c r="R262" s="3" t="str">
        <f t="shared" si="30"/>
        <v/>
      </c>
      <c r="S262" s="3" t="str">
        <f t="shared" si="30"/>
        <v/>
      </c>
      <c r="T262" s="3" t="str">
        <f t="shared" si="30"/>
        <v/>
      </c>
      <c r="U262" s="3" t="str">
        <f t="shared" si="30"/>
        <v/>
      </c>
      <c r="V262" s="3" t="str">
        <f t="shared" si="30"/>
        <v/>
      </c>
      <c r="W262" s="3" t="str">
        <f t="shared" si="30"/>
        <v/>
      </c>
      <c r="X262" s="3" t="str">
        <f t="shared" si="30"/>
        <v/>
      </c>
      <c r="Y262" s="3" t="str">
        <f t="shared" si="30"/>
        <v/>
      </c>
      <c r="Z262" s="3" t="str">
        <f t="shared" si="30"/>
        <v/>
      </c>
      <c r="AA262" s="3" t="str">
        <f t="shared" si="30"/>
        <v/>
      </c>
      <c r="AB262" s="3" t="str">
        <f t="shared" si="30"/>
        <v/>
      </c>
      <c r="AC262" s="3" t="str">
        <f t="shared" si="30"/>
        <v/>
      </c>
      <c r="AD262" s="3" t="str">
        <f t="shared" si="30"/>
        <v/>
      </c>
      <c r="AE262" s="3" t="str">
        <f t="shared" si="30"/>
        <v/>
      </c>
      <c r="AF262" s="3" t="str">
        <f t="shared" si="30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1">IF(B230&lt;100,"",B230-1500)</f>
        <v/>
      </c>
      <c r="C263" s="3" t="str">
        <f t="shared" si="31"/>
        <v/>
      </c>
      <c r="D263" s="3" t="str">
        <f t="shared" si="31"/>
        <v/>
      </c>
      <c r="E263" s="3" t="str">
        <f t="shared" si="31"/>
        <v/>
      </c>
      <c r="F263" s="3" t="str">
        <f t="shared" si="31"/>
        <v/>
      </c>
      <c r="G263" s="3" t="str">
        <f t="shared" si="31"/>
        <v/>
      </c>
      <c r="H263" s="3" t="str">
        <f t="shared" si="31"/>
        <v/>
      </c>
      <c r="I263" s="3" t="str">
        <f t="shared" si="31"/>
        <v/>
      </c>
      <c r="J263" s="3" t="str">
        <f t="shared" si="31"/>
        <v/>
      </c>
      <c r="K263" s="3" t="str">
        <f t="shared" si="31"/>
        <v/>
      </c>
      <c r="L263" s="3" t="str">
        <f t="shared" si="31"/>
        <v/>
      </c>
      <c r="M263" s="3" t="str">
        <f t="shared" si="31"/>
        <v/>
      </c>
      <c r="N263" s="3" t="str">
        <f t="shared" si="31"/>
        <v/>
      </c>
      <c r="O263" s="3" t="str">
        <f t="shared" si="31"/>
        <v/>
      </c>
      <c r="P263" s="3" t="str">
        <f t="shared" si="31"/>
        <v/>
      </c>
      <c r="Q263" s="3" t="str">
        <f t="shared" si="31"/>
        <v/>
      </c>
      <c r="R263" s="3" t="str">
        <f t="shared" si="31"/>
        <v/>
      </c>
      <c r="S263" s="3" t="str">
        <f t="shared" si="31"/>
        <v/>
      </c>
      <c r="T263" s="3" t="str">
        <f t="shared" si="31"/>
        <v/>
      </c>
      <c r="U263" s="3" t="str">
        <f t="shared" si="31"/>
        <v/>
      </c>
      <c r="V263" s="3" t="str">
        <f t="shared" si="31"/>
        <v/>
      </c>
      <c r="W263" s="3" t="str">
        <f t="shared" si="31"/>
        <v/>
      </c>
      <c r="X263" s="3" t="str">
        <f t="shared" si="31"/>
        <v/>
      </c>
      <c r="Y263" s="3" t="str">
        <f t="shared" si="31"/>
        <v/>
      </c>
      <c r="Z263" s="3" t="str">
        <f t="shared" si="31"/>
        <v/>
      </c>
      <c r="AA263" s="3" t="str">
        <f t="shared" si="31"/>
        <v/>
      </c>
      <c r="AB263" s="3" t="str">
        <f t="shared" si="31"/>
        <v/>
      </c>
      <c r="AC263" s="3" t="str">
        <f t="shared" si="31"/>
        <v/>
      </c>
      <c r="AD263" s="3" t="str">
        <f t="shared" si="31"/>
        <v/>
      </c>
      <c r="AE263" s="3" t="str">
        <f t="shared" si="31"/>
        <v/>
      </c>
      <c r="AF263" s="3" t="str">
        <f t="shared" si="31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7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Y11:AF11 B16:AF16 B20:AF23">
    <cfRule type="expression" dxfId="5332" priority="243">
      <formula>B$9&gt;=20/24</formula>
    </cfRule>
    <cfRule type="expression" dxfId="5331" priority="244">
      <formula>AND(B$9&gt;=14/24,B$9&lt;20/24)</formula>
    </cfRule>
    <cfRule type="expression" dxfId="5330" priority="245">
      <formula>AND(B$9&gt;=8/24,B$9&lt;14/24)</formula>
    </cfRule>
    <cfRule type="expression" dxfId="5329" priority="246">
      <formula>B$9&lt;8/24</formula>
    </cfRule>
  </conditionalFormatting>
  <conditionalFormatting sqref="AL4:AL6">
    <cfRule type="iconSet" priority="242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5328" priority="238">
      <formula>S$9&gt;=20/24</formula>
    </cfRule>
    <cfRule type="expression" dxfId="5327" priority="239">
      <formula>AND(S$9&gt;=14/24,S$9&lt;20/24)</formula>
    </cfRule>
    <cfRule type="expression" dxfId="5326" priority="240">
      <formula>AND(S$9&gt;=8/24,S$9&lt;14/24)</formula>
    </cfRule>
    <cfRule type="expression" dxfId="5325" priority="241">
      <formula>S$9&lt;8/24</formula>
    </cfRule>
  </conditionalFormatting>
  <conditionalFormatting sqref="AG57 B12:X16 Y11:AF16 S39:AF39 B37:AF37 B18:AF18 B20:AF23">
    <cfRule type="expression" dxfId="5324" priority="237">
      <formula>B11&gt;$AG11</formula>
    </cfRule>
  </conditionalFormatting>
  <conditionalFormatting sqref="A91:A101 A11:A14 A51:A78 A87:A89 A194:A224 A38:A49 A110:A181 A34:A35 A83:A85 A80:A81 A103:A105 A31:A32 A18:A29 A16">
    <cfRule type="expression" dxfId="5323" priority="236">
      <formula>$AH11=0</formula>
    </cfRule>
  </conditionalFormatting>
  <conditionalFormatting sqref="A106">
    <cfRule type="expression" dxfId="5322" priority="235">
      <formula>$AH106=0</formula>
    </cfRule>
  </conditionalFormatting>
  <conditionalFormatting sqref="AL35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321" priority="233">
      <formula>$AH37=0</formula>
    </cfRule>
  </conditionalFormatting>
  <conditionalFormatting sqref="A90">
    <cfRule type="expression" dxfId="5320" priority="232">
      <formula>$AH90=0</formula>
    </cfRule>
  </conditionalFormatting>
  <conditionalFormatting sqref="A15">
    <cfRule type="expression" dxfId="5319" priority="231">
      <formula>$AH15=0</formula>
    </cfRule>
  </conditionalFormatting>
  <conditionalFormatting sqref="A188:A193">
    <cfRule type="expression" dxfId="5318" priority="230">
      <formula>$AH188=0</formula>
    </cfRule>
  </conditionalFormatting>
  <conditionalFormatting sqref="A182:A187">
    <cfRule type="expression" dxfId="5317" priority="229">
      <formula>$AH182=0</formula>
    </cfRule>
  </conditionalFormatting>
  <conditionalFormatting sqref="A50">
    <cfRule type="expression" dxfId="5316" priority="228">
      <formula>$AH50=0</formula>
    </cfRule>
  </conditionalFormatting>
  <conditionalFormatting sqref="A86">
    <cfRule type="expression" dxfId="5315" priority="227">
      <formula>$AH86=0</formula>
    </cfRule>
  </conditionalFormatting>
  <conditionalFormatting sqref="C91:AF91">
    <cfRule type="expression" dxfId="5314" priority="223">
      <formula>C$9&gt;=20/24</formula>
    </cfRule>
    <cfRule type="expression" dxfId="5313" priority="224">
      <formula>AND(C$9&gt;=14/24,C$9&lt;20/24)</formula>
    </cfRule>
    <cfRule type="expression" dxfId="5312" priority="225">
      <formula>AND(C$9&gt;=8/24,C$9&lt;14/24)</formula>
    </cfRule>
    <cfRule type="expression" dxfId="5311" priority="226">
      <formula>C$9&lt;8/24</formula>
    </cfRule>
  </conditionalFormatting>
  <conditionalFormatting sqref="AL36">
    <cfRule type="iconSet" priority="222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310" priority="249">
      <formula>C$9&gt;=20/24</formula>
    </cfRule>
    <cfRule type="expression" dxfId="5309" priority="250">
      <formula>AND(C$9&gt;=14/24,C$9&lt;20/24)</formula>
    </cfRule>
    <cfRule type="expression" dxfId="5308" priority="251">
      <formula>AND(C$9&gt;=8/24,C$9&lt;14/24)</formula>
    </cfRule>
    <cfRule type="expression" dxfId="5307" priority="252">
      <formula>C$9&lt;8/24</formula>
    </cfRule>
  </conditionalFormatting>
  <conditionalFormatting sqref="A225">
    <cfRule type="expression" dxfId="5306" priority="253">
      <formula>$AH225=0</formula>
    </cfRule>
  </conditionalFormatting>
  <conditionalFormatting sqref="AG237">
    <cfRule type="expression" dxfId="5305" priority="254">
      <formula>B$9&gt;=20/24</formula>
    </cfRule>
    <cfRule type="expression" dxfId="5304" priority="255">
      <formula>AND(B$9&gt;=14/24,B$9&lt;20/24)</formula>
    </cfRule>
    <cfRule type="expression" dxfId="5303" priority="256">
      <formula>AND(B$9&gt;=8/24,B$9&lt;14/24)</formula>
    </cfRule>
    <cfRule type="expression" dxfId="5302" priority="257">
      <formula>B$9&lt;8/24</formula>
    </cfRule>
  </conditionalFormatting>
  <conditionalFormatting sqref="S8">
    <cfRule type="expression" dxfId="5301" priority="218">
      <formula>U$9&gt;=20/24</formula>
    </cfRule>
    <cfRule type="expression" dxfId="5300" priority="219">
      <formula>AND(U$9&gt;=14/24,U$9&lt;20/24)</formula>
    </cfRule>
    <cfRule type="expression" dxfId="5299" priority="220">
      <formula>AND(U$9&gt;=8/24,U$9&lt;14/24)</formula>
    </cfRule>
    <cfRule type="expression" dxfId="5298" priority="221">
      <formula>U$9&lt;8/24</formula>
    </cfRule>
  </conditionalFormatting>
  <conditionalFormatting sqref="AB8">
    <cfRule type="expression" dxfId="5297" priority="214">
      <formula>AD$9&gt;=20/24</formula>
    </cfRule>
    <cfRule type="expression" dxfId="5296" priority="215">
      <formula>AND(AD$9&gt;=14/24,AD$9&lt;20/24)</formula>
    </cfRule>
    <cfRule type="expression" dxfId="5295" priority="216">
      <formula>AND(AD$9&gt;=8/24,AD$9&lt;14/24)</formula>
    </cfRule>
    <cfRule type="expression" dxfId="5294" priority="217">
      <formula>AD$9&lt;8/24</formula>
    </cfRule>
  </conditionalFormatting>
  <conditionalFormatting sqref="AH237:AX237">
    <cfRule type="expression" dxfId="5293" priority="258">
      <formula>AG$9&gt;=20/24</formula>
    </cfRule>
    <cfRule type="expression" dxfId="5292" priority="259">
      <formula>AND(AG$9&gt;=14/24,AG$9&lt;20/24)</formula>
    </cfRule>
    <cfRule type="expression" dxfId="5291" priority="260">
      <formula>AND(AG$9&gt;=8/24,AG$9&lt;14/24)</formula>
    </cfRule>
    <cfRule type="expression" dxfId="5290" priority="261">
      <formula>AG$9&lt;8/24</formula>
    </cfRule>
  </conditionalFormatting>
  <conditionalFormatting sqref="T237">
    <cfRule type="expression" dxfId="5289" priority="262">
      <formula>AX$9&gt;=20/24</formula>
    </cfRule>
    <cfRule type="expression" dxfId="5288" priority="263">
      <formula>AND(AX$9&gt;=14/24,AX$9&lt;20/24)</formula>
    </cfRule>
    <cfRule type="expression" dxfId="5287" priority="264">
      <formula>AND(AX$9&gt;=8/24,AX$9&lt;14/24)</formula>
    </cfRule>
    <cfRule type="expression" dxfId="5286" priority="265">
      <formula>AX$9&lt;8/24</formula>
    </cfRule>
  </conditionalFormatting>
  <conditionalFormatting sqref="A107:A108">
    <cfRule type="expression" dxfId="5285" priority="213">
      <formula>$AH107=0</formula>
    </cfRule>
  </conditionalFormatting>
  <conditionalFormatting sqref="F46:P47 S46:W47 F63:AF63 Y46:AF47">
    <cfRule type="expression" dxfId="5284" priority="209">
      <formula>F$9&gt;=20/24</formula>
    </cfRule>
    <cfRule type="expression" dxfId="5283" priority="210">
      <formula>AND(F$9&gt;=14/24,F$9&lt;20/24)</formula>
    </cfRule>
    <cfRule type="expression" dxfId="5282" priority="211">
      <formula>AND(F$9&gt;=8/24,F$9&lt;14/24)</formula>
    </cfRule>
    <cfRule type="expression" dxfId="5281" priority="212">
      <formula>F$9&lt;8/24</formula>
    </cfRule>
  </conditionalFormatting>
  <conditionalFormatting sqref="F45:N45 S45:W45 Y45:AF45">
    <cfRule type="expression" dxfId="5280" priority="205">
      <formula>F$9&gt;=20/24</formula>
    </cfRule>
    <cfRule type="expression" dxfId="5279" priority="206">
      <formula>AND(F$9&gt;=14/24,F$9&lt;20/24)</formula>
    </cfRule>
    <cfRule type="expression" dxfId="5278" priority="207">
      <formula>AND(F$9&gt;=8/24,F$9&lt;14/24)</formula>
    </cfRule>
    <cfRule type="expression" dxfId="5277" priority="208">
      <formula>F$9&lt;8/24</formula>
    </cfRule>
  </conditionalFormatting>
  <conditionalFormatting sqref="F45:N47 O46:P47 S45:W47 Y45:AF47">
    <cfRule type="expression" dxfId="5276" priority="204">
      <formula>F45&gt;$AG45</formula>
    </cfRule>
  </conditionalFormatting>
  <conditionalFormatting sqref="C88:AF88 C75:AF78 L39:R39 F64:S65 S59:AF61 T64:AF73 D92:AF98 Y38:AF38 Y25:AF27 Y29:AF29 Y12:AF14 Y18:AF18 Y31:AF34">
    <cfRule type="expression" dxfId="5275" priority="200">
      <formula>C$9&gt;=20/24</formula>
    </cfRule>
    <cfRule type="expression" dxfId="5274" priority="201">
      <formula>AND(C$9&gt;=14/24,C$9&lt;20/24)</formula>
    </cfRule>
    <cfRule type="expression" dxfId="5273" priority="202">
      <formula>AND(C$9&gt;=8/24,C$9&lt;14/24)</formula>
    </cfRule>
    <cfRule type="expression" dxfId="5272" priority="203">
      <formula>C$9&lt;8/24</formula>
    </cfRule>
  </conditionalFormatting>
  <conditionalFormatting sqref="Y35:AF35">
    <cfRule type="expression" dxfId="5271" priority="196">
      <formula>Y$9&gt;=20/24</formula>
    </cfRule>
    <cfRule type="expression" dxfId="5270" priority="197">
      <formula>AND(Y$9&gt;=14/24,Y$9&lt;20/24)</formula>
    </cfRule>
    <cfRule type="expression" dxfId="5269" priority="198">
      <formula>AND(Y$9&gt;=8/24,Y$9&lt;14/24)</formula>
    </cfRule>
    <cfRule type="expression" dxfId="5268" priority="199">
      <formula>Y$9&lt;8/24</formula>
    </cfRule>
  </conditionalFormatting>
  <conditionalFormatting sqref="C57:AF57 L39:R39 F48:Q48 S59:AF61 Y38:AF38 Y25:AF29 Y31:AF35 AD48:AF49">
    <cfRule type="expression" dxfId="5267" priority="195">
      <formula>C25&gt;$AG25</formula>
    </cfRule>
  </conditionalFormatting>
  <conditionalFormatting sqref="Y37:AF37">
    <cfRule type="expression" dxfId="5266" priority="191">
      <formula>Y$9&gt;=20/24</formula>
    </cfRule>
    <cfRule type="expression" dxfId="5265" priority="192">
      <formula>AND(Y$9&gt;=14/24,Y$9&lt;20/24)</formula>
    </cfRule>
    <cfRule type="expression" dxfId="5264" priority="193">
      <formula>AND(Y$9&gt;=8/24,Y$9&lt;14/24)</formula>
    </cfRule>
    <cfRule type="expression" dxfId="5263" priority="194">
      <formula>Y$9&lt;8/24</formula>
    </cfRule>
  </conditionalFormatting>
  <conditionalFormatting sqref="Y15:AF15">
    <cfRule type="expression" dxfId="5262" priority="187">
      <formula>Y$9&gt;=20/24</formula>
    </cfRule>
    <cfRule type="expression" dxfId="5261" priority="188">
      <formula>AND(Y$9&gt;=14/24,Y$9&lt;20/24)</formula>
    </cfRule>
    <cfRule type="expression" dxfId="5260" priority="189">
      <formula>AND(Y$9&gt;=8/24,Y$9&lt;14/24)</formula>
    </cfRule>
    <cfRule type="expression" dxfId="5259" priority="190">
      <formula>Y$9&lt;8/24</formula>
    </cfRule>
  </conditionalFormatting>
  <conditionalFormatting sqref="Y36:AF36">
    <cfRule type="expression" dxfId="5258" priority="183">
      <formula>Y$9&gt;=20/24</formula>
    </cfRule>
    <cfRule type="expression" dxfId="5257" priority="184">
      <formula>AND(Y$9&gt;=14/24,Y$9&lt;20/24)</formula>
    </cfRule>
    <cfRule type="expression" dxfId="5256" priority="185">
      <formula>AND(Y$9&gt;=8/24,Y$9&lt;14/24)</formula>
    </cfRule>
    <cfRule type="expression" dxfId="5255" priority="186">
      <formula>Y$9&lt;8/24</formula>
    </cfRule>
  </conditionalFormatting>
  <conditionalFormatting sqref="Y36:AF36">
    <cfRule type="expression" dxfId="5254" priority="182">
      <formula>Y36&gt;$AG36</formula>
    </cfRule>
  </conditionalFormatting>
  <conditionalFormatting sqref="V48:AC49 AD50:AF56">
    <cfRule type="expression" dxfId="5253" priority="178">
      <formula>V$9&gt;=20/24</formula>
    </cfRule>
    <cfRule type="expression" dxfId="5252" priority="179">
      <formula>AND(V$9&gt;=14/24,V$9&lt;20/24)</formula>
    </cfRule>
    <cfRule type="expression" dxfId="5251" priority="180">
      <formula>AND(V$9&gt;=8/24,V$9&lt;14/24)</formula>
    </cfRule>
    <cfRule type="expression" dxfId="5250" priority="181">
      <formula>V$9&lt;8/24</formula>
    </cfRule>
  </conditionalFormatting>
  <conditionalFormatting sqref="V48:AC49 AD50:AF56">
    <cfRule type="expression" dxfId="5249" priority="177">
      <formula>V48&gt;$AG48</formula>
    </cfRule>
  </conditionalFormatting>
  <conditionalFormatting sqref="Q45:R47 O45:P45 R48:U50 V50:AC51">
    <cfRule type="expression" dxfId="5248" priority="173">
      <formula>O$9&gt;=20/24</formula>
    </cfRule>
    <cfRule type="expression" dxfId="5247" priority="174">
      <formula>AND(O$9&gt;=14/24,O$9&lt;20/24)</formula>
    </cfRule>
    <cfRule type="expression" dxfId="5246" priority="175">
      <formula>AND(O$9&gt;=8/24,O$9&lt;14/24)</formula>
    </cfRule>
    <cfRule type="expression" dxfId="5245" priority="176">
      <formula>O$9&lt;8/24</formula>
    </cfRule>
  </conditionalFormatting>
  <conditionalFormatting sqref="Q45:R47 O45:P45 R48:U50 V50:AC51">
    <cfRule type="expression" dxfId="5244" priority="172">
      <formula>O45&gt;$AG45</formula>
    </cfRule>
  </conditionalFormatting>
  <conditionalFormatting sqref="Y28:AF28">
    <cfRule type="expression" dxfId="5243" priority="168">
      <formula>Y$9&gt;=20/24</formula>
    </cfRule>
    <cfRule type="expression" dxfId="5242" priority="169">
      <formula>AND(Y$9&gt;=14/24,Y$9&lt;20/24)</formula>
    </cfRule>
    <cfRule type="expression" dxfId="5241" priority="170">
      <formula>AND(Y$9&gt;=8/24,Y$9&lt;14/24)</formula>
    </cfRule>
    <cfRule type="expression" dxfId="5240" priority="171">
      <formula>Y$9&lt;8/24</formula>
    </cfRule>
  </conditionalFormatting>
  <conditionalFormatting sqref="Y19:AF19 Y24:AF24">
    <cfRule type="expression" dxfId="5239" priority="164">
      <formula>Y$9&gt;=20/24</formula>
    </cfRule>
    <cfRule type="expression" dxfId="5238" priority="165">
      <formula>AND(Y$9&gt;=14/24,Y$9&lt;20/24)</formula>
    </cfRule>
    <cfRule type="expression" dxfId="5237" priority="166">
      <formula>AND(Y$9&gt;=8/24,Y$9&lt;14/24)</formula>
    </cfRule>
    <cfRule type="expression" dxfId="5236" priority="167">
      <formula>Y$9&lt;8/24</formula>
    </cfRule>
  </conditionalFormatting>
  <conditionalFormatting sqref="Y19:AF19 Y24:AF24">
    <cfRule type="expression" dxfId="5235" priority="163">
      <formula>Y19&gt;$AG19</formula>
    </cfRule>
  </conditionalFormatting>
  <conditionalFormatting sqref="D45:E45">
    <cfRule type="expression" dxfId="5234" priority="159">
      <formula>D$9&gt;=20/24</formula>
    </cfRule>
    <cfRule type="expression" dxfId="5233" priority="160">
      <formula>AND(D$9&gt;=14/24,D$9&lt;20/24)</formula>
    </cfRule>
    <cfRule type="expression" dxfId="5232" priority="161">
      <formula>AND(D$9&gt;=8/24,D$9&lt;14/24)</formula>
    </cfRule>
    <cfRule type="expression" dxfId="5231" priority="162">
      <formula>D$9&lt;8/24</formula>
    </cfRule>
  </conditionalFormatting>
  <conditionalFormatting sqref="D45:E45">
    <cfRule type="expression" dxfId="5230" priority="158">
      <formula>D45&gt;$AG45</formula>
    </cfRule>
  </conditionalFormatting>
  <conditionalFormatting sqref="X46:X47">
    <cfRule type="expression" dxfId="5229" priority="154">
      <formula>X$9&gt;=20/24</formula>
    </cfRule>
    <cfRule type="expression" dxfId="5228" priority="155">
      <formula>AND(X$9&gt;=14/24,X$9&lt;20/24)</formula>
    </cfRule>
    <cfRule type="expression" dxfId="5227" priority="156">
      <formula>AND(X$9&gt;=8/24,X$9&lt;14/24)</formula>
    </cfRule>
    <cfRule type="expression" dxfId="5226" priority="157">
      <formula>X$9&lt;8/24</formula>
    </cfRule>
  </conditionalFormatting>
  <conditionalFormatting sqref="X45">
    <cfRule type="expression" dxfId="5225" priority="150">
      <formula>X$9&gt;=20/24</formula>
    </cfRule>
    <cfRule type="expression" dxfId="5224" priority="151">
      <formula>AND(X$9&gt;=14/24,X$9&lt;20/24)</formula>
    </cfRule>
    <cfRule type="expression" dxfId="5223" priority="152">
      <formula>AND(X$9&gt;=8/24,X$9&lt;14/24)</formula>
    </cfRule>
    <cfRule type="expression" dxfId="5222" priority="153">
      <formula>X$9&lt;8/24</formula>
    </cfRule>
  </conditionalFormatting>
  <conditionalFormatting sqref="X45:X47">
    <cfRule type="expression" dxfId="5221" priority="149">
      <formula>X45&gt;$AG45</formula>
    </cfRule>
  </conditionalFormatting>
  <conditionalFormatting sqref="B101 B80:AF80 B89:AF89 B103:B108 B11:X11">
    <cfRule type="expression" dxfId="5220" priority="145">
      <formula>B$9&gt;=20/24</formula>
    </cfRule>
    <cfRule type="expression" dxfId="5219" priority="146">
      <formula>AND(B$9&gt;=14/24,B$9&lt;20/24)</formula>
    </cfRule>
    <cfRule type="expression" dxfId="5218" priority="147">
      <formula>AND(B$9&gt;=8/24,B$9&lt;14/24)</formula>
    </cfRule>
    <cfRule type="expression" dxfId="5217" priority="148">
      <formula>B$9&lt;8/24</formula>
    </cfRule>
  </conditionalFormatting>
  <conditionalFormatting sqref="B39:K39">
    <cfRule type="expression" dxfId="5216" priority="141">
      <formula>B$9&gt;=20/24</formula>
    </cfRule>
    <cfRule type="expression" dxfId="5215" priority="142">
      <formula>AND(B$9&gt;=14/24,B$9&lt;20/24)</formula>
    </cfRule>
    <cfRule type="expression" dxfId="5214" priority="143">
      <formula>AND(B$9&gt;=8/24,B$9&lt;14/24)</formula>
    </cfRule>
    <cfRule type="expression" dxfId="5213" priority="144">
      <formula>B$9&lt;8/24</formula>
    </cfRule>
  </conditionalFormatting>
  <conditionalFormatting sqref="B39:K39 B11:X11">
    <cfRule type="expression" dxfId="5212" priority="140">
      <formula>B11&gt;$AG11</formula>
    </cfRule>
  </conditionalFormatting>
  <conditionalFormatting sqref="B91">
    <cfRule type="expression" dxfId="5211" priority="136">
      <formula>B$9&gt;=20/24</formula>
    </cfRule>
    <cfRule type="expression" dxfId="5210" priority="137">
      <formula>AND(B$9&gt;=14/24,B$9&lt;20/24)</formula>
    </cfRule>
    <cfRule type="expression" dxfId="5209" priority="138">
      <formula>AND(B$9&gt;=8/24,B$9&lt;14/24)</formula>
    </cfRule>
    <cfRule type="expression" dxfId="5208" priority="139">
      <formula>B$9&lt;8/24</formula>
    </cfRule>
  </conditionalFormatting>
  <conditionalFormatting sqref="B46:E47 B63:E63 B38:X38">
    <cfRule type="expression" dxfId="5207" priority="132">
      <formula>B$9&gt;=20/24</formula>
    </cfRule>
    <cfRule type="expression" dxfId="5206" priority="133">
      <formula>AND(B$9&gt;=14/24,B$9&lt;20/24)</formula>
    </cfRule>
    <cfRule type="expression" dxfId="5205" priority="134">
      <formula>AND(B$9&gt;=8/24,B$9&lt;14/24)</formula>
    </cfRule>
    <cfRule type="expression" dxfId="5204" priority="135">
      <formula>B$9&lt;8/24</formula>
    </cfRule>
  </conditionalFormatting>
  <conditionalFormatting sqref="B45:C45">
    <cfRule type="expression" dxfId="5203" priority="128">
      <formula>B$9&gt;=20/24</formula>
    </cfRule>
    <cfRule type="expression" dxfId="5202" priority="129">
      <formula>AND(B$9&gt;=14/24,B$9&lt;20/24)</formula>
    </cfRule>
    <cfRule type="expression" dxfId="5201" priority="130">
      <formula>AND(B$9&gt;=8/24,B$9&lt;14/24)</formula>
    </cfRule>
    <cfRule type="expression" dxfId="5200" priority="131">
      <formula>B$9&lt;8/24</formula>
    </cfRule>
  </conditionalFormatting>
  <conditionalFormatting sqref="B45:C47 D46:E47 B38:X38">
    <cfRule type="expression" dxfId="5199" priority="127">
      <formula>B38&gt;$AG38</formula>
    </cfRule>
  </conditionalFormatting>
  <conditionalFormatting sqref="B59:B62 B75:B79 B81:AF81 B88 C79:AG79 B90:AF90 B92:C98 B64:E73 C62:AG62 C59:R61 F66:S73 B12:X14 B18:X18 B25:X27 B29:X29 B31:X34">
    <cfRule type="expression" dxfId="5198" priority="123">
      <formula>B$9&gt;=20/24</formula>
    </cfRule>
    <cfRule type="expression" dxfId="5197" priority="124">
      <formula>AND(B$9&gt;=14/24,B$9&lt;20/24)</formula>
    </cfRule>
    <cfRule type="expression" dxfId="5196" priority="125">
      <formula>AND(B$9&gt;=8/24,B$9&lt;14/24)</formula>
    </cfRule>
    <cfRule type="expression" dxfId="5195" priority="126">
      <formula>B$9&lt;8/24</formula>
    </cfRule>
  </conditionalFormatting>
  <conditionalFormatting sqref="B35:X35">
    <cfRule type="expression" dxfId="5194" priority="119">
      <formula>B$9&gt;=20/24</formula>
    </cfRule>
    <cfRule type="expression" dxfId="5193" priority="120">
      <formula>AND(B$9&gt;=14/24,B$9&lt;20/24)</formula>
    </cfRule>
    <cfRule type="expression" dxfId="5192" priority="121">
      <formula>AND(B$9&gt;=8/24,B$9&lt;14/24)</formula>
    </cfRule>
    <cfRule type="expression" dxfId="5191" priority="122">
      <formula>B$9&lt;8/24</formula>
    </cfRule>
  </conditionalFormatting>
  <conditionalFormatting sqref="B57:B62 B40:AG40 C58:AG58 B48:E49 C62:AG62 C59:R61 F49:Q49 B25:X29 B31:X35">
    <cfRule type="expression" dxfId="5190" priority="118">
      <formula>B25&gt;$AG25</formula>
    </cfRule>
  </conditionalFormatting>
  <conditionalFormatting sqref="B37:X37">
    <cfRule type="expression" dxfId="5189" priority="114">
      <formula>B$9&gt;=20/24</formula>
    </cfRule>
    <cfRule type="expression" dxfId="5188" priority="115">
      <formula>AND(B$9&gt;=14/24,B$9&lt;20/24)</formula>
    </cfRule>
    <cfRule type="expression" dxfId="5187" priority="116">
      <formula>AND(B$9&gt;=8/24,B$9&lt;14/24)</formula>
    </cfRule>
    <cfRule type="expression" dxfId="5186" priority="117">
      <formula>B$9&lt;8/24</formula>
    </cfRule>
  </conditionalFormatting>
  <conditionalFormatting sqref="B15:X15">
    <cfRule type="expression" dxfId="5185" priority="110">
      <formula>B$9&gt;=20/24</formula>
    </cfRule>
    <cfRule type="expression" dxfId="5184" priority="111">
      <formula>AND(B$9&gt;=14/24,B$9&lt;20/24)</formula>
    </cfRule>
    <cfRule type="expression" dxfId="5183" priority="112">
      <formula>AND(B$9&gt;=8/24,B$9&lt;14/24)</formula>
    </cfRule>
    <cfRule type="expression" dxfId="5182" priority="113">
      <formula>B$9&lt;8/24</formula>
    </cfRule>
  </conditionalFormatting>
  <conditionalFormatting sqref="B36:X36">
    <cfRule type="expression" dxfId="5181" priority="106">
      <formula>B$9&gt;=20/24</formula>
    </cfRule>
    <cfRule type="expression" dxfId="5180" priority="107">
      <formula>AND(B$9&gt;=14/24,B$9&lt;20/24)</formula>
    </cfRule>
    <cfRule type="expression" dxfId="5179" priority="108">
      <formula>AND(B$9&gt;=8/24,B$9&lt;14/24)</formula>
    </cfRule>
    <cfRule type="expression" dxfId="5178" priority="109">
      <formula>B$9&lt;8/24</formula>
    </cfRule>
  </conditionalFormatting>
  <conditionalFormatting sqref="B36:X36">
    <cfRule type="expression" dxfId="5177" priority="105">
      <formula>B36&gt;$AG36</formula>
    </cfRule>
  </conditionalFormatting>
  <conditionalFormatting sqref="B50:Q56 R51:U56">
    <cfRule type="expression" dxfId="5176" priority="101">
      <formula>B$9&gt;=20/24</formula>
    </cfRule>
    <cfRule type="expression" dxfId="5175" priority="102">
      <formula>AND(B$9&gt;=14/24,B$9&lt;20/24)</formula>
    </cfRule>
    <cfRule type="expression" dxfId="5174" priority="103">
      <formula>AND(B$9&gt;=8/24,B$9&lt;14/24)</formula>
    </cfRule>
    <cfRule type="expression" dxfId="5173" priority="104">
      <formula>B$9&lt;8/24</formula>
    </cfRule>
  </conditionalFormatting>
  <conditionalFormatting sqref="B50:Q56 R51:U56">
    <cfRule type="expression" dxfId="5172" priority="100">
      <formula>B50&gt;$AG50</formula>
    </cfRule>
  </conditionalFormatting>
  <conditionalFormatting sqref="B28:X28">
    <cfRule type="expression" dxfId="5171" priority="96">
      <formula>B$9&gt;=20/24</formula>
    </cfRule>
    <cfRule type="expression" dxfId="5170" priority="97">
      <formula>AND(B$9&gt;=14/24,B$9&lt;20/24)</formula>
    </cfRule>
    <cfRule type="expression" dxfId="5169" priority="98">
      <formula>AND(B$9&gt;=8/24,B$9&lt;14/24)</formula>
    </cfRule>
    <cfRule type="expression" dxfId="5168" priority="99">
      <formula>B$9&lt;8/24</formula>
    </cfRule>
  </conditionalFormatting>
  <conditionalFormatting sqref="B24:X24 B19:X19">
    <cfRule type="expression" dxfId="5167" priority="92">
      <formula>B$9&gt;=20/24</formula>
    </cfRule>
    <cfRule type="expression" dxfId="5166" priority="93">
      <formula>AND(B$9&gt;=14/24,B$9&lt;20/24)</formula>
    </cfRule>
    <cfRule type="expression" dxfId="5165" priority="94">
      <formula>AND(B$9&gt;=8/24,B$9&lt;14/24)</formula>
    </cfRule>
    <cfRule type="expression" dxfId="5164" priority="95">
      <formula>B$9&lt;8/24</formula>
    </cfRule>
  </conditionalFormatting>
  <conditionalFormatting sqref="B24:X24 B19:X19">
    <cfRule type="expression" dxfId="5163" priority="91">
      <formula>B19&gt;$AG19</formula>
    </cfRule>
  </conditionalFormatting>
  <conditionalFormatting sqref="A36">
    <cfRule type="expression" dxfId="5162" priority="90">
      <formula>$AH36=0</formula>
    </cfRule>
  </conditionalFormatting>
  <conditionalFormatting sqref="B74:AF74">
    <cfRule type="expression" dxfId="5161" priority="86">
      <formula>B$9&gt;=20/24</formula>
    </cfRule>
    <cfRule type="expression" dxfId="5160" priority="87">
      <formula>AND(B$9&gt;=14/24,B$9&lt;20/24)</formula>
    </cfRule>
    <cfRule type="expression" dxfId="5159" priority="88">
      <formula>AND(B$9&gt;=8/24,B$9&lt;14/24)</formula>
    </cfRule>
    <cfRule type="expression" dxfId="5158" priority="89">
      <formula>B$9&lt;8/24</formula>
    </cfRule>
  </conditionalFormatting>
  <conditionalFormatting sqref="B83:AF87">
    <cfRule type="expression" dxfId="5157" priority="82">
      <formula>B$9&gt;=20/24</formula>
    </cfRule>
    <cfRule type="expression" dxfId="5156" priority="83">
      <formula>AND(B$9&gt;=14/24,B$9&lt;20/24)</formula>
    </cfRule>
    <cfRule type="expression" dxfId="5155" priority="84">
      <formula>AND(B$9&gt;=8/24,B$9&lt;14/24)</formula>
    </cfRule>
    <cfRule type="expression" dxfId="5154" priority="85">
      <formula>B$9&lt;8/24</formula>
    </cfRule>
  </conditionalFormatting>
  <conditionalFormatting sqref="AL37 AL34 AL18:AL29 AL7 AL31:AL32 AL9:AL12 AL14:AL16">
    <cfRule type="iconSet" priority="266">
      <iconSet iconSet="3TrafficLights2" reverse="1">
        <cfvo type="percent" val="0"/>
        <cfvo type="num" val="1"/>
        <cfvo type="num" val="1"/>
      </iconSet>
    </cfRule>
  </conditionalFormatting>
  <conditionalFormatting sqref="F41:AF43">
    <cfRule type="expression" dxfId="5153" priority="78">
      <formula>F$9&gt;=20/24</formula>
    </cfRule>
    <cfRule type="expression" dxfId="5152" priority="79">
      <formula>AND(F$9&gt;=14/24,F$9&lt;20/24)</formula>
    </cfRule>
    <cfRule type="expression" dxfId="5151" priority="80">
      <formula>AND(F$9&gt;=8/24,F$9&lt;14/24)</formula>
    </cfRule>
    <cfRule type="expression" dxfId="5150" priority="81">
      <formula>F$9&lt;8/24</formula>
    </cfRule>
  </conditionalFormatting>
  <conditionalFormatting sqref="F41:AF43">
    <cfRule type="expression" dxfId="5149" priority="77">
      <formula>F41&gt;$AG41</formula>
    </cfRule>
  </conditionalFormatting>
  <conditionalFormatting sqref="B41:B44 C44:AG44 C41:E43">
    <cfRule type="expression" dxfId="5148" priority="73">
      <formula>B$9&gt;=20/24</formula>
    </cfRule>
    <cfRule type="expression" dxfId="5147" priority="74">
      <formula>AND(B$9&gt;=14/24,B$9&lt;20/24)</formula>
    </cfRule>
    <cfRule type="expression" dxfId="5146" priority="75">
      <formula>AND(B$9&gt;=8/24,B$9&lt;14/24)</formula>
    </cfRule>
    <cfRule type="expression" dxfId="5145" priority="76">
      <formula>B$9&lt;8/24</formula>
    </cfRule>
  </conditionalFormatting>
  <conditionalFormatting sqref="B41:B44 C44:AG44 C41:E43">
    <cfRule type="expression" dxfId="5144" priority="72">
      <formula>B41&gt;$AG41</formula>
    </cfRule>
  </conditionalFormatting>
  <conditionalFormatting sqref="C99:AF99">
    <cfRule type="expression" dxfId="5143" priority="68">
      <formula>C$9&gt;=20/24</formula>
    </cfRule>
    <cfRule type="expression" dxfId="5142" priority="69">
      <formula>AND(C$9&gt;=14/24,C$9&lt;20/24)</formula>
    </cfRule>
    <cfRule type="expression" dxfId="5141" priority="70">
      <formula>AND(C$9&gt;=8/24,C$9&lt;14/24)</formula>
    </cfRule>
    <cfRule type="expression" dxfId="5140" priority="71">
      <formula>C$9&lt;8/24</formula>
    </cfRule>
  </conditionalFormatting>
  <conditionalFormatting sqref="B99">
    <cfRule type="expression" dxfId="5139" priority="64">
      <formula>B$9&gt;=20/24</formula>
    </cfRule>
    <cfRule type="expression" dxfId="5138" priority="65">
      <formula>AND(B$9&gt;=14/24,B$9&lt;20/24)</formula>
    </cfRule>
    <cfRule type="expression" dxfId="5137" priority="66">
      <formula>AND(B$9&gt;=8/24,B$9&lt;14/24)</formula>
    </cfRule>
    <cfRule type="expression" dxfId="5136" priority="67">
      <formula>B$9&lt;8/24</formula>
    </cfRule>
  </conditionalFormatting>
  <conditionalFormatting sqref="AL33">
    <cfRule type="iconSet" priority="63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5135" priority="58">
      <formula>$AH33=0</formula>
    </cfRule>
  </conditionalFormatting>
  <conditionalFormatting sqref="A82">
    <cfRule type="expression" dxfId="5134" priority="56">
      <formula>$AH82=0</formula>
    </cfRule>
  </conditionalFormatting>
  <conditionalFormatting sqref="A79">
    <cfRule type="expression" dxfId="5133" priority="57">
      <formula>$AH79=0</formula>
    </cfRule>
  </conditionalFormatting>
  <conditionalFormatting sqref="A109">
    <cfRule type="expression" dxfId="5132" priority="47">
      <formula>$AH109=0</formula>
    </cfRule>
  </conditionalFormatting>
  <conditionalFormatting sqref="C102:AF102">
    <cfRule type="expression" dxfId="5131" priority="43">
      <formula>C$9&gt;=20/24</formula>
    </cfRule>
    <cfRule type="expression" dxfId="5130" priority="44">
      <formula>AND(C$9&gt;=14/24,C$9&lt;20/24)</formula>
    </cfRule>
    <cfRule type="expression" dxfId="5129" priority="45">
      <formula>AND(C$9&gt;=8/24,C$9&lt;14/24)</formula>
    </cfRule>
    <cfRule type="expression" dxfId="5128" priority="46">
      <formula>C$9&lt;8/24</formula>
    </cfRule>
  </conditionalFormatting>
  <conditionalFormatting sqref="A102">
    <cfRule type="expression" dxfId="5127" priority="42">
      <formula>$AH102=0</formula>
    </cfRule>
  </conditionalFormatting>
  <conditionalFormatting sqref="B102">
    <cfRule type="expression" dxfId="5126" priority="38">
      <formula>B$9&gt;=20/24</formula>
    </cfRule>
    <cfRule type="expression" dxfId="5125" priority="39">
      <formula>AND(B$9&gt;=14/24,B$9&lt;20/24)</formula>
    </cfRule>
    <cfRule type="expression" dxfId="5124" priority="40">
      <formula>AND(B$9&gt;=8/24,B$9&lt;14/24)</formula>
    </cfRule>
    <cfRule type="expression" dxfId="5123" priority="41">
      <formula>B$9&lt;8/24</formula>
    </cfRule>
  </conditionalFormatting>
  <conditionalFormatting sqref="V52:AC56">
    <cfRule type="expression" dxfId="5122" priority="34">
      <formula>V$9&gt;=20/24</formula>
    </cfRule>
    <cfRule type="expression" dxfId="5121" priority="35">
      <formula>AND(V$9&gt;=14/24,V$9&lt;20/24)</formula>
    </cfRule>
    <cfRule type="expression" dxfId="5120" priority="36">
      <formula>AND(V$9&gt;=8/24,V$9&lt;14/24)</formula>
    </cfRule>
    <cfRule type="expression" dxfId="5119" priority="37">
      <formula>V$9&lt;8/24</formula>
    </cfRule>
  </conditionalFormatting>
  <conditionalFormatting sqref="V52:AC56">
    <cfRule type="expression" dxfId="5118" priority="33">
      <formula>V52&gt;$AG52</formula>
    </cfRule>
  </conditionalFormatting>
  <conditionalFormatting sqref="B17:AF17">
    <cfRule type="expression" dxfId="5117" priority="31">
      <formula>B17&gt;$AG17</formula>
    </cfRule>
  </conditionalFormatting>
  <conditionalFormatting sqref="A17">
    <cfRule type="expression" dxfId="5116" priority="30">
      <formula>$AH17=0</formula>
    </cfRule>
  </conditionalFormatting>
  <conditionalFormatting sqref="Y17:AF17">
    <cfRule type="expression" dxfId="5115" priority="26">
      <formula>Y$9&gt;=20/24</formula>
    </cfRule>
    <cfRule type="expression" dxfId="5114" priority="27">
      <formula>AND(Y$9&gt;=14/24,Y$9&lt;20/24)</formula>
    </cfRule>
    <cfRule type="expression" dxfId="5113" priority="28">
      <formula>AND(Y$9&gt;=8/24,Y$9&lt;14/24)</formula>
    </cfRule>
    <cfRule type="expression" dxfId="5112" priority="29">
      <formula>Y$9&lt;8/24</formula>
    </cfRule>
  </conditionalFormatting>
  <conditionalFormatting sqref="B17:X17">
    <cfRule type="expression" dxfId="5111" priority="22">
      <formula>B$9&gt;=20/24</formula>
    </cfRule>
    <cfRule type="expression" dxfId="5110" priority="23">
      <formula>AND(B$9&gt;=14/24,B$9&lt;20/24)</formula>
    </cfRule>
    <cfRule type="expression" dxfId="5109" priority="24">
      <formula>AND(B$9&gt;=8/24,B$9&lt;14/24)</formula>
    </cfRule>
    <cfRule type="expression" dxfId="5108" priority="25">
      <formula>B$9&lt;8/24</formula>
    </cfRule>
  </conditionalFormatting>
  <conditionalFormatting sqref="AL17">
    <cfRule type="iconSet" priority="32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5107" priority="20">
      <formula>$AH30=0</formula>
    </cfRule>
  </conditionalFormatting>
  <conditionalFormatting sqref="Y30:AF30">
    <cfRule type="expression" dxfId="5106" priority="16">
      <formula>Y$9&gt;=20/24</formula>
    </cfRule>
    <cfRule type="expression" dxfId="5105" priority="17">
      <formula>AND(Y$9&gt;=14/24,Y$9&lt;20/24)</formula>
    </cfRule>
    <cfRule type="expression" dxfId="5104" priority="18">
      <formula>AND(Y$9&gt;=8/24,Y$9&lt;14/24)</formula>
    </cfRule>
    <cfRule type="expression" dxfId="5103" priority="19">
      <formula>Y$9&lt;8/24</formula>
    </cfRule>
  </conditionalFormatting>
  <conditionalFormatting sqref="Y30:AF30">
    <cfRule type="expression" dxfId="5102" priority="15">
      <formula>Y30&gt;$AG30</formula>
    </cfRule>
  </conditionalFormatting>
  <conditionalFormatting sqref="B30:X30">
    <cfRule type="expression" dxfId="5101" priority="6">
      <formula>B$9&gt;=20/24</formula>
    </cfRule>
    <cfRule type="expression" dxfId="5100" priority="7">
      <formula>AND(B$9&gt;=14/24,B$9&lt;20/24)</formula>
    </cfRule>
    <cfRule type="expression" dxfId="5099" priority="8">
      <formula>AND(B$9&gt;=8/24,B$9&lt;14/24)</formula>
    </cfRule>
    <cfRule type="expression" dxfId="5098" priority="9">
      <formula>B$9&lt;8/24</formula>
    </cfRule>
  </conditionalFormatting>
  <conditionalFormatting sqref="B30:X30">
    <cfRule type="expression" dxfId="5097" priority="5">
      <formula>B30&gt;$AG30</formula>
    </cfRule>
  </conditionalFormatting>
  <conditionalFormatting sqref="AL30">
    <cfRule type="iconSet" priority="21">
      <iconSet iconSet="3TrafficLights2" reverse="1">
        <cfvo type="percent" val="0"/>
        <cfvo type="num" val="1"/>
        <cfvo type="num" val="1"/>
      </iconSet>
    </cfRule>
  </conditionalFormatting>
  <conditionalFormatting sqref="Y103">
    <cfRule type="expression" dxfId="5096" priority="1">
      <formula>Y$9&gt;=20/24</formula>
    </cfRule>
    <cfRule type="expression" dxfId="5095" priority="2">
      <formula>AND(Y$9&gt;=14/24,Y$9&lt;20/24)</formula>
    </cfRule>
    <cfRule type="expression" dxfId="5094" priority="3">
      <formula>AND(Y$9&gt;=8/24,Y$9&lt;14/24)</formula>
    </cfRule>
    <cfRule type="expression" dxfId="5093" priority="4">
      <formula>Y$9&lt;8/24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9" id="{1B0BCE6C-84E4-45A6-976F-0771B1605F8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0" id="{BEAA7637-6B9E-4272-AE73-42EB13382344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1" id="{64D3CD89-818F-45B0-86D3-E68424B0B7F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2" id="{130E19F2-92FF-427E-A6C7-B11C6A734F20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52" id="{563DF1D6-620C-428B-BE7C-F86B52B7468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3" id="{C163CE44-B6EB-4D80-83BC-3E1C172DFDCE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4" id="{4260545F-A55C-403D-B75A-2F364034049F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5" id="{F24497B1-F700-4A21-B099-E15209CBED9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8" id="{A9849583-E427-4654-8FD4-E96A5BBA79E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003F3CB6-0A83-434F-8BA8-FD5DCC5F104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CA0A68FA-A16C-4E64-A774-04485282207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21907BD4-4EB5-42F9-AD8D-4433D4AA342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J270"/>
  <sheetViews>
    <sheetView zoomScale="90" zoomScaleNormal="90" workbookViewId="0">
      <pane xSplit="1" ySplit="10" topLeftCell="B32" activePane="bottomRight" state="frozen"/>
      <selection activeCell="AF88" sqref="AF88"/>
      <selection pane="topRight" activeCell="AF88" sqref="AF88"/>
      <selection pane="bottomLeft" activeCell="AF88" sqref="AF88"/>
      <selection pane="bottomRight" activeCell="E48" sqref="E4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1" width="6" style="1" bestFit="1" customWidth="1"/>
    <col min="12" max="12" width="6.85546875" style="1" bestFit="1" customWidth="1"/>
    <col min="13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0" width="6.85546875" style="1" customWidth="1"/>
    <col min="31" max="31" width="7.42578125" style="1" bestFit="1" customWidth="1"/>
    <col min="32" max="32" width="6.85546875" style="1" customWidth="1"/>
    <col min="33" max="33" width="14.42578125" style="1" customWidth="1"/>
    <col min="34" max="35" width="8" style="1" customWidth="1"/>
    <col min="36" max="36" width="24.5703125" style="1" bestFit="1" customWidth="1"/>
    <col min="37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2079/06/18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25</v>
      </c>
      <c r="C5" s="148">
        <f t="shared" si="0"/>
        <v>26</v>
      </c>
      <c r="D5" s="148">
        <f t="shared" si="0"/>
        <v>17</v>
      </c>
      <c r="E5" s="148">
        <f t="shared" si="0"/>
        <v>15</v>
      </c>
      <c r="F5" s="148">
        <f t="shared" si="0"/>
        <v>9</v>
      </c>
      <c r="G5" s="148">
        <f t="shared" si="0"/>
        <v>7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0</v>
      </c>
      <c r="X5" s="148">
        <f t="shared" si="0"/>
        <v>24</v>
      </c>
      <c r="Y5" s="148">
        <f t="shared" si="0"/>
        <v>37.1</v>
      </c>
      <c r="Z5" s="148">
        <f t="shared" si="0"/>
        <v>27.9</v>
      </c>
      <c r="AA5" s="148">
        <f t="shared" si="0"/>
        <v>28.9</v>
      </c>
      <c r="AB5" s="148">
        <f t="shared" si="0"/>
        <v>29</v>
      </c>
      <c r="AC5" s="148">
        <f t="shared" si="0"/>
        <v>29.1</v>
      </c>
      <c r="AD5" s="148">
        <f t="shared" si="0"/>
        <v>25</v>
      </c>
      <c r="AE5" s="148">
        <f t="shared" si="0"/>
        <v>10</v>
      </c>
      <c r="AF5" s="148">
        <f>B74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1376MW at 4:60hr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Load=1137</v>
      </c>
      <c r="B7" s="137">
        <f t="shared" ref="B7:AF7" si="1">B81</f>
        <v>1476.34</v>
      </c>
      <c r="C7" s="137">
        <f t="shared" si="1"/>
        <v>1404.3400000000001</v>
      </c>
      <c r="D7" s="137">
        <f t="shared" si="1"/>
        <v>1417.74</v>
      </c>
      <c r="E7" s="137">
        <f t="shared" si="1"/>
        <v>1388.24</v>
      </c>
      <c r="F7" s="137">
        <f t="shared" si="1"/>
        <v>1381.74</v>
      </c>
      <c r="G7" s="137">
        <f t="shared" si="1"/>
        <v>1375.74</v>
      </c>
      <c r="H7" s="137">
        <f t="shared" si="1"/>
        <v>1335.74</v>
      </c>
      <c r="I7" s="137">
        <f t="shared" si="1"/>
        <v>1328.54</v>
      </c>
      <c r="J7" s="137">
        <f t="shared" si="1"/>
        <v>1291.54</v>
      </c>
      <c r="K7" s="137">
        <f t="shared" si="1"/>
        <v>1291.24</v>
      </c>
      <c r="L7" s="137">
        <f t="shared" si="1"/>
        <v>1286.44</v>
      </c>
      <c r="M7" s="137">
        <f t="shared" si="1"/>
        <v>1290.04</v>
      </c>
      <c r="N7" s="137">
        <f t="shared" si="1"/>
        <v>1300.1400000000001</v>
      </c>
      <c r="O7" s="137">
        <f t="shared" si="1"/>
        <v>1290.1400000000001</v>
      </c>
      <c r="P7" s="137">
        <f t="shared" si="1"/>
        <v>1264.8400000000001</v>
      </c>
      <c r="Q7" s="137">
        <f t="shared" si="1"/>
        <v>1260.44</v>
      </c>
      <c r="R7" s="137">
        <f t="shared" si="1"/>
        <v>1253.74</v>
      </c>
      <c r="S7" s="137">
        <f t="shared" si="1"/>
        <v>1214.04</v>
      </c>
      <c r="T7" s="137">
        <f t="shared" si="1"/>
        <v>1137.04</v>
      </c>
      <c r="U7" s="137">
        <f t="shared" si="1"/>
        <v>1181.94</v>
      </c>
      <c r="V7" s="137">
        <f t="shared" si="1"/>
        <v>1204.54</v>
      </c>
      <c r="W7" s="137">
        <f t="shared" si="1"/>
        <v>1295.7400000000002</v>
      </c>
      <c r="X7" s="137">
        <f t="shared" si="1"/>
        <v>1295.7400000000002</v>
      </c>
      <c r="Y7" s="137">
        <f t="shared" si="1"/>
        <v>1516.04</v>
      </c>
      <c r="Z7" s="137">
        <f t="shared" si="1"/>
        <v>1507.6399999999999</v>
      </c>
      <c r="AA7" s="137">
        <f t="shared" si="1"/>
        <v>1479.14</v>
      </c>
      <c r="AB7" s="137">
        <f t="shared" si="1"/>
        <v>1426.54</v>
      </c>
      <c r="AC7" s="137">
        <f t="shared" si="1"/>
        <v>1461.4399999999998</v>
      </c>
      <c r="AD7" s="137">
        <f t="shared" si="1"/>
        <v>1453.5399999999997</v>
      </c>
      <c r="AE7" s="137">
        <f t="shared" si="1"/>
        <v>1356.34</v>
      </c>
      <c r="AF7" s="137">
        <f t="shared" si="1"/>
        <v>1321.34</v>
      </c>
      <c r="AG7" s="136"/>
      <c r="AI7" s="135"/>
      <c r="AJ7" s="126">
        <f>(1700*24-(B7+C7+D7+E7+F7+G7+I7+K7+M7+N7+O7+P7+Q7+R7+S7+T7+U7+V7+X7+Z7+AB7+AD7+AE7+AF7))</f>
        <v>8978.0399999999972</v>
      </c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28">
        <v>53.4</v>
      </c>
      <c r="C11" s="128">
        <v>50.5</v>
      </c>
      <c r="D11" s="128">
        <v>50.4</v>
      </c>
      <c r="E11" s="128">
        <v>50.4</v>
      </c>
      <c r="F11" s="128">
        <v>50.4</v>
      </c>
      <c r="G11" s="128">
        <v>50.4</v>
      </c>
      <c r="H11" s="128">
        <v>50.4</v>
      </c>
      <c r="I11" s="128">
        <v>50.4</v>
      </c>
      <c r="J11" s="128">
        <v>50.4</v>
      </c>
      <c r="K11" s="128">
        <v>50.5</v>
      </c>
      <c r="L11" s="128">
        <v>50.5</v>
      </c>
      <c r="M11" s="128">
        <v>50.5</v>
      </c>
      <c r="N11" s="128">
        <v>50.5</v>
      </c>
      <c r="O11" s="128">
        <v>50.5</v>
      </c>
      <c r="P11" s="128">
        <v>50.5</v>
      </c>
      <c r="Q11" s="128">
        <v>50.5</v>
      </c>
      <c r="R11" s="128">
        <v>50.5</v>
      </c>
      <c r="S11" s="128">
        <v>50.5</v>
      </c>
      <c r="T11" s="128">
        <v>45.5</v>
      </c>
      <c r="U11" s="128">
        <v>45.6</v>
      </c>
      <c r="V11" s="128">
        <v>45.5</v>
      </c>
      <c r="W11" s="128">
        <v>45.6</v>
      </c>
      <c r="X11" s="128">
        <v>45.6</v>
      </c>
      <c r="Y11" s="128">
        <v>45.5</v>
      </c>
      <c r="Z11" s="128">
        <v>45.5</v>
      </c>
      <c r="AA11" s="128">
        <v>45.5</v>
      </c>
      <c r="AB11" s="128">
        <v>45.6</v>
      </c>
      <c r="AC11" s="128">
        <v>45.6</v>
      </c>
      <c r="AD11" s="128">
        <v>45.6</v>
      </c>
      <c r="AE11" s="128">
        <v>45.6</v>
      </c>
      <c r="AF11" s="128">
        <v>45.6</v>
      </c>
      <c r="AG11" s="127">
        <v>52.4</v>
      </c>
      <c r="AH11" s="20">
        <f>MAX(B11:AF11)</f>
        <v>53.4</v>
      </c>
      <c r="AI11" s="19">
        <f>MIN(B11:AF11)</f>
        <v>45.5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50.4</v>
      </c>
      <c r="C12" s="105">
        <v>50.9</v>
      </c>
      <c r="D12" s="105">
        <v>50.6</v>
      </c>
      <c r="E12" s="105">
        <v>50.6</v>
      </c>
      <c r="F12" s="105">
        <v>50.6</v>
      </c>
      <c r="G12" s="105">
        <v>50.6</v>
      </c>
      <c r="H12" s="105">
        <v>50.6</v>
      </c>
      <c r="I12" s="105">
        <v>50.6</v>
      </c>
      <c r="J12" s="105">
        <v>50.6</v>
      </c>
      <c r="K12" s="105">
        <v>50.2</v>
      </c>
      <c r="L12" s="105">
        <v>50.2</v>
      </c>
      <c r="M12" s="105">
        <v>50.2</v>
      </c>
      <c r="N12" s="105">
        <v>50.2</v>
      </c>
      <c r="O12" s="105">
        <v>50.2</v>
      </c>
      <c r="P12" s="105">
        <v>50.2</v>
      </c>
      <c r="Q12" s="105">
        <v>50.2</v>
      </c>
      <c r="R12" s="105">
        <v>50.2</v>
      </c>
      <c r="S12" s="105">
        <v>50.4</v>
      </c>
      <c r="T12" s="105">
        <v>50.4</v>
      </c>
      <c r="U12" s="105">
        <v>50.6</v>
      </c>
      <c r="V12" s="105">
        <v>50.5</v>
      </c>
      <c r="W12" s="105">
        <v>50.4</v>
      </c>
      <c r="X12" s="105">
        <v>50.4</v>
      </c>
      <c r="Y12" s="105">
        <v>50.6</v>
      </c>
      <c r="Z12" s="105">
        <v>50.6</v>
      </c>
      <c r="AA12" s="105">
        <v>50.6</v>
      </c>
      <c r="AB12" s="105">
        <v>51</v>
      </c>
      <c r="AC12" s="105">
        <v>51</v>
      </c>
      <c r="AD12" s="105">
        <v>51</v>
      </c>
      <c r="AE12" s="105">
        <v>51</v>
      </c>
      <c r="AF12" s="105">
        <v>51</v>
      </c>
      <c r="AG12" s="126">
        <v>50</v>
      </c>
      <c r="AH12" s="20">
        <f t="shared" ref="AH12:AH75" si="2">MAX(B12:AF12)</f>
        <v>51</v>
      </c>
      <c r="AI12" s="19">
        <f t="shared" ref="AI12:AI75" si="3">MIN(B12:AF12)</f>
        <v>50.2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37</v>
      </c>
      <c r="C13" s="105">
        <v>37</v>
      </c>
      <c r="D13" s="105">
        <v>37.1</v>
      </c>
      <c r="E13" s="105">
        <v>37.1</v>
      </c>
      <c r="F13" s="105">
        <v>37.1</v>
      </c>
      <c r="G13" s="105">
        <v>37.1</v>
      </c>
      <c r="H13" s="105">
        <v>37.1</v>
      </c>
      <c r="I13" s="105">
        <v>37.1</v>
      </c>
      <c r="J13" s="105">
        <v>37.1</v>
      </c>
      <c r="K13" s="105">
        <v>37.1</v>
      </c>
      <c r="L13" s="105">
        <v>37.1</v>
      </c>
      <c r="M13" s="105">
        <v>37.1</v>
      </c>
      <c r="N13" s="105">
        <v>37.1</v>
      </c>
      <c r="O13" s="105">
        <v>37.1</v>
      </c>
      <c r="P13" s="105">
        <v>37.1</v>
      </c>
      <c r="Q13" s="105">
        <v>37.1</v>
      </c>
      <c r="R13" s="105">
        <v>37.1</v>
      </c>
      <c r="S13" s="105">
        <v>37</v>
      </c>
      <c r="T13" s="105">
        <v>37.1</v>
      </c>
      <c r="U13" s="105">
        <v>37.1</v>
      </c>
      <c r="V13" s="105">
        <v>37.1</v>
      </c>
      <c r="W13" s="105">
        <v>37.1</v>
      </c>
      <c r="X13" s="105">
        <v>37.1</v>
      </c>
      <c r="Y13" s="105">
        <v>46.1</v>
      </c>
      <c r="Z13" s="105">
        <v>46.1</v>
      </c>
      <c r="AA13" s="105">
        <v>46.1</v>
      </c>
      <c r="AB13" s="105">
        <v>46.1</v>
      </c>
      <c r="AC13" s="105">
        <v>46.1</v>
      </c>
      <c r="AD13" s="105">
        <v>46.1</v>
      </c>
      <c r="AE13" s="105">
        <v>46.1</v>
      </c>
      <c r="AF13" s="105">
        <v>46.1</v>
      </c>
      <c r="AG13" s="126">
        <v>45</v>
      </c>
      <c r="AH13" s="20">
        <f t="shared" si="2"/>
        <v>46.1</v>
      </c>
      <c r="AI13" s="19">
        <f t="shared" si="3"/>
        <v>37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25</v>
      </c>
      <c r="C14" s="105">
        <v>35</v>
      </c>
      <c r="D14" s="105">
        <v>35</v>
      </c>
      <c r="E14" s="105">
        <v>35</v>
      </c>
      <c r="F14" s="105">
        <v>35</v>
      </c>
      <c r="G14" s="105">
        <v>35</v>
      </c>
      <c r="H14" s="105">
        <v>27</v>
      </c>
      <c r="I14" s="105">
        <v>27</v>
      </c>
      <c r="J14" s="105">
        <v>25</v>
      </c>
      <c r="K14" s="105">
        <v>25</v>
      </c>
      <c r="L14" s="105">
        <v>25</v>
      </c>
      <c r="M14" s="105">
        <v>32</v>
      </c>
      <c r="N14" s="105">
        <v>35</v>
      </c>
      <c r="O14" s="105">
        <v>35</v>
      </c>
      <c r="P14" s="105">
        <v>35</v>
      </c>
      <c r="Q14" s="105">
        <v>35</v>
      </c>
      <c r="R14" s="105">
        <v>20</v>
      </c>
      <c r="S14" s="105">
        <v>20</v>
      </c>
      <c r="T14" s="105">
        <v>20</v>
      </c>
      <c r="U14" s="105">
        <v>20</v>
      </c>
      <c r="V14" s="105">
        <v>20</v>
      </c>
      <c r="W14" s="105">
        <v>25</v>
      </c>
      <c r="X14" s="105">
        <v>25</v>
      </c>
      <c r="Y14" s="105">
        <v>41</v>
      </c>
      <c r="Z14" s="105">
        <v>41</v>
      </c>
      <c r="AA14" s="105">
        <v>41</v>
      </c>
      <c r="AB14" s="105">
        <v>41</v>
      </c>
      <c r="AC14" s="105">
        <v>41</v>
      </c>
      <c r="AD14" s="105">
        <v>39</v>
      </c>
      <c r="AE14" s="105">
        <v>39</v>
      </c>
      <c r="AF14" s="105">
        <v>39</v>
      </c>
      <c r="AG14" s="126">
        <v>42</v>
      </c>
      <c r="AH14" s="20">
        <f t="shared" si="2"/>
        <v>41</v>
      </c>
      <c r="AI14" s="19">
        <f t="shared" si="3"/>
        <v>20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0</v>
      </c>
      <c r="N15" s="105">
        <v>0</v>
      </c>
      <c r="O15" s="105">
        <v>0</v>
      </c>
      <c r="P15" s="105">
        <v>0</v>
      </c>
      <c r="Q15" s="105">
        <v>0</v>
      </c>
      <c r="R15" s="105">
        <v>0</v>
      </c>
      <c r="S15" s="105">
        <v>0</v>
      </c>
      <c r="T15" s="105">
        <v>0</v>
      </c>
      <c r="U15" s="105">
        <v>0</v>
      </c>
      <c r="V15" s="105">
        <v>0</v>
      </c>
      <c r="W15" s="105">
        <v>0</v>
      </c>
      <c r="X15" s="105">
        <v>0</v>
      </c>
      <c r="Y15" s="105">
        <v>0</v>
      </c>
      <c r="Z15" s="105">
        <v>0</v>
      </c>
      <c r="AA15" s="105">
        <v>0</v>
      </c>
      <c r="AB15" s="105">
        <v>6</v>
      </c>
      <c r="AC15" s="105">
        <v>6</v>
      </c>
      <c r="AD15" s="105">
        <v>0</v>
      </c>
      <c r="AE15" s="105">
        <v>0</v>
      </c>
      <c r="AF15" s="105">
        <v>0</v>
      </c>
      <c r="AG15" s="96">
        <v>30</v>
      </c>
      <c r="AH15" s="20">
        <f t="shared" si="2"/>
        <v>6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25.4</v>
      </c>
      <c r="C16" s="105">
        <v>25.4</v>
      </c>
      <c r="D16" s="105">
        <v>25.4</v>
      </c>
      <c r="E16" s="105">
        <v>25.4</v>
      </c>
      <c r="F16" s="105">
        <v>25.4</v>
      </c>
      <c r="G16" s="105">
        <v>25.4</v>
      </c>
      <c r="H16" s="105">
        <v>25.4</v>
      </c>
      <c r="I16" s="105">
        <v>25.4</v>
      </c>
      <c r="J16" s="105">
        <v>25.4</v>
      </c>
      <c r="K16" s="105">
        <v>25.4</v>
      </c>
      <c r="L16" s="105">
        <v>25.4</v>
      </c>
      <c r="M16" s="105">
        <v>25.4</v>
      </c>
      <c r="N16" s="105">
        <v>25.4</v>
      </c>
      <c r="O16" s="105">
        <v>25.4</v>
      </c>
      <c r="P16" s="105">
        <v>25.4</v>
      </c>
      <c r="Q16" s="105">
        <v>25.4</v>
      </c>
      <c r="R16" s="105">
        <v>25.4</v>
      </c>
      <c r="S16" s="105">
        <v>25.4</v>
      </c>
      <c r="T16" s="105">
        <v>20.8</v>
      </c>
      <c r="U16" s="105">
        <v>20.7</v>
      </c>
      <c r="V16" s="105">
        <v>20.7</v>
      </c>
      <c r="W16" s="105">
        <v>20.7</v>
      </c>
      <c r="X16" s="105">
        <v>20.7</v>
      </c>
      <c r="Y16" s="105">
        <v>20.7</v>
      </c>
      <c r="Z16" s="105">
        <v>20.7</v>
      </c>
      <c r="AA16" s="105">
        <v>20.7</v>
      </c>
      <c r="AB16" s="105">
        <v>20.7</v>
      </c>
      <c r="AC16" s="105">
        <v>20.7</v>
      </c>
      <c r="AD16" s="105">
        <v>20.7</v>
      </c>
      <c r="AE16" s="105">
        <v>20.7</v>
      </c>
      <c r="AF16" s="105">
        <v>20.7</v>
      </c>
      <c r="AG16" s="126">
        <v>24.2</v>
      </c>
      <c r="AH16" s="20">
        <f t="shared" si="2"/>
        <v>25.4</v>
      </c>
      <c r="AI16" s="19">
        <f t="shared" si="3"/>
        <v>20.7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0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5">
        <v>0</v>
      </c>
      <c r="O17" s="105">
        <v>0</v>
      </c>
      <c r="P17" s="105">
        <v>0</v>
      </c>
      <c r="Q17" s="105">
        <v>0</v>
      </c>
      <c r="R17" s="105">
        <v>0</v>
      </c>
      <c r="S17" s="105">
        <v>0</v>
      </c>
      <c r="T17" s="105">
        <v>0</v>
      </c>
      <c r="U17" s="105">
        <v>0</v>
      </c>
      <c r="V17" s="105">
        <v>0</v>
      </c>
      <c r="W17" s="105">
        <v>0</v>
      </c>
      <c r="X17" s="105">
        <v>0</v>
      </c>
      <c r="Y17" s="105">
        <v>0</v>
      </c>
      <c r="Z17" s="105">
        <v>0</v>
      </c>
      <c r="AA17" s="105">
        <v>0</v>
      </c>
      <c r="AB17" s="105">
        <v>10</v>
      </c>
      <c r="AC17" s="105">
        <v>10</v>
      </c>
      <c r="AD17" s="105">
        <v>10</v>
      </c>
      <c r="AE17" s="105">
        <v>0</v>
      </c>
      <c r="AF17" s="105">
        <v>0</v>
      </c>
      <c r="AG17" s="96">
        <v>30</v>
      </c>
      <c r="AH17" s="20">
        <f t="shared" si="2"/>
        <v>10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25.5</v>
      </c>
      <c r="C18" s="105">
        <v>25.5</v>
      </c>
      <c r="D18" s="105">
        <v>25.3</v>
      </c>
      <c r="E18" s="105">
        <v>25.3</v>
      </c>
      <c r="F18" s="105">
        <v>25.3</v>
      </c>
      <c r="G18" s="105">
        <v>25.3</v>
      </c>
      <c r="H18" s="105">
        <v>25.3</v>
      </c>
      <c r="I18" s="105">
        <v>25.3</v>
      </c>
      <c r="J18" s="105">
        <v>25.3</v>
      </c>
      <c r="K18" s="105">
        <v>25.3</v>
      </c>
      <c r="L18" s="105">
        <v>25.3</v>
      </c>
      <c r="M18" s="105">
        <v>25.3</v>
      </c>
      <c r="N18" s="105">
        <v>25.3</v>
      </c>
      <c r="O18" s="105">
        <v>25.3</v>
      </c>
      <c r="P18" s="105">
        <v>25.3</v>
      </c>
      <c r="Q18" s="105">
        <v>20.6</v>
      </c>
      <c r="R18" s="105">
        <v>20.6</v>
      </c>
      <c r="S18" s="105">
        <v>20.3</v>
      </c>
      <c r="T18" s="105">
        <v>20.3</v>
      </c>
      <c r="U18" s="105">
        <v>20.3</v>
      </c>
      <c r="V18" s="105">
        <v>20.399999999999999</v>
      </c>
      <c r="W18" s="105">
        <v>20.399999999999999</v>
      </c>
      <c r="X18" s="105">
        <v>20.399999999999999</v>
      </c>
      <c r="Y18" s="105">
        <v>25</v>
      </c>
      <c r="Z18" s="105">
        <v>25</v>
      </c>
      <c r="AA18" s="105">
        <v>25</v>
      </c>
      <c r="AB18" s="105">
        <v>25</v>
      </c>
      <c r="AC18" s="105">
        <v>25</v>
      </c>
      <c r="AD18" s="105">
        <v>25</v>
      </c>
      <c r="AE18" s="105">
        <v>25</v>
      </c>
      <c r="AF18" s="105">
        <v>25</v>
      </c>
      <c r="AG18" s="126">
        <v>25</v>
      </c>
      <c r="AH18" s="20">
        <f t="shared" si="2"/>
        <v>25.5</v>
      </c>
      <c r="AI18" s="19">
        <f t="shared" si="3"/>
        <v>20.3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20</v>
      </c>
      <c r="C19" s="105">
        <v>20</v>
      </c>
      <c r="D19" s="105">
        <v>20</v>
      </c>
      <c r="E19" s="105">
        <v>20</v>
      </c>
      <c r="F19" s="105">
        <v>20</v>
      </c>
      <c r="G19" s="105">
        <v>20</v>
      </c>
      <c r="H19" s="105">
        <v>20</v>
      </c>
      <c r="I19" s="105">
        <v>20</v>
      </c>
      <c r="J19" s="105">
        <v>20</v>
      </c>
      <c r="K19" s="105">
        <v>20</v>
      </c>
      <c r="L19" s="105">
        <v>20</v>
      </c>
      <c r="M19" s="105">
        <v>20</v>
      </c>
      <c r="N19" s="105">
        <v>20</v>
      </c>
      <c r="O19" s="105">
        <v>20</v>
      </c>
      <c r="P19" s="105">
        <v>17</v>
      </c>
      <c r="Q19" s="105">
        <v>17</v>
      </c>
      <c r="R19" s="105">
        <v>17</v>
      </c>
      <c r="S19" s="105">
        <v>17</v>
      </c>
      <c r="T19" s="105">
        <v>17</v>
      </c>
      <c r="U19" s="105">
        <v>17</v>
      </c>
      <c r="V19" s="105">
        <v>17</v>
      </c>
      <c r="W19" s="105">
        <v>17</v>
      </c>
      <c r="X19" s="105">
        <v>17</v>
      </c>
      <c r="Y19" s="105">
        <v>17</v>
      </c>
      <c r="Z19" s="105">
        <v>17</v>
      </c>
      <c r="AA19" s="105">
        <v>17</v>
      </c>
      <c r="AB19" s="105">
        <v>17</v>
      </c>
      <c r="AC19" s="105">
        <v>17</v>
      </c>
      <c r="AD19" s="105">
        <v>17</v>
      </c>
      <c r="AE19" s="105">
        <v>17</v>
      </c>
      <c r="AF19" s="105">
        <v>17</v>
      </c>
      <c r="AG19" s="126">
        <v>25</v>
      </c>
      <c r="AH19" s="20">
        <f t="shared" si="2"/>
        <v>20</v>
      </c>
      <c r="AI19" s="19">
        <f t="shared" si="3"/>
        <v>17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23</v>
      </c>
      <c r="C20" s="105">
        <v>23</v>
      </c>
      <c r="D20" s="105">
        <v>23</v>
      </c>
      <c r="E20" s="105">
        <v>23</v>
      </c>
      <c r="F20" s="105">
        <v>23</v>
      </c>
      <c r="G20" s="105">
        <v>23</v>
      </c>
      <c r="H20" s="105">
        <v>23</v>
      </c>
      <c r="I20" s="105">
        <v>23</v>
      </c>
      <c r="J20" s="105">
        <v>23</v>
      </c>
      <c r="K20" s="105">
        <v>23</v>
      </c>
      <c r="L20" s="105">
        <v>18</v>
      </c>
      <c r="M20" s="105">
        <v>18</v>
      </c>
      <c r="N20" s="105">
        <v>18</v>
      </c>
      <c r="O20" s="105">
        <v>18</v>
      </c>
      <c r="P20" s="105">
        <v>18</v>
      </c>
      <c r="Q20" s="105">
        <v>18</v>
      </c>
      <c r="R20" s="105">
        <v>18</v>
      </c>
      <c r="S20" s="105">
        <v>18</v>
      </c>
      <c r="T20" s="105">
        <v>18</v>
      </c>
      <c r="U20" s="105">
        <v>18</v>
      </c>
      <c r="V20" s="105">
        <v>18</v>
      </c>
      <c r="W20" s="105">
        <v>18</v>
      </c>
      <c r="X20" s="105">
        <v>18</v>
      </c>
      <c r="Y20" s="105">
        <v>18</v>
      </c>
      <c r="Z20" s="105">
        <v>18</v>
      </c>
      <c r="AA20" s="105">
        <v>18</v>
      </c>
      <c r="AB20" s="105">
        <v>18</v>
      </c>
      <c r="AC20" s="105">
        <v>18</v>
      </c>
      <c r="AD20" s="105">
        <v>18</v>
      </c>
      <c r="AE20" s="105">
        <v>18</v>
      </c>
      <c r="AF20" s="105">
        <v>18</v>
      </c>
      <c r="AG20" s="126">
        <v>25</v>
      </c>
      <c r="AH20" s="20">
        <f t="shared" si="2"/>
        <v>23</v>
      </c>
      <c r="AI20" s="19">
        <f t="shared" si="3"/>
        <v>18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23.2</v>
      </c>
      <c r="C21" s="105">
        <v>23.2</v>
      </c>
      <c r="D21" s="105">
        <v>23.2</v>
      </c>
      <c r="E21" s="105">
        <v>23.2</v>
      </c>
      <c r="F21" s="105">
        <v>23.2</v>
      </c>
      <c r="G21" s="105">
        <v>23.2</v>
      </c>
      <c r="H21" s="105">
        <v>23.2</v>
      </c>
      <c r="I21" s="105">
        <v>23.2</v>
      </c>
      <c r="J21" s="105">
        <v>23.2</v>
      </c>
      <c r="K21" s="105">
        <v>23.2</v>
      </c>
      <c r="L21" s="105">
        <v>23.2</v>
      </c>
      <c r="M21" s="105">
        <v>23.2</v>
      </c>
      <c r="N21" s="105">
        <v>23.2</v>
      </c>
      <c r="O21" s="105">
        <v>23.2</v>
      </c>
      <c r="P21" s="105">
        <v>23.2</v>
      </c>
      <c r="Q21" s="105">
        <v>23.2</v>
      </c>
      <c r="R21" s="105">
        <v>23.2</v>
      </c>
      <c r="S21" s="105">
        <v>23.2</v>
      </c>
      <c r="T21" s="105">
        <v>18</v>
      </c>
      <c r="U21" s="105">
        <v>18</v>
      </c>
      <c r="V21" s="105">
        <v>18</v>
      </c>
      <c r="W21" s="105">
        <v>18</v>
      </c>
      <c r="X21" s="105">
        <v>18</v>
      </c>
      <c r="Y21" s="105">
        <v>18</v>
      </c>
      <c r="Z21" s="105">
        <v>18</v>
      </c>
      <c r="AA21" s="105">
        <v>18</v>
      </c>
      <c r="AB21" s="105">
        <v>18</v>
      </c>
      <c r="AC21" s="105">
        <v>18</v>
      </c>
      <c r="AD21" s="105">
        <v>18</v>
      </c>
      <c r="AE21" s="105">
        <v>18</v>
      </c>
      <c r="AF21" s="105">
        <v>18</v>
      </c>
      <c r="AG21" s="126">
        <v>23.5</v>
      </c>
      <c r="AH21" s="20">
        <f t="shared" si="2"/>
        <v>23.2</v>
      </c>
      <c r="AI21" s="19">
        <f t="shared" si="3"/>
        <v>18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20</v>
      </c>
      <c r="C22" s="105">
        <v>20</v>
      </c>
      <c r="D22" s="105">
        <v>20</v>
      </c>
      <c r="E22" s="105">
        <v>20</v>
      </c>
      <c r="F22" s="105">
        <v>20</v>
      </c>
      <c r="G22" s="105">
        <v>20</v>
      </c>
      <c r="H22" s="105">
        <v>20</v>
      </c>
      <c r="I22" s="105">
        <v>20</v>
      </c>
      <c r="J22" s="105">
        <v>20</v>
      </c>
      <c r="K22" s="105">
        <v>20</v>
      </c>
      <c r="L22" s="105">
        <v>20</v>
      </c>
      <c r="M22" s="105">
        <v>20</v>
      </c>
      <c r="N22" s="105">
        <v>20</v>
      </c>
      <c r="O22" s="105">
        <v>20</v>
      </c>
      <c r="P22" s="105">
        <v>20</v>
      </c>
      <c r="Q22" s="105">
        <v>20</v>
      </c>
      <c r="R22" s="105">
        <v>20</v>
      </c>
      <c r="S22" s="105">
        <v>20</v>
      </c>
      <c r="T22" s="105">
        <v>20</v>
      </c>
      <c r="U22" s="105">
        <v>20</v>
      </c>
      <c r="V22" s="105">
        <v>20</v>
      </c>
      <c r="W22" s="105">
        <v>20</v>
      </c>
      <c r="X22" s="105">
        <v>20</v>
      </c>
      <c r="Y22" s="105">
        <v>20</v>
      </c>
      <c r="Z22" s="105">
        <v>20</v>
      </c>
      <c r="AA22" s="105">
        <v>20</v>
      </c>
      <c r="AB22" s="105">
        <v>20</v>
      </c>
      <c r="AC22" s="105">
        <v>20</v>
      </c>
      <c r="AD22" s="105">
        <v>20</v>
      </c>
      <c r="AE22" s="105">
        <v>20</v>
      </c>
      <c r="AF22" s="105">
        <v>20</v>
      </c>
      <c r="AG22" s="126">
        <v>22.2</v>
      </c>
      <c r="AH22" s="20">
        <f t="shared" si="2"/>
        <v>20</v>
      </c>
      <c r="AI22" s="19">
        <f t="shared" si="3"/>
        <v>20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17</v>
      </c>
      <c r="C23" s="105">
        <v>17</v>
      </c>
      <c r="D23" s="105">
        <v>17</v>
      </c>
      <c r="E23" s="105">
        <v>17</v>
      </c>
      <c r="F23" s="105">
        <v>17</v>
      </c>
      <c r="G23" s="105">
        <v>17</v>
      </c>
      <c r="H23" s="105">
        <v>17</v>
      </c>
      <c r="I23" s="105">
        <v>17</v>
      </c>
      <c r="J23" s="105">
        <v>17</v>
      </c>
      <c r="K23" s="105">
        <v>17</v>
      </c>
      <c r="L23" s="105">
        <v>17</v>
      </c>
      <c r="M23" s="105">
        <v>17</v>
      </c>
      <c r="N23" s="105">
        <v>17</v>
      </c>
      <c r="O23" s="105">
        <v>17</v>
      </c>
      <c r="P23" s="105">
        <v>15</v>
      </c>
      <c r="Q23" s="105">
        <v>15</v>
      </c>
      <c r="R23" s="105">
        <v>15</v>
      </c>
      <c r="S23" s="105">
        <v>15</v>
      </c>
      <c r="T23" s="105">
        <v>15</v>
      </c>
      <c r="U23" s="105">
        <v>15</v>
      </c>
      <c r="V23" s="105">
        <v>15</v>
      </c>
      <c r="W23" s="105">
        <v>15</v>
      </c>
      <c r="X23" s="105">
        <v>15</v>
      </c>
      <c r="Y23" s="105">
        <v>15</v>
      </c>
      <c r="Z23" s="105">
        <v>15</v>
      </c>
      <c r="AA23" s="105">
        <v>15</v>
      </c>
      <c r="AB23" s="105">
        <v>15</v>
      </c>
      <c r="AC23" s="105">
        <v>15</v>
      </c>
      <c r="AD23" s="105">
        <v>15</v>
      </c>
      <c r="AE23" s="105">
        <v>15</v>
      </c>
      <c r="AF23" s="105">
        <v>15</v>
      </c>
      <c r="AG23" s="126">
        <v>22.1</v>
      </c>
      <c r="AH23" s="20">
        <f t="shared" si="2"/>
        <v>17</v>
      </c>
      <c r="AI23" s="19">
        <f t="shared" si="3"/>
        <v>15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22</v>
      </c>
      <c r="C24" s="105">
        <v>22</v>
      </c>
      <c r="D24" s="105">
        <v>22</v>
      </c>
      <c r="E24" s="105">
        <v>22</v>
      </c>
      <c r="F24" s="105">
        <v>17.5</v>
      </c>
      <c r="G24" s="105">
        <v>17.5</v>
      </c>
      <c r="H24" s="105">
        <v>17.5</v>
      </c>
      <c r="I24" s="105">
        <v>17.3</v>
      </c>
      <c r="J24" s="105">
        <v>17.5</v>
      </c>
      <c r="K24" s="105">
        <v>17.5</v>
      </c>
      <c r="L24" s="105">
        <v>17.5</v>
      </c>
      <c r="M24" s="105">
        <v>17.5</v>
      </c>
      <c r="N24" s="105">
        <v>17.5</v>
      </c>
      <c r="O24" s="105">
        <v>17.5</v>
      </c>
      <c r="P24" s="105">
        <v>15</v>
      </c>
      <c r="Q24" s="105">
        <v>15</v>
      </c>
      <c r="R24" s="105">
        <v>15</v>
      </c>
      <c r="S24" s="105">
        <v>15</v>
      </c>
      <c r="T24" s="105">
        <v>15</v>
      </c>
      <c r="U24" s="105">
        <v>15</v>
      </c>
      <c r="V24" s="105">
        <v>15</v>
      </c>
      <c r="W24" s="105">
        <v>15</v>
      </c>
      <c r="X24" s="105">
        <v>15</v>
      </c>
      <c r="Y24" s="105">
        <v>15</v>
      </c>
      <c r="Z24" s="105">
        <v>15</v>
      </c>
      <c r="AA24" s="105">
        <v>15</v>
      </c>
      <c r="AB24" s="105">
        <v>15</v>
      </c>
      <c r="AC24" s="105">
        <v>15</v>
      </c>
      <c r="AD24" s="105">
        <v>15</v>
      </c>
      <c r="AE24" s="105">
        <v>15</v>
      </c>
      <c r="AF24" s="105">
        <v>15</v>
      </c>
      <c r="AG24" s="126">
        <v>22</v>
      </c>
      <c r="AH24" s="20">
        <f t="shared" si="2"/>
        <v>22</v>
      </c>
      <c r="AI24" s="19">
        <f t="shared" si="3"/>
        <v>15</v>
      </c>
      <c r="AJ24" s="105">
        <f>400-144-22-30-27-12-10-8-3-80</f>
        <v>64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0</v>
      </c>
      <c r="C25" s="105">
        <v>0</v>
      </c>
      <c r="D25" s="105">
        <v>18</v>
      </c>
      <c r="E25" s="105">
        <v>18</v>
      </c>
      <c r="F25" s="105">
        <v>18</v>
      </c>
      <c r="G25" s="105">
        <v>18</v>
      </c>
      <c r="H25" s="105">
        <v>18</v>
      </c>
      <c r="I25" s="105">
        <v>18</v>
      </c>
      <c r="J25" s="105">
        <v>18</v>
      </c>
      <c r="K25" s="105">
        <v>18</v>
      </c>
      <c r="L25" s="105">
        <v>18</v>
      </c>
      <c r="M25" s="105">
        <v>18</v>
      </c>
      <c r="N25" s="105">
        <v>18</v>
      </c>
      <c r="O25" s="105">
        <v>18</v>
      </c>
      <c r="P25" s="105">
        <v>18</v>
      </c>
      <c r="Q25" s="105">
        <v>18</v>
      </c>
      <c r="R25" s="105">
        <v>18</v>
      </c>
      <c r="S25" s="105">
        <v>18</v>
      </c>
      <c r="T25" s="105">
        <v>18</v>
      </c>
      <c r="U25" s="105">
        <v>18</v>
      </c>
      <c r="V25" s="105">
        <v>18</v>
      </c>
      <c r="W25" s="105">
        <v>18</v>
      </c>
      <c r="X25" s="105">
        <v>18</v>
      </c>
      <c r="Y25" s="105">
        <v>18</v>
      </c>
      <c r="Z25" s="105">
        <v>18</v>
      </c>
      <c r="AA25" s="105">
        <v>18</v>
      </c>
      <c r="AB25" s="105">
        <v>18</v>
      </c>
      <c r="AC25" s="105">
        <v>18</v>
      </c>
      <c r="AD25" s="105">
        <v>18</v>
      </c>
      <c r="AE25" s="105">
        <v>18</v>
      </c>
      <c r="AF25" s="105">
        <v>18</v>
      </c>
      <c r="AG25" s="126">
        <v>22</v>
      </c>
      <c r="AH25" s="20">
        <f t="shared" si="2"/>
        <v>18</v>
      </c>
      <c r="AI25" s="19">
        <f t="shared" si="3"/>
        <v>0</v>
      </c>
      <c r="AJ25" s="105">
        <f>400-170</f>
        <v>230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5</v>
      </c>
      <c r="E26" s="105">
        <v>5</v>
      </c>
      <c r="F26" s="105">
        <v>5</v>
      </c>
      <c r="G26" s="105">
        <v>5</v>
      </c>
      <c r="H26" s="105">
        <v>5</v>
      </c>
      <c r="I26" s="105">
        <v>5</v>
      </c>
      <c r="J26" s="105">
        <v>5</v>
      </c>
      <c r="K26" s="105">
        <v>5</v>
      </c>
      <c r="L26" s="105">
        <v>5</v>
      </c>
      <c r="M26" s="105">
        <v>5</v>
      </c>
      <c r="N26" s="105">
        <v>5</v>
      </c>
      <c r="O26" s="105">
        <v>5</v>
      </c>
      <c r="P26" s="105">
        <v>0</v>
      </c>
      <c r="Q26" s="105">
        <v>0</v>
      </c>
      <c r="R26" s="105">
        <v>0</v>
      </c>
      <c r="S26" s="105">
        <v>0</v>
      </c>
      <c r="T26" s="105">
        <v>0</v>
      </c>
      <c r="U26" s="105">
        <v>0</v>
      </c>
      <c r="V26" s="105">
        <v>0</v>
      </c>
      <c r="W26" s="105">
        <v>0</v>
      </c>
      <c r="X26" s="105">
        <v>0</v>
      </c>
      <c r="Y26" s="105">
        <v>10</v>
      </c>
      <c r="Z26" s="105">
        <v>10</v>
      </c>
      <c r="AA26" s="105">
        <v>10</v>
      </c>
      <c r="AB26" s="105">
        <v>10</v>
      </c>
      <c r="AC26" s="105">
        <v>10</v>
      </c>
      <c r="AD26" s="105">
        <v>10</v>
      </c>
      <c r="AE26" s="105">
        <v>10</v>
      </c>
      <c r="AF26" s="105">
        <v>10</v>
      </c>
      <c r="AG26" s="126">
        <v>20</v>
      </c>
      <c r="AH26" s="20">
        <f t="shared" si="2"/>
        <v>10</v>
      </c>
      <c r="AI26" s="19">
        <f t="shared" si="3"/>
        <v>0</v>
      </c>
      <c r="AJ26" s="105">
        <f>(-30-27-12-10-8-3-80)</f>
        <v>-170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14.9</v>
      </c>
      <c r="C27" s="105">
        <v>14.9</v>
      </c>
      <c r="D27" s="105">
        <v>14.9</v>
      </c>
      <c r="E27" s="105">
        <v>14.9</v>
      </c>
      <c r="F27" s="105">
        <v>14.9</v>
      </c>
      <c r="G27" s="105">
        <v>14.9</v>
      </c>
      <c r="H27" s="105">
        <v>14.9</v>
      </c>
      <c r="I27" s="105">
        <v>14.9</v>
      </c>
      <c r="J27" s="105">
        <v>14.9</v>
      </c>
      <c r="K27" s="105">
        <v>14.9</v>
      </c>
      <c r="L27" s="105">
        <v>14.9</v>
      </c>
      <c r="M27" s="105">
        <v>14.9</v>
      </c>
      <c r="N27" s="105">
        <v>14.9</v>
      </c>
      <c r="O27" s="105">
        <v>14.9</v>
      </c>
      <c r="P27" s="105">
        <v>14.9</v>
      </c>
      <c r="Q27" s="105">
        <v>14.9</v>
      </c>
      <c r="R27" s="105">
        <v>14.9</v>
      </c>
      <c r="S27" s="105">
        <v>14.9</v>
      </c>
      <c r="T27" s="105">
        <v>14.9</v>
      </c>
      <c r="U27" s="105">
        <v>14.9</v>
      </c>
      <c r="V27" s="105">
        <v>14.9</v>
      </c>
      <c r="W27" s="105">
        <v>14.9</v>
      </c>
      <c r="X27" s="105">
        <v>14.9</v>
      </c>
      <c r="Y27" s="105">
        <v>14.9</v>
      </c>
      <c r="Z27" s="105">
        <v>14.9</v>
      </c>
      <c r="AA27" s="105">
        <v>14.9</v>
      </c>
      <c r="AB27" s="105">
        <v>14.9</v>
      </c>
      <c r="AC27" s="105">
        <v>14.9</v>
      </c>
      <c r="AD27" s="105">
        <v>14.9</v>
      </c>
      <c r="AE27" s="105">
        <v>14.9</v>
      </c>
      <c r="AF27" s="105">
        <v>14.9</v>
      </c>
      <c r="AG27" s="126">
        <v>14.9</v>
      </c>
      <c r="AH27" s="20">
        <f t="shared" si="2"/>
        <v>14.9</v>
      </c>
      <c r="AI27" s="19">
        <f t="shared" si="3"/>
        <v>14.9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>
        <v>6.8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>
        <v>6.8</v>
      </c>
      <c r="AE28" s="105">
        <v>6.8</v>
      </c>
      <c r="AF28" s="105">
        <v>6.8</v>
      </c>
      <c r="AG28" s="126">
        <v>13.6</v>
      </c>
      <c r="AH28" s="20">
        <f t="shared" si="2"/>
        <v>6.8</v>
      </c>
      <c r="AI28" s="19">
        <f t="shared" si="3"/>
        <v>6.8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10</v>
      </c>
      <c r="C29" s="105">
        <v>10</v>
      </c>
      <c r="D29" s="105">
        <v>10</v>
      </c>
      <c r="E29" s="105">
        <v>10</v>
      </c>
      <c r="F29" s="105">
        <v>10</v>
      </c>
      <c r="G29" s="105">
        <v>10</v>
      </c>
      <c r="H29" s="105">
        <v>10</v>
      </c>
      <c r="I29" s="105">
        <v>10</v>
      </c>
      <c r="J29" s="105">
        <v>10</v>
      </c>
      <c r="K29" s="105">
        <v>10</v>
      </c>
      <c r="L29" s="105">
        <v>10</v>
      </c>
      <c r="M29" s="105">
        <v>10</v>
      </c>
      <c r="N29" s="105">
        <v>10</v>
      </c>
      <c r="O29" s="105">
        <v>10</v>
      </c>
      <c r="P29" s="105">
        <v>10</v>
      </c>
      <c r="Q29" s="105">
        <v>10</v>
      </c>
      <c r="R29" s="105">
        <v>10</v>
      </c>
      <c r="S29" s="105">
        <v>10</v>
      </c>
      <c r="T29" s="105">
        <v>10</v>
      </c>
      <c r="U29" s="105">
        <v>10</v>
      </c>
      <c r="V29" s="105">
        <v>10</v>
      </c>
      <c r="W29" s="105">
        <v>10</v>
      </c>
      <c r="X29" s="105">
        <v>10</v>
      </c>
      <c r="Y29" s="105">
        <v>10</v>
      </c>
      <c r="Z29" s="105">
        <v>10</v>
      </c>
      <c r="AA29" s="105">
        <v>10</v>
      </c>
      <c r="AB29" s="105">
        <v>10</v>
      </c>
      <c r="AC29" s="105">
        <v>10</v>
      </c>
      <c r="AD29" s="105">
        <v>10</v>
      </c>
      <c r="AE29" s="105">
        <v>10</v>
      </c>
      <c r="AF29" s="105">
        <v>10</v>
      </c>
      <c r="AG29" s="126">
        <v>13</v>
      </c>
      <c r="AH29" s="20">
        <f t="shared" si="2"/>
        <v>10</v>
      </c>
      <c r="AI29" s="19">
        <f t="shared" si="3"/>
        <v>10</v>
      </c>
      <c r="AJ29" s="105">
        <v>200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0</v>
      </c>
      <c r="N30" s="105">
        <v>0</v>
      </c>
      <c r="O30" s="105">
        <v>0</v>
      </c>
      <c r="P30" s="105">
        <v>0</v>
      </c>
      <c r="Q30" s="105">
        <v>0</v>
      </c>
      <c r="R30" s="105">
        <v>0</v>
      </c>
      <c r="S30" s="105">
        <v>0</v>
      </c>
      <c r="T30" s="105">
        <v>0</v>
      </c>
      <c r="U30" s="105">
        <v>0</v>
      </c>
      <c r="V30" s="105">
        <v>0</v>
      </c>
      <c r="W30" s="105">
        <v>0</v>
      </c>
      <c r="X30" s="105">
        <v>0</v>
      </c>
      <c r="Y30" s="105">
        <v>6</v>
      </c>
      <c r="Z30" s="105">
        <v>6</v>
      </c>
      <c r="AA30" s="105">
        <v>6</v>
      </c>
      <c r="AB30" s="105">
        <v>3</v>
      </c>
      <c r="AC30" s="105">
        <v>3</v>
      </c>
      <c r="AD30" s="105">
        <v>3</v>
      </c>
      <c r="AE30" s="105">
        <v>0</v>
      </c>
      <c r="AF30" s="105">
        <v>0</v>
      </c>
      <c r="AG30" s="126">
        <v>12</v>
      </c>
      <c r="AH30" s="20">
        <f t="shared" si="2"/>
        <v>6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12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>
        <v>12</v>
      </c>
      <c r="AE31" s="105">
        <v>12</v>
      </c>
      <c r="AF31" s="105">
        <v>12</v>
      </c>
      <c r="AG31" s="126">
        <v>12</v>
      </c>
      <c r="AH31" s="20">
        <f t="shared" si="2"/>
        <v>12</v>
      </c>
      <c r="AI31" s="19">
        <f t="shared" si="3"/>
        <v>12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2</v>
      </c>
      <c r="C32" s="105">
        <v>2</v>
      </c>
      <c r="D32" s="105">
        <v>2</v>
      </c>
      <c r="E32" s="105">
        <v>2</v>
      </c>
      <c r="F32" s="105">
        <v>2</v>
      </c>
      <c r="G32" s="105">
        <v>2</v>
      </c>
      <c r="H32" s="105">
        <v>2</v>
      </c>
      <c r="I32" s="105">
        <v>2</v>
      </c>
      <c r="J32" s="105">
        <v>2</v>
      </c>
      <c r="K32" s="105">
        <v>2</v>
      </c>
      <c r="L32" s="105">
        <v>2</v>
      </c>
      <c r="M32" s="105">
        <v>2</v>
      </c>
      <c r="N32" s="105">
        <v>2</v>
      </c>
      <c r="O32" s="105">
        <v>2</v>
      </c>
      <c r="P32" s="105">
        <v>2</v>
      </c>
      <c r="Q32" s="105">
        <v>2</v>
      </c>
      <c r="R32" s="105">
        <v>2</v>
      </c>
      <c r="S32" s="105">
        <v>2</v>
      </c>
      <c r="T32" s="105">
        <v>2</v>
      </c>
      <c r="U32" s="105">
        <v>2</v>
      </c>
      <c r="V32" s="105">
        <v>2</v>
      </c>
      <c r="W32" s="105">
        <v>2</v>
      </c>
      <c r="X32" s="105">
        <v>2</v>
      </c>
      <c r="Y32" s="105">
        <v>2</v>
      </c>
      <c r="Z32" s="105">
        <v>2</v>
      </c>
      <c r="AA32" s="105">
        <v>2</v>
      </c>
      <c r="AB32" s="105">
        <v>2</v>
      </c>
      <c r="AC32" s="105">
        <v>2</v>
      </c>
      <c r="AD32" s="105">
        <v>2</v>
      </c>
      <c r="AE32" s="105">
        <v>2</v>
      </c>
      <c r="AF32" s="105">
        <v>2</v>
      </c>
      <c r="AG32" s="126">
        <v>12</v>
      </c>
      <c r="AH32" s="20">
        <f t="shared" si="2"/>
        <v>2</v>
      </c>
      <c r="AI32" s="19">
        <f t="shared" si="3"/>
        <v>2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10</v>
      </c>
      <c r="C33" s="105">
        <v>10</v>
      </c>
      <c r="D33" s="105">
        <v>10</v>
      </c>
      <c r="E33" s="105">
        <v>10</v>
      </c>
      <c r="F33" s="105">
        <v>10</v>
      </c>
      <c r="G33" s="105">
        <v>10</v>
      </c>
      <c r="H33" s="105">
        <v>10</v>
      </c>
      <c r="I33" s="105">
        <v>10</v>
      </c>
      <c r="J33" s="105">
        <v>10</v>
      </c>
      <c r="K33" s="105">
        <v>10</v>
      </c>
      <c r="L33" s="105">
        <v>10</v>
      </c>
      <c r="M33" s="105">
        <v>10</v>
      </c>
      <c r="N33" s="105">
        <v>10</v>
      </c>
      <c r="O33" s="105">
        <v>10</v>
      </c>
      <c r="P33" s="105">
        <v>10</v>
      </c>
      <c r="Q33" s="105">
        <v>10</v>
      </c>
      <c r="R33" s="105">
        <v>10</v>
      </c>
      <c r="S33" s="105">
        <v>0</v>
      </c>
      <c r="T33" s="105">
        <v>0</v>
      </c>
      <c r="U33" s="105">
        <v>0</v>
      </c>
      <c r="V33" s="105">
        <v>0</v>
      </c>
      <c r="W33" s="105">
        <v>0</v>
      </c>
      <c r="X33" s="105">
        <v>0</v>
      </c>
      <c r="Y33" s="105">
        <v>0</v>
      </c>
      <c r="Z33" s="105">
        <v>0</v>
      </c>
      <c r="AA33" s="105">
        <v>0</v>
      </c>
      <c r="AB33" s="105">
        <v>0</v>
      </c>
      <c r="AC33" s="105">
        <v>0</v>
      </c>
      <c r="AD33" s="105">
        <v>0</v>
      </c>
      <c r="AE33" s="105">
        <v>0</v>
      </c>
      <c r="AF33" s="105">
        <v>0</v>
      </c>
      <c r="AG33" s="125">
        <v>22</v>
      </c>
      <c r="AH33" s="20">
        <f t="shared" si="2"/>
        <v>10</v>
      </c>
      <c r="AI33" s="19">
        <f t="shared" si="3"/>
        <v>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11</v>
      </c>
      <c r="C34" s="105">
        <v>11</v>
      </c>
      <c r="D34" s="105">
        <v>11</v>
      </c>
      <c r="E34" s="105">
        <v>11</v>
      </c>
      <c r="F34" s="105">
        <v>11</v>
      </c>
      <c r="G34" s="105">
        <v>11</v>
      </c>
      <c r="H34" s="105">
        <v>11</v>
      </c>
      <c r="I34" s="105">
        <v>11</v>
      </c>
      <c r="J34" s="105">
        <v>11</v>
      </c>
      <c r="K34" s="105">
        <v>11</v>
      </c>
      <c r="L34" s="105">
        <v>11</v>
      </c>
      <c r="M34" s="105">
        <v>11</v>
      </c>
      <c r="N34" s="105">
        <v>11</v>
      </c>
      <c r="O34" s="105">
        <v>11</v>
      </c>
      <c r="P34" s="105">
        <v>11</v>
      </c>
      <c r="Q34" s="105">
        <v>11</v>
      </c>
      <c r="R34" s="105">
        <v>11</v>
      </c>
      <c r="S34" s="105">
        <v>11</v>
      </c>
      <c r="T34" s="105">
        <v>11</v>
      </c>
      <c r="U34" s="105">
        <v>11</v>
      </c>
      <c r="V34" s="105">
        <v>11</v>
      </c>
      <c r="W34" s="105">
        <v>11</v>
      </c>
      <c r="X34" s="105">
        <v>11</v>
      </c>
      <c r="Y34" s="105">
        <v>11</v>
      </c>
      <c r="Z34" s="105">
        <v>11</v>
      </c>
      <c r="AA34" s="105">
        <v>11</v>
      </c>
      <c r="AB34" s="105">
        <v>11</v>
      </c>
      <c r="AC34" s="105">
        <v>11</v>
      </c>
      <c r="AD34" s="105">
        <v>11</v>
      </c>
      <c r="AE34" s="105">
        <v>11</v>
      </c>
      <c r="AF34" s="105">
        <v>11</v>
      </c>
      <c r="AG34" s="96">
        <v>11.88</v>
      </c>
      <c r="AH34" s="20">
        <f t="shared" si="2"/>
        <v>11</v>
      </c>
      <c r="AI34" s="19">
        <f t="shared" si="3"/>
        <v>11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>
        <v>11</v>
      </c>
      <c r="AG35" s="94">
        <v>11</v>
      </c>
      <c r="AH35" s="20">
        <f t="shared" si="2"/>
        <v>11</v>
      </c>
      <c r="AI35" s="19">
        <f t="shared" si="3"/>
        <v>11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>
        <v>9</v>
      </c>
      <c r="E36" s="105">
        <v>9</v>
      </c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>
        <v>9</v>
      </c>
      <c r="N36" s="105">
        <v>9</v>
      </c>
      <c r="O36" s="105">
        <v>9</v>
      </c>
      <c r="P36" s="105">
        <v>9</v>
      </c>
      <c r="Q36" s="105">
        <v>9</v>
      </c>
      <c r="R36" s="105">
        <v>9</v>
      </c>
      <c r="S36" s="105">
        <v>9</v>
      </c>
      <c r="T36" s="105">
        <v>9</v>
      </c>
      <c r="U36" s="105">
        <v>9</v>
      </c>
      <c r="V36" s="105">
        <v>9</v>
      </c>
      <c r="W36" s="105">
        <v>9</v>
      </c>
      <c r="X36" s="105">
        <v>9</v>
      </c>
      <c r="Y36" s="105">
        <v>9</v>
      </c>
      <c r="Z36" s="105">
        <v>9</v>
      </c>
      <c r="AA36" s="105">
        <v>9</v>
      </c>
      <c r="AB36" s="105">
        <v>9</v>
      </c>
      <c r="AC36" s="105">
        <v>9</v>
      </c>
      <c r="AD36" s="105">
        <v>9</v>
      </c>
      <c r="AE36" s="105">
        <v>9</v>
      </c>
      <c r="AF36" s="105">
        <v>9</v>
      </c>
      <c r="AG36" s="94">
        <v>10</v>
      </c>
      <c r="AH36" s="20">
        <f t="shared" si="2"/>
        <v>9</v>
      </c>
      <c r="AI36" s="19">
        <f t="shared" si="3"/>
        <v>9</v>
      </c>
      <c r="AJ36" s="105">
        <v>434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5">
        <v>0</v>
      </c>
      <c r="O37" s="105">
        <v>0</v>
      </c>
      <c r="P37" s="105">
        <v>0</v>
      </c>
      <c r="Q37" s="105">
        <v>0</v>
      </c>
      <c r="R37" s="105">
        <v>0</v>
      </c>
      <c r="S37" s="105">
        <v>0</v>
      </c>
      <c r="T37" s="105">
        <v>0</v>
      </c>
      <c r="U37" s="105">
        <v>0</v>
      </c>
      <c r="V37" s="105">
        <v>0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0</v>
      </c>
      <c r="AI37" s="19">
        <f t="shared" si="3"/>
        <v>0</v>
      </c>
      <c r="AJ37" s="113">
        <f>(310+45.7+21)</f>
        <v>376.7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280</v>
      </c>
      <c r="C38" s="113">
        <v>280</v>
      </c>
      <c r="D38" s="113">
        <v>280</v>
      </c>
      <c r="E38" s="113">
        <v>280</v>
      </c>
      <c r="F38" s="113">
        <v>280</v>
      </c>
      <c r="G38" s="113">
        <v>280</v>
      </c>
      <c r="H38" s="113">
        <v>280</v>
      </c>
      <c r="I38" s="113">
        <v>280</v>
      </c>
      <c r="J38" s="113">
        <v>280</v>
      </c>
      <c r="K38" s="113">
        <v>280</v>
      </c>
      <c r="L38" s="113">
        <v>280</v>
      </c>
      <c r="M38" s="113">
        <v>280</v>
      </c>
      <c r="N38" s="113">
        <v>280</v>
      </c>
      <c r="O38" s="113">
        <v>280</v>
      </c>
      <c r="P38" s="113">
        <v>280</v>
      </c>
      <c r="Q38" s="113">
        <v>280</v>
      </c>
      <c r="R38" s="113">
        <v>280</v>
      </c>
      <c r="S38" s="113">
        <v>280</v>
      </c>
      <c r="T38" s="113">
        <v>280</v>
      </c>
      <c r="U38" s="113">
        <v>280</v>
      </c>
      <c r="V38" s="113">
        <v>280</v>
      </c>
      <c r="W38" s="113">
        <v>280</v>
      </c>
      <c r="X38" s="113">
        <v>280</v>
      </c>
      <c r="Y38" s="113">
        <v>280</v>
      </c>
      <c r="Z38" s="113">
        <v>280</v>
      </c>
      <c r="AA38" s="113">
        <v>280</v>
      </c>
      <c r="AB38" s="113">
        <v>280</v>
      </c>
      <c r="AC38" s="113">
        <v>280</v>
      </c>
      <c r="AD38" s="113">
        <v>280</v>
      </c>
      <c r="AE38" s="113">
        <v>280</v>
      </c>
      <c r="AF38" s="113">
        <v>280</v>
      </c>
      <c r="AG38" s="94">
        <v>85</v>
      </c>
      <c r="AH38" s="20">
        <f t="shared" si="2"/>
        <v>280</v>
      </c>
      <c r="AI38" s="19">
        <f t="shared" si="3"/>
        <v>280</v>
      </c>
      <c r="AJ38" s="105">
        <f>AJ36-AJ37</f>
        <v>57.300000000000011</v>
      </c>
      <c r="AK38" s="41"/>
    </row>
    <row r="39" spans="1:88" ht="15.75" thickBot="1" x14ac:dyDescent="0.3">
      <c r="A39" s="120" t="s">
        <v>196</v>
      </c>
      <c r="B39" s="119">
        <f>74.6+93.3</f>
        <v>167.89999999999998</v>
      </c>
      <c r="C39" s="119">
        <f>74+93.8</f>
        <v>167.8</v>
      </c>
      <c r="D39" s="119">
        <f>73.9+93.9</f>
        <v>167.8</v>
      </c>
      <c r="E39" s="119">
        <f t="shared" ref="E39" si="4">73.9+93.9</f>
        <v>167.8</v>
      </c>
      <c r="F39" s="119">
        <f>74.7+92.7</f>
        <v>167.4</v>
      </c>
      <c r="G39" s="119">
        <f t="shared" ref="G39:H39" si="5">74.7+92.7</f>
        <v>167.4</v>
      </c>
      <c r="H39" s="119">
        <f t="shared" si="5"/>
        <v>167.4</v>
      </c>
      <c r="I39" s="119">
        <f>74.5+89</f>
        <v>163.5</v>
      </c>
      <c r="J39" s="119">
        <f>73.5+89.1</f>
        <v>162.6</v>
      </c>
      <c r="K39" s="119">
        <f>73.5+89.1</f>
        <v>162.6</v>
      </c>
      <c r="L39" s="119">
        <f>73.6+89.5</f>
        <v>163.1</v>
      </c>
      <c r="M39" s="113">
        <f>89.7+74</f>
        <v>163.69999999999999</v>
      </c>
      <c r="N39" s="113">
        <f>73.7+86.1</f>
        <v>159.80000000000001</v>
      </c>
      <c r="O39" s="113">
        <f>89+71</f>
        <v>160</v>
      </c>
      <c r="P39" s="113">
        <f>84+69.1</f>
        <v>153.1</v>
      </c>
      <c r="Q39" s="113">
        <f>84.4+69.7</f>
        <v>154.10000000000002</v>
      </c>
      <c r="R39" s="113">
        <f>85.2+71.1</f>
        <v>156.30000000000001</v>
      </c>
      <c r="S39" s="113">
        <f>71.5+60.2</f>
        <v>131.69999999999999</v>
      </c>
      <c r="T39" s="113">
        <f>71.3+61.3</f>
        <v>132.6</v>
      </c>
      <c r="U39" s="113">
        <f>70.8+60.7</f>
        <v>131.5</v>
      </c>
      <c r="V39" s="113">
        <f>71+70.3</f>
        <v>141.30000000000001</v>
      </c>
      <c r="W39" s="113">
        <v>142</v>
      </c>
      <c r="X39" s="113">
        <f t="shared" ref="X39" si="6">72.2+53.9</f>
        <v>126.1</v>
      </c>
      <c r="Y39" s="113">
        <v>147.19999999999999</v>
      </c>
      <c r="Z39" s="113">
        <v>147.19999999999999</v>
      </c>
      <c r="AA39" s="113">
        <v>147.19999999999999</v>
      </c>
      <c r="AB39" s="119">
        <f>74.5+79.2</f>
        <v>153.69999999999999</v>
      </c>
      <c r="AC39" s="119">
        <f>74.5+79.2</f>
        <v>153.69999999999999</v>
      </c>
      <c r="AD39" s="119">
        <f>74.5+79.2</f>
        <v>153.69999999999999</v>
      </c>
      <c r="AE39" s="119">
        <f>74.5+79.2</f>
        <v>153.69999999999999</v>
      </c>
      <c r="AF39" s="119">
        <f>74.5+79.2</f>
        <v>153.69999999999999</v>
      </c>
      <c r="AG39" s="94">
        <v>240</v>
      </c>
      <c r="AH39" s="20">
        <f t="shared" si="2"/>
        <v>167.89999999999998</v>
      </c>
      <c r="AI39" s="19">
        <f t="shared" si="3"/>
        <v>126.1</v>
      </c>
      <c r="AK39" s="41"/>
    </row>
    <row r="40" spans="1:88" ht="15.75" thickBot="1" x14ac:dyDescent="0.3">
      <c r="A40" s="118" t="s">
        <v>195</v>
      </c>
      <c r="B40" s="86">
        <f t="shared" ref="B40" si="7">SUM(B11:B38)</f>
        <v>708.6</v>
      </c>
      <c r="C40" s="86">
        <f t="shared" ref="C40:AG40" si="8">SUM(C11:C38)</f>
        <v>716.2</v>
      </c>
      <c r="D40" s="86">
        <f t="shared" si="8"/>
        <v>738.7</v>
      </c>
      <c r="E40" s="86">
        <f t="shared" si="8"/>
        <v>738.7</v>
      </c>
      <c r="F40" s="86">
        <f t="shared" si="8"/>
        <v>734.2</v>
      </c>
      <c r="G40" s="86">
        <f t="shared" si="8"/>
        <v>734.2</v>
      </c>
      <c r="H40" s="86">
        <f t="shared" si="8"/>
        <v>726.2</v>
      </c>
      <c r="I40" s="86">
        <f t="shared" si="8"/>
        <v>726</v>
      </c>
      <c r="J40" s="86">
        <f t="shared" si="8"/>
        <v>724.2</v>
      </c>
      <c r="K40" s="86">
        <f t="shared" si="8"/>
        <v>723.9</v>
      </c>
      <c r="L40" s="86">
        <f t="shared" si="8"/>
        <v>718.90000000000009</v>
      </c>
      <c r="M40" s="86">
        <f t="shared" si="8"/>
        <v>725.9</v>
      </c>
      <c r="N40" s="86">
        <f t="shared" si="8"/>
        <v>728.9</v>
      </c>
      <c r="O40" s="86">
        <f t="shared" si="8"/>
        <v>728.9</v>
      </c>
      <c r="P40" s="86">
        <f t="shared" si="8"/>
        <v>716.4</v>
      </c>
      <c r="Q40" s="86">
        <f t="shared" si="8"/>
        <v>711.7</v>
      </c>
      <c r="R40" s="86">
        <f t="shared" si="8"/>
        <v>696.7</v>
      </c>
      <c r="S40" s="86">
        <f t="shared" si="8"/>
        <v>686.5</v>
      </c>
      <c r="T40" s="86">
        <f t="shared" si="8"/>
        <v>671.8</v>
      </c>
      <c r="U40" s="86">
        <f t="shared" si="8"/>
        <v>672</v>
      </c>
      <c r="V40" s="86">
        <f t="shared" si="8"/>
        <v>671.9</v>
      </c>
      <c r="W40" s="86">
        <f t="shared" si="8"/>
        <v>676.9</v>
      </c>
      <c r="X40" s="86">
        <f t="shared" si="8"/>
        <v>676.9</v>
      </c>
      <c r="Y40" s="86">
        <f t="shared" si="8"/>
        <v>722.59999999999991</v>
      </c>
      <c r="Z40" s="86">
        <f t="shared" si="8"/>
        <v>722.59999999999991</v>
      </c>
      <c r="AA40" s="86">
        <f t="shared" si="8"/>
        <v>722.59999999999991</v>
      </c>
      <c r="AB40" s="86">
        <f t="shared" si="8"/>
        <v>736.09999999999991</v>
      </c>
      <c r="AC40" s="86">
        <f t="shared" si="8"/>
        <v>736.09999999999991</v>
      </c>
      <c r="AD40" s="86">
        <f t="shared" si="8"/>
        <v>728.09999999999991</v>
      </c>
      <c r="AE40" s="86">
        <f t="shared" si="8"/>
        <v>715.09999999999991</v>
      </c>
      <c r="AF40" s="86">
        <f t="shared" si="8"/>
        <v>715.09999999999991</v>
      </c>
      <c r="AG40" s="101">
        <f t="shared" si="8"/>
        <v>707.78000000000009</v>
      </c>
      <c r="AH40" s="20">
        <f t="shared" si="2"/>
        <v>738.7</v>
      </c>
      <c r="AI40" s="19">
        <f t="shared" si="3"/>
        <v>671.8</v>
      </c>
      <c r="AK40" s="41"/>
    </row>
    <row r="41" spans="1:88" x14ac:dyDescent="0.25">
      <c r="A41" s="117" t="s">
        <v>194</v>
      </c>
      <c r="B41" s="105">
        <v>330</v>
      </c>
      <c r="C41" s="105">
        <v>330</v>
      </c>
      <c r="D41" s="105">
        <v>330</v>
      </c>
      <c r="E41" s="105">
        <v>330</v>
      </c>
      <c r="F41" s="105">
        <v>330</v>
      </c>
      <c r="G41" s="105">
        <v>330</v>
      </c>
      <c r="H41" s="105">
        <v>300</v>
      </c>
      <c r="I41" s="105">
        <v>300</v>
      </c>
      <c r="J41" s="105">
        <v>290</v>
      </c>
      <c r="K41" s="105">
        <v>290</v>
      </c>
      <c r="L41" s="105">
        <v>290</v>
      </c>
      <c r="M41" s="105">
        <v>290</v>
      </c>
      <c r="N41" s="105">
        <v>290</v>
      </c>
      <c r="O41" s="105">
        <v>280</v>
      </c>
      <c r="P41" s="105">
        <v>280</v>
      </c>
      <c r="Q41" s="105">
        <v>280</v>
      </c>
      <c r="R41" s="105">
        <v>280</v>
      </c>
      <c r="S41" s="105">
        <v>280</v>
      </c>
      <c r="T41" s="105">
        <v>240</v>
      </c>
      <c r="U41" s="105">
        <v>270</v>
      </c>
      <c r="V41" s="105">
        <v>270</v>
      </c>
      <c r="W41" s="105">
        <v>290</v>
      </c>
      <c r="X41" s="105">
        <v>290</v>
      </c>
      <c r="Y41" s="105">
        <v>420</v>
      </c>
      <c r="Z41" s="105">
        <v>400</v>
      </c>
      <c r="AA41" s="105">
        <v>380</v>
      </c>
      <c r="AB41" s="105">
        <v>345</v>
      </c>
      <c r="AC41" s="105">
        <v>380</v>
      </c>
      <c r="AD41" s="105">
        <v>380</v>
      </c>
      <c r="AE41" s="105">
        <v>330</v>
      </c>
      <c r="AF41" s="105">
        <v>330</v>
      </c>
      <c r="AG41" s="96">
        <v>456</v>
      </c>
      <c r="AH41" s="20">
        <f t="shared" si="2"/>
        <v>420</v>
      </c>
      <c r="AI41" s="19">
        <f t="shared" si="3"/>
        <v>240</v>
      </c>
      <c r="AK41" s="41"/>
    </row>
    <row r="42" spans="1:88" x14ac:dyDescent="0.25">
      <c r="A42" s="116" t="s">
        <v>193</v>
      </c>
      <c r="B42" s="80">
        <v>60</v>
      </c>
      <c r="C42" s="80">
        <v>40</v>
      </c>
      <c r="D42" s="80">
        <v>40</v>
      </c>
      <c r="E42" s="80">
        <v>40</v>
      </c>
      <c r="F42" s="80">
        <v>40</v>
      </c>
      <c r="G42" s="80">
        <v>40</v>
      </c>
      <c r="H42" s="80">
        <v>40</v>
      </c>
      <c r="I42" s="80">
        <v>40</v>
      </c>
      <c r="J42" s="80">
        <v>40</v>
      </c>
      <c r="K42" s="80">
        <v>40</v>
      </c>
      <c r="L42" s="80">
        <v>40</v>
      </c>
      <c r="M42" s="80">
        <v>40</v>
      </c>
      <c r="N42" s="80">
        <v>40</v>
      </c>
      <c r="O42" s="80">
        <v>40</v>
      </c>
      <c r="P42" s="80">
        <v>40</v>
      </c>
      <c r="Q42" s="80">
        <v>40</v>
      </c>
      <c r="R42" s="80">
        <v>40</v>
      </c>
      <c r="S42" s="80">
        <v>40</v>
      </c>
      <c r="T42" s="80">
        <v>40</v>
      </c>
      <c r="U42" s="80">
        <v>40</v>
      </c>
      <c r="V42" s="80">
        <v>40</v>
      </c>
      <c r="W42" s="80">
        <v>40</v>
      </c>
      <c r="X42" s="80">
        <v>40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40</v>
      </c>
      <c r="AG42" s="94">
        <v>60</v>
      </c>
      <c r="AH42" s="20">
        <f t="shared" si="2"/>
        <v>60</v>
      </c>
      <c r="AI42" s="19">
        <f t="shared" si="3"/>
        <v>40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>
        <v>22</v>
      </c>
      <c r="S43" s="107">
        <v>22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>
        <v>22</v>
      </c>
      <c r="AG43" s="106">
        <v>22.1</v>
      </c>
      <c r="AH43" s="20">
        <f t="shared" si="2"/>
        <v>22</v>
      </c>
      <c r="AI43" s="19">
        <f t="shared" si="3"/>
        <v>22</v>
      </c>
      <c r="AK43" s="41"/>
    </row>
    <row r="44" spans="1:88" ht="15.75" thickBot="1" x14ac:dyDescent="0.3">
      <c r="A44" s="114" t="s">
        <v>191</v>
      </c>
      <c r="B44" s="86">
        <f t="shared" ref="B44" si="9">SUM(B41:B43)</f>
        <v>412</v>
      </c>
      <c r="C44" s="86">
        <f t="shared" ref="C44:AG44" si="10">SUM(C41:C43)</f>
        <v>392</v>
      </c>
      <c r="D44" s="86">
        <f t="shared" si="10"/>
        <v>392</v>
      </c>
      <c r="E44" s="86">
        <f t="shared" si="10"/>
        <v>392</v>
      </c>
      <c r="F44" s="86">
        <f t="shared" si="10"/>
        <v>392</v>
      </c>
      <c r="G44" s="86">
        <f t="shared" si="10"/>
        <v>392</v>
      </c>
      <c r="H44" s="86">
        <f t="shared" si="10"/>
        <v>362</v>
      </c>
      <c r="I44" s="86">
        <f t="shared" si="10"/>
        <v>362</v>
      </c>
      <c r="J44" s="86">
        <f t="shared" si="10"/>
        <v>352</v>
      </c>
      <c r="K44" s="86">
        <f t="shared" si="10"/>
        <v>352</v>
      </c>
      <c r="L44" s="86">
        <f t="shared" si="10"/>
        <v>352</v>
      </c>
      <c r="M44" s="86">
        <f t="shared" si="10"/>
        <v>352</v>
      </c>
      <c r="N44" s="86">
        <f t="shared" si="10"/>
        <v>352</v>
      </c>
      <c r="O44" s="86">
        <f t="shared" si="10"/>
        <v>342</v>
      </c>
      <c r="P44" s="86">
        <f t="shared" si="10"/>
        <v>342</v>
      </c>
      <c r="Q44" s="86">
        <f t="shared" si="10"/>
        <v>342</v>
      </c>
      <c r="R44" s="86">
        <f t="shared" si="10"/>
        <v>342</v>
      </c>
      <c r="S44" s="86">
        <f t="shared" si="10"/>
        <v>342</v>
      </c>
      <c r="T44" s="86">
        <f t="shared" si="10"/>
        <v>302</v>
      </c>
      <c r="U44" s="86">
        <f t="shared" si="10"/>
        <v>332</v>
      </c>
      <c r="V44" s="86">
        <f t="shared" si="10"/>
        <v>332</v>
      </c>
      <c r="W44" s="86">
        <f t="shared" si="10"/>
        <v>352</v>
      </c>
      <c r="X44" s="86">
        <f t="shared" si="10"/>
        <v>352</v>
      </c>
      <c r="Y44" s="86">
        <f t="shared" si="10"/>
        <v>502</v>
      </c>
      <c r="Z44" s="86">
        <f t="shared" si="10"/>
        <v>482</v>
      </c>
      <c r="AA44" s="86">
        <f t="shared" si="10"/>
        <v>462</v>
      </c>
      <c r="AB44" s="86">
        <f t="shared" si="10"/>
        <v>427</v>
      </c>
      <c r="AC44" s="86">
        <f t="shared" si="10"/>
        <v>462</v>
      </c>
      <c r="AD44" s="86">
        <f t="shared" si="10"/>
        <v>462</v>
      </c>
      <c r="AE44" s="86">
        <f t="shared" si="10"/>
        <v>412</v>
      </c>
      <c r="AF44" s="86">
        <f t="shared" si="10"/>
        <v>392</v>
      </c>
      <c r="AG44" s="101">
        <f t="shared" si="10"/>
        <v>538.1</v>
      </c>
      <c r="AH44" s="20">
        <f t="shared" si="2"/>
        <v>502</v>
      </c>
      <c r="AI44" s="19">
        <f t="shared" si="3"/>
        <v>302</v>
      </c>
      <c r="AK44" s="41"/>
    </row>
    <row r="45" spans="1:88" x14ac:dyDescent="0.25">
      <c r="A45" s="97" t="s">
        <v>190</v>
      </c>
      <c r="B45" s="105">
        <v>96.9</v>
      </c>
      <c r="C45" s="105">
        <v>0</v>
      </c>
      <c r="D45" s="105">
        <v>0</v>
      </c>
      <c r="E45" s="105">
        <v>0</v>
      </c>
      <c r="F45" s="105">
        <v>0</v>
      </c>
      <c r="G45" s="105">
        <v>0</v>
      </c>
      <c r="H45" s="105">
        <v>0</v>
      </c>
      <c r="I45" s="105">
        <v>0</v>
      </c>
      <c r="J45" s="105">
        <v>0</v>
      </c>
      <c r="K45" s="105">
        <v>0</v>
      </c>
      <c r="L45" s="105">
        <v>0</v>
      </c>
      <c r="M45" s="105">
        <v>0</v>
      </c>
      <c r="N45" s="105">
        <v>0</v>
      </c>
      <c r="O45" s="105">
        <v>0</v>
      </c>
      <c r="P45" s="105">
        <v>0</v>
      </c>
      <c r="Q45" s="105">
        <v>0</v>
      </c>
      <c r="R45" s="105">
        <v>0</v>
      </c>
      <c r="S45" s="105">
        <v>0</v>
      </c>
      <c r="T45" s="105">
        <v>0</v>
      </c>
      <c r="U45" s="105">
        <v>0</v>
      </c>
      <c r="V45" s="105">
        <v>0</v>
      </c>
      <c r="W45" s="105">
        <v>0</v>
      </c>
      <c r="X45" s="105">
        <v>0</v>
      </c>
      <c r="Y45" s="105">
        <v>0</v>
      </c>
      <c r="Z45" s="105">
        <v>0</v>
      </c>
      <c r="AA45" s="105">
        <v>0</v>
      </c>
      <c r="AB45" s="105">
        <v>0</v>
      </c>
      <c r="AC45" s="105">
        <v>0</v>
      </c>
      <c r="AD45" s="105">
        <v>0</v>
      </c>
      <c r="AE45" s="105">
        <v>0</v>
      </c>
      <c r="AF45" s="105">
        <v>0</v>
      </c>
      <c r="AG45" s="96">
        <v>144</v>
      </c>
      <c r="AH45" s="20">
        <f t="shared" si="2"/>
        <v>96.9</v>
      </c>
      <c r="AI45" s="19">
        <f t="shared" si="3"/>
        <v>0</v>
      </c>
      <c r="AK45" s="41"/>
    </row>
    <row r="46" spans="1:88" x14ac:dyDescent="0.25">
      <c r="A46" s="95" t="s">
        <v>189</v>
      </c>
      <c r="B46" s="80">
        <v>70.400000000000006</v>
      </c>
      <c r="C46" s="80">
        <v>71.599999999999994</v>
      </c>
      <c r="D46" s="80">
        <v>70.599999999999994</v>
      </c>
      <c r="E46" s="80">
        <v>60.8</v>
      </c>
      <c r="F46" s="80">
        <v>60.8</v>
      </c>
      <c r="G46" s="80">
        <v>60.8</v>
      </c>
      <c r="H46" s="80">
        <v>60.8</v>
      </c>
      <c r="I46" s="80">
        <v>60.8</v>
      </c>
      <c r="J46" s="80">
        <v>46</v>
      </c>
      <c r="K46" s="80">
        <v>46</v>
      </c>
      <c r="L46" s="80">
        <v>47.1</v>
      </c>
      <c r="M46" s="80">
        <v>47.1</v>
      </c>
      <c r="N46" s="80">
        <v>49</v>
      </c>
      <c r="O46" s="80">
        <v>49</v>
      </c>
      <c r="P46" s="80">
        <v>46</v>
      </c>
      <c r="Q46" s="105">
        <v>46.4</v>
      </c>
      <c r="R46" s="105">
        <v>51.6</v>
      </c>
      <c r="S46" s="80">
        <v>29</v>
      </c>
      <c r="T46" s="80">
        <v>30.8</v>
      </c>
      <c r="U46" s="80">
        <v>35</v>
      </c>
      <c r="V46" s="80">
        <v>44</v>
      </c>
      <c r="W46" s="80">
        <v>70</v>
      </c>
      <c r="X46" s="80">
        <v>70</v>
      </c>
      <c r="Y46" s="80">
        <v>71.400000000000006</v>
      </c>
      <c r="Z46" s="80">
        <v>70.2</v>
      </c>
      <c r="AA46" s="80">
        <v>70.7</v>
      </c>
      <c r="AB46" s="80">
        <v>49.4</v>
      </c>
      <c r="AC46" s="80">
        <v>49.8</v>
      </c>
      <c r="AD46" s="80">
        <v>49.8</v>
      </c>
      <c r="AE46" s="80">
        <v>51</v>
      </c>
      <c r="AF46" s="80">
        <v>51</v>
      </c>
      <c r="AG46" s="94">
        <v>70</v>
      </c>
      <c r="AH46" s="20">
        <f t="shared" si="2"/>
        <v>71.599999999999994</v>
      </c>
      <c r="AI46" s="19">
        <f t="shared" si="3"/>
        <v>29</v>
      </c>
      <c r="AK46" s="41"/>
    </row>
    <row r="47" spans="1:88" x14ac:dyDescent="0.25">
      <c r="A47" s="95" t="s">
        <v>188</v>
      </c>
      <c r="B47" s="80">
        <v>46</v>
      </c>
      <c r="C47" s="80">
        <v>46</v>
      </c>
      <c r="D47" s="80">
        <v>45.7</v>
      </c>
      <c r="E47" s="80">
        <v>45.7</v>
      </c>
      <c r="F47" s="80">
        <v>45.7</v>
      </c>
      <c r="G47" s="80">
        <v>45.7</v>
      </c>
      <c r="H47" s="80">
        <v>45.7</v>
      </c>
      <c r="I47" s="80">
        <v>45.7</v>
      </c>
      <c r="J47" s="80">
        <v>46.1</v>
      </c>
      <c r="K47" s="80">
        <v>46.1</v>
      </c>
      <c r="L47" s="80">
        <v>45.2</v>
      </c>
      <c r="M47" s="80">
        <v>33</v>
      </c>
      <c r="N47" s="80">
        <v>33</v>
      </c>
      <c r="O47" s="80">
        <v>33</v>
      </c>
      <c r="P47" s="80">
        <v>33</v>
      </c>
      <c r="Q47" s="105">
        <v>32.9</v>
      </c>
      <c r="R47" s="105">
        <v>36</v>
      </c>
      <c r="S47" s="80">
        <v>36</v>
      </c>
      <c r="T47" s="80">
        <v>22.7</v>
      </c>
      <c r="U47" s="80">
        <v>23</v>
      </c>
      <c r="V47" s="80">
        <v>37.6</v>
      </c>
      <c r="W47" s="80">
        <v>46.9</v>
      </c>
      <c r="X47" s="80">
        <v>46.9</v>
      </c>
      <c r="Y47" s="80">
        <v>46.1</v>
      </c>
      <c r="Z47" s="80">
        <v>45.8</v>
      </c>
      <c r="AA47" s="80">
        <v>46.3</v>
      </c>
      <c r="AB47" s="80">
        <v>35.5</v>
      </c>
      <c r="AC47" s="80">
        <v>35.4</v>
      </c>
      <c r="AD47" s="80">
        <v>35.4</v>
      </c>
      <c r="AE47" s="80">
        <v>35</v>
      </c>
      <c r="AF47" s="80">
        <v>35</v>
      </c>
      <c r="AG47" s="94">
        <v>69</v>
      </c>
      <c r="AH47" s="20">
        <f t="shared" si="2"/>
        <v>46.9</v>
      </c>
      <c r="AI47" s="19">
        <f t="shared" si="3"/>
        <v>22.7</v>
      </c>
      <c r="AK47" s="41"/>
    </row>
    <row r="48" spans="1:88" x14ac:dyDescent="0.25">
      <c r="A48" s="95" t="s">
        <v>187</v>
      </c>
      <c r="B48" s="113">
        <v>49.6</v>
      </c>
      <c r="C48" s="113">
        <v>60.7</v>
      </c>
      <c r="D48" s="113">
        <v>60.9</v>
      </c>
      <c r="E48" s="113">
        <v>50.2</v>
      </c>
      <c r="F48" s="113">
        <v>50.2</v>
      </c>
      <c r="G48" s="113">
        <v>50.2</v>
      </c>
      <c r="H48" s="113">
        <v>50.2</v>
      </c>
      <c r="I48" s="113">
        <v>50.2</v>
      </c>
      <c r="J48" s="113">
        <v>43.6</v>
      </c>
      <c r="K48" s="113">
        <v>43.6</v>
      </c>
      <c r="L48" s="113">
        <v>43.6</v>
      </c>
      <c r="M48" s="105">
        <v>43.6</v>
      </c>
      <c r="N48" s="105">
        <v>39.799999999999997</v>
      </c>
      <c r="O48" s="105">
        <v>39.799999999999997</v>
      </c>
      <c r="P48" s="105">
        <v>30</v>
      </c>
      <c r="Q48" s="105">
        <v>30</v>
      </c>
      <c r="R48" s="105">
        <v>30</v>
      </c>
      <c r="S48" s="105">
        <v>30</v>
      </c>
      <c r="T48" s="105">
        <v>22.7</v>
      </c>
      <c r="U48" s="105">
        <v>30.5</v>
      </c>
      <c r="V48" s="80">
        <v>30.5</v>
      </c>
      <c r="W48" s="80">
        <v>61.4</v>
      </c>
      <c r="X48" s="80">
        <v>61.4</v>
      </c>
      <c r="Y48" s="80">
        <v>61.4</v>
      </c>
      <c r="Z48" s="80">
        <v>61.4</v>
      </c>
      <c r="AA48" s="80">
        <v>61.4</v>
      </c>
      <c r="AB48" s="113">
        <v>61.4</v>
      </c>
      <c r="AC48" s="113">
        <v>60.9</v>
      </c>
      <c r="AD48" s="113">
        <v>60.9</v>
      </c>
      <c r="AE48" s="113">
        <v>30</v>
      </c>
      <c r="AF48" s="113">
        <v>30</v>
      </c>
      <c r="AG48" s="94">
        <v>60</v>
      </c>
      <c r="AH48" s="20">
        <f t="shared" si="2"/>
        <v>61.4</v>
      </c>
      <c r="AI48" s="19">
        <f t="shared" si="3"/>
        <v>22.7</v>
      </c>
      <c r="AK48" s="41"/>
    </row>
    <row r="49" spans="1:41" x14ac:dyDescent="0.25">
      <c r="A49" s="95" t="s">
        <v>186</v>
      </c>
      <c r="B49" s="113">
        <v>29.8</v>
      </c>
      <c r="C49" s="113">
        <v>29.8</v>
      </c>
      <c r="D49" s="113">
        <v>29.5</v>
      </c>
      <c r="E49" s="113">
        <v>29.5</v>
      </c>
      <c r="F49" s="113">
        <v>29.5</v>
      </c>
      <c r="G49" s="113">
        <v>29.5</v>
      </c>
      <c r="H49" s="113">
        <v>29.5</v>
      </c>
      <c r="I49" s="113">
        <v>29.5</v>
      </c>
      <c r="J49" s="113">
        <v>29.4</v>
      </c>
      <c r="K49" s="113">
        <v>29.4</v>
      </c>
      <c r="L49" s="113">
        <v>29.4</v>
      </c>
      <c r="M49" s="105">
        <v>29.4</v>
      </c>
      <c r="N49" s="105">
        <v>29.4</v>
      </c>
      <c r="O49" s="105">
        <v>29.4</v>
      </c>
      <c r="P49" s="105">
        <v>29.4</v>
      </c>
      <c r="Q49" s="105">
        <v>29.4</v>
      </c>
      <c r="R49" s="105">
        <v>29.4</v>
      </c>
      <c r="S49" s="105">
        <v>29.3</v>
      </c>
      <c r="T49" s="105">
        <v>25.6</v>
      </c>
      <c r="U49" s="105">
        <v>30</v>
      </c>
      <c r="V49" s="80">
        <v>30</v>
      </c>
      <c r="W49" s="80">
        <v>30</v>
      </c>
      <c r="X49" s="80">
        <v>30</v>
      </c>
      <c r="Y49" s="80">
        <v>30</v>
      </c>
      <c r="Z49" s="80">
        <v>30</v>
      </c>
      <c r="AA49" s="80">
        <v>30</v>
      </c>
      <c r="AB49" s="80">
        <v>30</v>
      </c>
      <c r="AC49" s="113">
        <v>30</v>
      </c>
      <c r="AD49" s="113">
        <v>30</v>
      </c>
      <c r="AE49" s="113">
        <v>30</v>
      </c>
      <c r="AF49" s="113">
        <v>30</v>
      </c>
      <c r="AG49" s="94">
        <v>30</v>
      </c>
      <c r="AH49" s="20">
        <f t="shared" si="2"/>
        <v>30</v>
      </c>
      <c r="AI49" s="19">
        <f t="shared" si="3"/>
        <v>25.6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0</v>
      </c>
      <c r="N50" s="80">
        <v>9</v>
      </c>
      <c r="O50" s="80">
        <v>9</v>
      </c>
      <c r="P50" s="80">
        <v>9</v>
      </c>
      <c r="Q50" s="80">
        <v>9</v>
      </c>
      <c r="R50" s="80">
        <v>9</v>
      </c>
      <c r="S50" s="105">
        <v>3</v>
      </c>
      <c r="T50" s="105">
        <v>3</v>
      </c>
      <c r="U50" s="105">
        <v>1</v>
      </c>
      <c r="V50" s="105">
        <v>0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105">
        <v>0</v>
      </c>
      <c r="AG50" s="94">
        <v>25</v>
      </c>
      <c r="AH50" s="20">
        <f t="shared" si="2"/>
        <v>9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16.2</v>
      </c>
      <c r="C51" s="80">
        <v>16.2</v>
      </c>
      <c r="D51" s="80">
        <v>16.2</v>
      </c>
      <c r="E51" s="80">
        <v>16.2</v>
      </c>
      <c r="F51" s="80">
        <v>16.2</v>
      </c>
      <c r="G51" s="80">
        <v>16.2</v>
      </c>
      <c r="H51" s="80">
        <v>16.2</v>
      </c>
      <c r="I51" s="80">
        <v>16.2</v>
      </c>
      <c r="J51" s="80">
        <v>14</v>
      </c>
      <c r="K51" s="80">
        <v>14</v>
      </c>
      <c r="L51" s="80">
        <v>14</v>
      </c>
      <c r="M51" s="80">
        <v>14</v>
      </c>
      <c r="N51" s="80">
        <v>14</v>
      </c>
      <c r="O51" s="80">
        <v>14</v>
      </c>
      <c r="P51" s="80">
        <v>14</v>
      </c>
      <c r="Q51" s="80">
        <v>14</v>
      </c>
      <c r="R51" s="80">
        <v>14</v>
      </c>
      <c r="S51" s="105">
        <v>14</v>
      </c>
      <c r="T51" s="105">
        <v>14.1</v>
      </c>
      <c r="U51" s="105">
        <v>14.1</v>
      </c>
      <c r="V51" s="105">
        <v>14.1</v>
      </c>
      <c r="W51" s="105">
        <v>14.1</v>
      </c>
      <c r="X51" s="105">
        <v>14.1</v>
      </c>
      <c r="Y51" s="105">
        <v>14.1</v>
      </c>
      <c r="Z51" s="105">
        <v>14.1</v>
      </c>
      <c r="AA51" s="105">
        <v>14.2</v>
      </c>
      <c r="AB51" s="105">
        <v>14.2</v>
      </c>
      <c r="AC51" s="105">
        <v>14.2</v>
      </c>
      <c r="AD51" s="105">
        <v>14.2</v>
      </c>
      <c r="AE51" s="105">
        <v>14.2</v>
      </c>
      <c r="AF51" s="105">
        <v>14.2</v>
      </c>
      <c r="AG51" s="94">
        <v>24</v>
      </c>
      <c r="AH51" s="20">
        <f t="shared" si="2"/>
        <v>16.2</v>
      </c>
      <c r="AI51" s="19">
        <f t="shared" si="3"/>
        <v>14</v>
      </c>
      <c r="AK51" s="41"/>
    </row>
    <row r="52" spans="1:41" x14ac:dyDescent="0.25">
      <c r="A52" s="95" t="s">
        <v>183</v>
      </c>
      <c r="B52" s="80">
        <v>3.5</v>
      </c>
      <c r="C52" s="80">
        <v>3.5</v>
      </c>
      <c r="D52" s="80">
        <v>3.5</v>
      </c>
      <c r="E52" s="80">
        <v>3.5</v>
      </c>
      <c r="F52" s="80">
        <v>3.5</v>
      </c>
      <c r="G52" s="80">
        <v>3.5</v>
      </c>
      <c r="H52" s="80">
        <v>3.5</v>
      </c>
      <c r="I52" s="80">
        <v>3.5</v>
      </c>
      <c r="J52" s="80">
        <v>3.5</v>
      </c>
      <c r="K52" s="80">
        <v>3.5</v>
      </c>
      <c r="L52" s="80">
        <v>3.5</v>
      </c>
      <c r="M52" s="80">
        <v>3.5</v>
      </c>
      <c r="N52" s="80">
        <v>3.5</v>
      </c>
      <c r="O52" s="80">
        <v>3.5</v>
      </c>
      <c r="P52" s="80">
        <v>3.5</v>
      </c>
      <c r="Q52" s="80">
        <v>3.5</v>
      </c>
      <c r="R52" s="80">
        <v>3.5</v>
      </c>
      <c r="S52" s="80">
        <v>3.5</v>
      </c>
      <c r="T52" s="105">
        <v>3.5</v>
      </c>
      <c r="U52" s="80">
        <v>3.5</v>
      </c>
      <c r="V52" s="80">
        <v>3.5</v>
      </c>
      <c r="W52" s="80">
        <v>3.5</v>
      </c>
      <c r="X52" s="80">
        <v>3.5</v>
      </c>
      <c r="Y52" s="80">
        <v>3.5</v>
      </c>
      <c r="Z52" s="80">
        <v>3.5</v>
      </c>
      <c r="AA52" s="80">
        <v>3.5</v>
      </c>
      <c r="AB52" s="80">
        <v>3.5</v>
      </c>
      <c r="AC52" s="80">
        <v>3.5</v>
      </c>
      <c r="AD52" s="80">
        <v>3.5</v>
      </c>
      <c r="AE52" s="80">
        <v>3.5</v>
      </c>
      <c r="AF52" s="80">
        <v>3.5</v>
      </c>
      <c r="AG52" s="94">
        <v>15</v>
      </c>
      <c r="AH52" s="20">
        <f t="shared" si="2"/>
        <v>3.5</v>
      </c>
      <c r="AI52" s="19">
        <f t="shared" si="3"/>
        <v>3.5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13.7</v>
      </c>
      <c r="C53" s="80">
        <v>13.7</v>
      </c>
      <c r="D53" s="80">
        <v>13.9</v>
      </c>
      <c r="E53" s="80">
        <v>13.9</v>
      </c>
      <c r="F53" s="80">
        <v>13.9</v>
      </c>
      <c r="G53" s="80">
        <v>13.9</v>
      </c>
      <c r="H53" s="80">
        <v>13.9</v>
      </c>
      <c r="I53" s="80">
        <v>13.9</v>
      </c>
      <c r="J53" s="80">
        <v>12</v>
      </c>
      <c r="K53" s="80">
        <v>12</v>
      </c>
      <c r="L53" s="80">
        <v>12</v>
      </c>
      <c r="M53" s="80">
        <v>12</v>
      </c>
      <c r="N53" s="80">
        <v>12</v>
      </c>
      <c r="O53" s="80">
        <v>12</v>
      </c>
      <c r="P53" s="80">
        <v>12</v>
      </c>
      <c r="Q53" s="80">
        <v>12</v>
      </c>
      <c r="R53" s="80">
        <v>12</v>
      </c>
      <c r="S53" s="80">
        <v>10.8</v>
      </c>
      <c r="T53" s="105">
        <v>10.9</v>
      </c>
      <c r="U53" s="80">
        <v>11</v>
      </c>
      <c r="V53" s="80">
        <v>11</v>
      </c>
      <c r="W53" s="80">
        <v>11</v>
      </c>
      <c r="X53" s="80">
        <v>11</v>
      </c>
      <c r="Y53" s="80">
        <v>11</v>
      </c>
      <c r="Z53" s="80">
        <v>11</v>
      </c>
      <c r="AA53" s="80">
        <v>11</v>
      </c>
      <c r="AB53" s="80">
        <v>11</v>
      </c>
      <c r="AC53" s="80">
        <v>11</v>
      </c>
      <c r="AD53" s="80">
        <v>11</v>
      </c>
      <c r="AE53" s="80">
        <v>11</v>
      </c>
      <c r="AF53" s="80">
        <v>11</v>
      </c>
      <c r="AG53" s="94">
        <v>14.1</v>
      </c>
      <c r="AH53" s="20">
        <f t="shared" si="2"/>
        <v>13.9</v>
      </c>
      <c r="AI53" s="19">
        <f t="shared" si="3"/>
        <v>10.8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14.1</v>
      </c>
      <c r="C54" s="80">
        <v>14.1</v>
      </c>
      <c r="D54" s="80">
        <v>5.2</v>
      </c>
      <c r="E54" s="80">
        <v>5.2</v>
      </c>
      <c r="F54" s="80">
        <v>5.2</v>
      </c>
      <c r="G54" s="80">
        <v>5.2</v>
      </c>
      <c r="H54" s="80">
        <v>5.2</v>
      </c>
      <c r="I54" s="80">
        <v>5.2</v>
      </c>
      <c r="J54" s="80">
        <v>5.2</v>
      </c>
      <c r="K54" s="80">
        <v>5.2</v>
      </c>
      <c r="L54" s="80">
        <v>5.2</v>
      </c>
      <c r="M54" s="80">
        <v>14</v>
      </c>
      <c r="N54" s="80">
        <v>14</v>
      </c>
      <c r="O54" s="80">
        <v>14</v>
      </c>
      <c r="P54" s="80">
        <v>14</v>
      </c>
      <c r="Q54" s="80">
        <v>14</v>
      </c>
      <c r="R54" s="80">
        <v>14</v>
      </c>
      <c r="S54" s="80">
        <v>14.4</v>
      </c>
      <c r="T54" s="105">
        <v>14.4</v>
      </c>
      <c r="U54" s="80">
        <v>14.3</v>
      </c>
      <c r="V54" s="80">
        <v>14.4</v>
      </c>
      <c r="W54" s="80">
        <v>14.4</v>
      </c>
      <c r="X54" s="80">
        <v>14.4</v>
      </c>
      <c r="Y54" s="80">
        <v>14.4</v>
      </c>
      <c r="Z54" s="80">
        <v>14.4</v>
      </c>
      <c r="AA54" s="80">
        <v>14</v>
      </c>
      <c r="AB54" s="80">
        <v>14</v>
      </c>
      <c r="AC54" s="80">
        <v>14</v>
      </c>
      <c r="AD54" s="80">
        <v>14</v>
      </c>
      <c r="AE54" s="80">
        <v>14</v>
      </c>
      <c r="AF54" s="80">
        <v>14</v>
      </c>
      <c r="AG54" s="94">
        <v>14</v>
      </c>
      <c r="AH54" s="20">
        <f t="shared" si="2"/>
        <v>14.4</v>
      </c>
      <c r="AI54" s="19">
        <f t="shared" si="3"/>
        <v>5.2</v>
      </c>
      <c r="AK54" s="41"/>
    </row>
    <row r="55" spans="1:41" x14ac:dyDescent="0.25">
      <c r="A55" s="95" t="s">
        <v>180</v>
      </c>
      <c r="B55" s="80">
        <v>9</v>
      </c>
      <c r="C55" s="80">
        <v>9</v>
      </c>
      <c r="D55" s="80">
        <v>9</v>
      </c>
      <c r="E55" s="80">
        <v>9</v>
      </c>
      <c r="F55" s="80">
        <v>9</v>
      </c>
      <c r="G55" s="80">
        <v>9</v>
      </c>
      <c r="H55" s="80">
        <v>9</v>
      </c>
      <c r="I55" s="80">
        <v>9</v>
      </c>
      <c r="J55" s="80">
        <v>9</v>
      </c>
      <c r="K55" s="80">
        <v>9</v>
      </c>
      <c r="L55" s="80">
        <v>9</v>
      </c>
      <c r="M55" s="80">
        <v>9</v>
      </c>
      <c r="N55" s="80">
        <v>9</v>
      </c>
      <c r="O55" s="80">
        <v>9</v>
      </c>
      <c r="P55" s="80">
        <v>9</v>
      </c>
      <c r="Q55" s="80">
        <v>9</v>
      </c>
      <c r="R55" s="80">
        <v>9</v>
      </c>
      <c r="S55" s="80">
        <v>9</v>
      </c>
      <c r="T55" s="105">
        <v>9</v>
      </c>
      <c r="U55" s="80">
        <v>9</v>
      </c>
      <c r="V55" s="80">
        <v>9</v>
      </c>
      <c r="W55" s="80">
        <v>9</v>
      </c>
      <c r="X55" s="80">
        <v>9</v>
      </c>
      <c r="Y55" s="80">
        <v>9</v>
      </c>
      <c r="Z55" s="80">
        <v>9</v>
      </c>
      <c r="AA55" s="80">
        <v>9</v>
      </c>
      <c r="AB55" s="80">
        <v>9</v>
      </c>
      <c r="AC55" s="80">
        <v>9</v>
      </c>
      <c r="AD55" s="80">
        <v>9</v>
      </c>
      <c r="AE55" s="80">
        <v>9</v>
      </c>
      <c r="AF55" s="80">
        <v>9</v>
      </c>
      <c r="AG55" s="94">
        <v>10.050000000000001</v>
      </c>
      <c r="AH55" s="20">
        <f t="shared" si="2"/>
        <v>9</v>
      </c>
      <c r="AI55" s="19">
        <f t="shared" si="3"/>
        <v>9</v>
      </c>
      <c r="AK55" s="41"/>
    </row>
    <row r="56" spans="1:41" x14ac:dyDescent="0.25">
      <c r="A56" s="95" t="s">
        <v>179</v>
      </c>
      <c r="B56" s="80">
        <v>3</v>
      </c>
      <c r="C56" s="80">
        <v>3</v>
      </c>
      <c r="D56" s="80">
        <v>3</v>
      </c>
      <c r="E56" s="80">
        <v>3</v>
      </c>
      <c r="F56" s="80">
        <v>3</v>
      </c>
      <c r="G56" s="80">
        <v>3</v>
      </c>
      <c r="H56" s="80">
        <v>3</v>
      </c>
      <c r="I56" s="80">
        <v>3</v>
      </c>
      <c r="J56" s="80">
        <v>3</v>
      </c>
      <c r="K56" s="80">
        <v>3</v>
      </c>
      <c r="L56" s="80">
        <v>3</v>
      </c>
      <c r="M56" s="80">
        <v>3</v>
      </c>
      <c r="N56" s="80">
        <v>3</v>
      </c>
      <c r="O56" s="80">
        <v>3</v>
      </c>
      <c r="P56" s="80">
        <v>3</v>
      </c>
      <c r="Q56" s="80">
        <v>3</v>
      </c>
      <c r="R56" s="80">
        <v>3</v>
      </c>
      <c r="S56" s="80">
        <v>3</v>
      </c>
      <c r="T56" s="105">
        <v>3</v>
      </c>
      <c r="U56" s="80">
        <v>3</v>
      </c>
      <c r="V56" s="80">
        <v>3</v>
      </c>
      <c r="W56" s="80">
        <v>3</v>
      </c>
      <c r="X56" s="80">
        <v>3</v>
      </c>
      <c r="Y56" s="80">
        <v>3</v>
      </c>
      <c r="Z56" s="80">
        <v>3</v>
      </c>
      <c r="AA56" s="80">
        <v>3</v>
      </c>
      <c r="AB56" s="80">
        <v>3</v>
      </c>
      <c r="AC56" s="80">
        <v>3</v>
      </c>
      <c r="AD56" s="80">
        <v>3</v>
      </c>
      <c r="AE56" s="80">
        <v>3</v>
      </c>
      <c r="AF56" s="80">
        <v>3</v>
      </c>
      <c r="AG56" s="94">
        <v>6.2</v>
      </c>
      <c r="AH56" s="20">
        <f t="shared" si="2"/>
        <v>3</v>
      </c>
      <c r="AI56" s="19">
        <f t="shared" si="3"/>
        <v>3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" si="11">SUM(B45:B57)</f>
        <v>355.74000000000007</v>
      </c>
      <c r="C58" s="86">
        <f t="shared" ref="C58:AG58" si="12">SUM(C45:C57)</f>
        <v>271.14000000000004</v>
      </c>
      <c r="D58" s="86">
        <f t="shared" si="12"/>
        <v>261.04000000000002</v>
      </c>
      <c r="E58" s="86">
        <f t="shared" si="12"/>
        <v>240.53999999999996</v>
      </c>
      <c r="F58" s="86">
        <f t="shared" si="12"/>
        <v>240.53999999999996</v>
      </c>
      <c r="G58" s="86">
        <f t="shared" si="12"/>
        <v>240.53999999999996</v>
      </c>
      <c r="H58" s="86">
        <f t="shared" si="12"/>
        <v>240.53999999999996</v>
      </c>
      <c r="I58" s="86">
        <f t="shared" si="12"/>
        <v>240.53999999999996</v>
      </c>
      <c r="J58" s="86">
        <f t="shared" si="12"/>
        <v>215.33999999999997</v>
      </c>
      <c r="K58" s="86">
        <f t="shared" si="12"/>
        <v>215.33999999999997</v>
      </c>
      <c r="L58" s="86">
        <f t="shared" si="12"/>
        <v>215.54</v>
      </c>
      <c r="M58" s="86">
        <f t="shared" si="12"/>
        <v>212.14</v>
      </c>
      <c r="N58" s="86">
        <f t="shared" si="12"/>
        <v>219.23999999999998</v>
      </c>
      <c r="O58" s="86">
        <f t="shared" si="12"/>
        <v>219.23999999999998</v>
      </c>
      <c r="P58" s="86">
        <f t="shared" si="12"/>
        <v>206.44</v>
      </c>
      <c r="Q58" s="86">
        <f t="shared" si="12"/>
        <v>206.73999999999998</v>
      </c>
      <c r="R58" s="86">
        <f t="shared" si="12"/>
        <v>215.04</v>
      </c>
      <c r="S58" s="86">
        <f t="shared" si="12"/>
        <v>185.54000000000002</v>
      </c>
      <c r="T58" s="86">
        <f t="shared" si="12"/>
        <v>163.24</v>
      </c>
      <c r="U58" s="86">
        <f t="shared" si="12"/>
        <v>177.94</v>
      </c>
      <c r="V58" s="86">
        <f t="shared" si="12"/>
        <v>200.64</v>
      </c>
      <c r="W58" s="86">
        <f t="shared" si="12"/>
        <v>266.84000000000003</v>
      </c>
      <c r="X58" s="86">
        <f t="shared" si="12"/>
        <v>266.84000000000003</v>
      </c>
      <c r="Y58" s="86">
        <f t="shared" si="12"/>
        <v>267.44</v>
      </c>
      <c r="Z58" s="86">
        <f t="shared" si="12"/>
        <v>265.94</v>
      </c>
      <c r="AA58" s="86">
        <f t="shared" si="12"/>
        <v>266.64000000000004</v>
      </c>
      <c r="AB58" s="86">
        <f t="shared" si="12"/>
        <v>234.54</v>
      </c>
      <c r="AC58" s="86">
        <f t="shared" si="12"/>
        <v>234.33999999999997</v>
      </c>
      <c r="AD58" s="86">
        <f t="shared" si="12"/>
        <v>234.33999999999997</v>
      </c>
      <c r="AE58" s="86">
        <f t="shared" si="12"/>
        <v>204.23999999999998</v>
      </c>
      <c r="AF58" s="86">
        <f t="shared" si="12"/>
        <v>204.23999999999998</v>
      </c>
      <c r="AG58" s="101">
        <f t="shared" si="12"/>
        <v>489.91</v>
      </c>
      <c r="AH58" s="20">
        <f t="shared" si="2"/>
        <v>355.74000000000007</v>
      </c>
      <c r="AI58" s="19">
        <f t="shared" si="3"/>
        <v>163.24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>
        <v>0</v>
      </c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>
        <v>0</v>
      </c>
      <c r="Z59" s="105">
        <v>0</v>
      </c>
      <c r="AA59" s="105">
        <v>0</v>
      </c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07">
        <v>0</v>
      </c>
      <c r="Y61" s="107">
        <v>0</v>
      </c>
      <c r="Z61" s="107">
        <v>0</v>
      </c>
      <c r="AA61" s="107">
        <v>0</v>
      </c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" si="13">SUM(B59:B61)</f>
        <v>0</v>
      </c>
      <c r="C62" s="86">
        <f t="shared" ref="C62:AG62" si="14">SUM(C59:C61)</f>
        <v>0</v>
      </c>
      <c r="D62" s="86">
        <f t="shared" si="14"/>
        <v>0</v>
      </c>
      <c r="E62" s="86">
        <f t="shared" si="14"/>
        <v>0</v>
      </c>
      <c r="F62" s="86">
        <f t="shared" si="14"/>
        <v>0</v>
      </c>
      <c r="G62" s="86">
        <f t="shared" si="14"/>
        <v>0</v>
      </c>
      <c r="H62" s="86">
        <f t="shared" si="14"/>
        <v>0</v>
      </c>
      <c r="I62" s="86">
        <f t="shared" si="14"/>
        <v>0</v>
      </c>
      <c r="J62" s="86">
        <f t="shared" si="14"/>
        <v>0</v>
      </c>
      <c r="K62" s="86">
        <f t="shared" si="14"/>
        <v>0</v>
      </c>
      <c r="L62" s="86">
        <f t="shared" si="14"/>
        <v>0</v>
      </c>
      <c r="M62" s="86">
        <f t="shared" si="14"/>
        <v>0</v>
      </c>
      <c r="N62" s="86">
        <f t="shared" si="14"/>
        <v>0</v>
      </c>
      <c r="O62" s="86">
        <f t="shared" si="14"/>
        <v>0</v>
      </c>
      <c r="P62" s="86">
        <f t="shared" si="14"/>
        <v>0</v>
      </c>
      <c r="Q62" s="86">
        <f t="shared" si="14"/>
        <v>0</v>
      </c>
      <c r="R62" s="86">
        <f t="shared" si="14"/>
        <v>0</v>
      </c>
      <c r="S62" s="86">
        <f t="shared" si="14"/>
        <v>0</v>
      </c>
      <c r="T62" s="86">
        <f t="shared" si="14"/>
        <v>0</v>
      </c>
      <c r="U62" s="86">
        <f t="shared" si="14"/>
        <v>0</v>
      </c>
      <c r="V62" s="86">
        <f t="shared" si="14"/>
        <v>0</v>
      </c>
      <c r="W62" s="86">
        <f t="shared" si="14"/>
        <v>0</v>
      </c>
      <c r="X62" s="86">
        <f t="shared" si="14"/>
        <v>0</v>
      </c>
      <c r="Y62" s="86">
        <f t="shared" si="14"/>
        <v>0</v>
      </c>
      <c r="Z62" s="86">
        <f t="shared" si="14"/>
        <v>0</v>
      </c>
      <c r="AA62" s="86">
        <f t="shared" si="14"/>
        <v>0</v>
      </c>
      <c r="AB62" s="86">
        <f t="shared" si="14"/>
        <v>0</v>
      </c>
      <c r="AC62" s="86">
        <f t="shared" si="14"/>
        <v>0</v>
      </c>
      <c r="AD62" s="86">
        <f t="shared" si="14"/>
        <v>0</v>
      </c>
      <c r="AE62" s="86">
        <f t="shared" si="14"/>
        <v>0</v>
      </c>
      <c r="AF62" s="86">
        <f t="shared" si="14"/>
        <v>0</v>
      </c>
      <c r="AG62" s="101">
        <f t="shared" si="14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25</v>
      </c>
      <c r="D63" s="105">
        <v>26</v>
      </c>
      <c r="E63" s="105">
        <v>17</v>
      </c>
      <c r="F63" s="105">
        <v>15</v>
      </c>
      <c r="G63" s="105">
        <v>9</v>
      </c>
      <c r="H63" s="105">
        <v>7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>
        <v>0</v>
      </c>
      <c r="S63" s="105">
        <v>0</v>
      </c>
      <c r="T63" s="105">
        <v>0</v>
      </c>
      <c r="U63" s="105">
        <v>0</v>
      </c>
      <c r="V63" s="105">
        <v>0</v>
      </c>
      <c r="W63" s="105">
        <v>0</v>
      </c>
      <c r="X63" s="105">
        <v>0</v>
      </c>
      <c r="Y63" s="105">
        <v>24</v>
      </c>
      <c r="Z63" s="105">
        <v>37.1</v>
      </c>
      <c r="AA63" s="105">
        <v>27.9</v>
      </c>
      <c r="AB63" s="105">
        <v>28.9</v>
      </c>
      <c r="AC63" s="105">
        <v>29</v>
      </c>
      <c r="AD63" s="105">
        <v>29.1</v>
      </c>
      <c r="AE63" s="105">
        <v>25</v>
      </c>
      <c r="AF63" s="105">
        <v>10</v>
      </c>
      <c r="AG63" s="96"/>
      <c r="AH63" s="20">
        <f t="shared" si="2"/>
        <v>37.1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-400</v>
      </c>
      <c r="C65" s="80">
        <v>-411</v>
      </c>
      <c r="D65" s="80">
        <v>-413</v>
      </c>
      <c r="E65" s="80">
        <v>-413</v>
      </c>
      <c r="F65" s="80">
        <v>-413</v>
      </c>
      <c r="G65" s="80">
        <v>-413</v>
      </c>
      <c r="H65" s="80">
        <v>-413</v>
      </c>
      <c r="I65" s="80">
        <v>-440</v>
      </c>
      <c r="J65" s="80">
        <v>-449</v>
      </c>
      <c r="K65" s="80">
        <v>-443</v>
      </c>
      <c r="L65" s="80">
        <v>-426</v>
      </c>
      <c r="M65" s="80">
        <v>-422</v>
      </c>
      <c r="N65" s="80">
        <v>-417</v>
      </c>
      <c r="O65" s="80">
        <v>-420</v>
      </c>
      <c r="P65" s="80">
        <v>-430</v>
      </c>
      <c r="Q65" s="80">
        <v>-432</v>
      </c>
      <c r="R65" s="80">
        <v>-450</v>
      </c>
      <c r="S65" s="80">
        <v>-441</v>
      </c>
      <c r="T65" s="80">
        <v>-370.1</v>
      </c>
      <c r="U65" s="80">
        <v>-410.3</v>
      </c>
      <c r="V65" s="80">
        <v>-389</v>
      </c>
      <c r="W65" s="80">
        <v>-381.5</v>
      </c>
      <c r="X65" s="80">
        <v>-385</v>
      </c>
      <c r="Y65" s="80">
        <v>-405</v>
      </c>
      <c r="Z65" s="80">
        <v>-414</v>
      </c>
      <c r="AA65" s="80">
        <v>-404</v>
      </c>
      <c r="AB65" s="80">
        <v>-378</v>
      </c>
      <c r="AC65" s="80">
        <v>-398</v>
      </c>
      <c r="AD65" s="80">
        <v>-404</v>
      </c>
      <c r="AE65" s="80">
        <v>-410</v>
      </c>
      <c r="AF65" s="80">
        <v>-420</v>
      </c>
      <c r="AG65" s="102"/>
      <c r="AH65" s="20">
        <f t="shared" si="2"/>
        <v>-370.1</v>
      </c>
      <c r="AI65" s="19">
        <f t="shared" si="3"/>
        <v>-450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103">
        <v>0</v>
      </c>
      <c r="E70" s="103">
        <v>0</v>
      </c>
      <c r="F70" s="103">
        <v>0</v>
      </c>
      <c r="G70" s="103">
        <v>0</v>
      </c>
      <c r="H70" s="103">
        <v>0</v>
      </c>
      <c r="I70" s="103">
        <v>0</v>
      </c>
      <c r="J70" s="103">
        <v>0</v>
      </c>
      <c r="K70" s="103">
        <v>0</v>
      </c>
      <c r="L70" s="103">
        <v>0</v>
      </c>
      <c r="M70" s="103">
        <v>0</v>
      </c>
      <c r="N70" s="103">
        <v>0</v>
      </c>
      <c r="O70" s="103">
        <v>0</v>
      </c>
      <c r="P70" s="10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103">
        <v>0</v>
      </c>
      <c r="E71" s="103">
        <v>0</v>
      </c>
      <c r="F71" s="103">
        <v>0</v>
      </c>
      <c r="G71" s="103">
        <v>0</v>
      </c>
      <c r="H71" s="103">
        <v>0</v>
      </c>
      <c r="I71" s="103">
        <v>0</v>
      </c>
      <c r="J71" s="103">
        <v>0</v>
      </c>
      <c r="K71" s="103">
        <v>0</v>
      </c>
      <c r="L71" s="103">
        <v>0</v>
      </c>
      <c r="M71" s="103">
        <v>0</v>
      </c>
      <c r="N71" s="103">
        <v>0</v>
      </c>
      <c r="O71" s="103">
        <v>0</v>
      </c>
      <c r="P71" s="10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103">
        <v>0</v>
      </c>
      <c r="E72" s="103">
        <v>0</v>
      </c>
      <c r="F72" s="103">
        <v>0</v>
      </c>
      <c r="G72" s="103">
        <v>0</v>
      </c>
      <c r="H72" s="103">
        <v>0</v>
      </c>
      <c r="I72" s="103">
        <v>0</v>
      </c>
      <c r="J72" s="103">
        <v>0</v>
      </c>
      <c r="K72" s="103">
        <v>0</v>
      </c>
      <c r="L72" s="103">
        <v>0</v>
      </c>
      <c r="M72" s="103">
        <v>0</v>
      </c>
      <c r="N72" s="103">
        <v>0</v>
      </c>
      <c r="O72" s="103">
        <v>0</v>
      </c>
      <c r="P72" s="103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103">
        <v>0</v>
      </c>
      <c r="E73" s="103">
        <v>0</v>
      </c>
      <c r="F73" s="103">
        <v>0</v>
      </c>
      <c r="G73" s="103">
        <v>0</v>
      </c>
      <c r="H73" s="103">
        <v>0</v>
      </c>
      <c r="I73" s="103">
        <v>0</v>
      </c>
      <c r="J73" s="103">
        <v>0</v>
      </c>
      <c r="K73" s="103">
        <v>0</v>
      </c>
      <c r="L73" s="103">
        <v>0</v>
      </c>
      <c r="M73" s="103">
        <v>0</v>
      </c>
      <c r="N73" s="103">
        <v>0</v>
      </c>
      <c r="O73" s="103">
        <v>0</v>
      </c>
      <c r="P73" s="103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" si="15">SUMIF(B63:B73,"&gt;0")</f>
        <v>0</v>
      </c>
      <c r="C74" s="86">
        <f t="shared" ref="C74:AF74" si="16">SUMIF(C63:C73,"&gt;0")</f>
        <v>25</v>
      </c>
      <c r="D74" s="86">
        <f t="shared" si="16"/>
        <v>26</v>
      </c>
      <c r="E74" s="86">
        <f t="shared" si="16"/>
        <v>17</v>
      </c>
      <c r="F74" s="86">
        <f t="shared" si="16"/>
        <v>15</v>
      </c>
      <c r="G74" s="86">
        <f t="shared" si="16"/>
        <v>9</v>
      </c>
      <c r="H74" s="86">
        <f t="shared" si="16"/>
        <v>7</v>
      </c>
      <c r="I74" s="86">
        <f t="shared" si="16"/>
        <v>0</v>
      </c>
      <c r="J74" s="86">
        <f t="shared" si="16"/>
        <v>0</v>
      </c>
      <c r="K74" s="86">
        <f t="shared" si="16"/>
        <v>0</v>
      </c>
      <c r="L74" s="86">
        <f t="shared" si="16"/>
        <v>0</v>
      </c>
      <c r="M74" s="86">
        <f t="shared" si="16"/>
        <v>0</v>
      </c>
      <c r="N74" s="86">
        <f t="shared" si="16"/>
        <v>0</v>
      </c>
      <c r="O74" s="86">
        <f t="shared" si="16"/>
        <v>0</v>
      </c>
      <c r="P74" s="86">
        <f t="shared" si="16"/>
        <v>0</v>
      </c>
      <c r="Q74" s="86">
        <f t="shared" si="16"/>
        <v>0</v>
      </c>
      <c r="R74" s="86">
        <f t="shared" si="16"/>
        <v>0</v>
      </c>
      <c r="S74" s="86">
        <f t="shared" si="16"/>
        <v>0</v>
      </c>
      <c r="T74" s="86">
        <f t="shared" si="16"/>
        <v>0</v>
      </c>
      <c r="U74" s="86">
        <f t="shared" si="16"/>
        <v>0</v>
      </c>
      <c r="V74" s="86">
        <f t="shared" si="16"/>
        <v>0</v>
      </c>
      <c r="W74" s="86">
        <f t="shared" si="16"/>
        <v>0</v>
      </c>
      <c r="X74" s="86">
        <f t="shared" si="16"/>
        <v>0</v>
      </c>
      <c r="Y74" s="86">
        <f t="shared" si="16"/>
        <v>24</v>
      </c>
      <c r="Z74" s="86">
        <f t="shared" si="16"/>
        <v>37.1</v>
      </c>
      <c r="AA74" s="86">
        <f t="shared" si="16"/>
        <v>27.9</v>
      </c>
      <c r="AB74" s="86">
        <f t="shared" si="16"/>
        <v>28.9</v>
      </c>
      <c r="AC74" s="86">
        <f t="shared" si="16"/>
        <v>29</v>
      </c>
      <c r="AD74" s="86">
        <f t="shared" si="16"/>
        <v>29.1</v>
      </c>
      <c r="AE74" s="86">
        <f t="shared" si="16"/>
        <v>25</v>
      </c>
      <c r="AF74" s="86">
        <f t="shared" si="16"/>
        <v>10</v>
      </c>
      <c r="AG74" s="85">
        <f>SUM(AG63:AG73)</f>
        <v>0</v>
      </c>
      <c r="AH74" s="20">
        <f t="shared" si="2"/>
        <v>37.1</v>
      </c>
      <c r="AI74" s="19">
        <f t="shared" si="3"/>
        <v>0</v>
      </c>
      <c r="AK74" s="41"/>
    </row>
    <row r="75" spans="1:37" x14ac:dyDescent="0.25">
      <c r="A75" s="97" t="s">
        <v>164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2">
        <v>14.4</v>
      </c>
      <c r="AH76" s="20">
        <f t="shared" ref="AH76:AH109" si="17">MAX(B76:AF76)</f>
        <v>0</v>
      </c>
      <c r="AI76" s="19">
        <f t="shared" ref="AI76:AI109" si="18">MIN(B76:AF76)</f>
        <v>0</v>
      </c>
      <c r="AK76" s="41"/>
    </row>
    <row r="77" spans="1:37" ht="15.75" thickBot="1" x14ac:dyDescent="0.3">
      <c r="A77" s="91" t="s">
        <v>162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89">
        <v>2</v>
      </c>
      <c r="AH77" s="20">
        <f t="shared" si="17"/>
        <v>0</v>
      </c>
      <c r="AI77" s="19">
        <f t="shared" si="18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17"/>
        <v>0</v>
      </c>
      <c r="AI78" s="19">
        <f t="shared" si="18"/>
        <v>0</v>
      </c>
    </row>
    <row r="79" spans="1:37" ht="15.75" thickBot="1" x14ac:dyDescent="0.3">
      <c r="A79" s="87" t="s">
        <v>160</v>
      </c>
      <c r="B79" s="98">
        <f t="shared" ref="B79" si="19">B40+B44+B62+B58+B74+B78</f>
        <v>1476.34</v>
      </c>
      <c r="C79" s="98">
        <f t="shared" ref="C79:AG79" si="20">C40+C44+C62+C58+C74+C78</f>
        <v>1404.3400000000001</v>
      </c>
      <c r="D79" s="98">
        <f t="shared" si="20"/>
        <v>1417.74</v>
      </c>
      <c r="E79" s="98">
        <f t="shared" si="20"/>
        <v>1388.24</v>
      </c>
      <c r="F79" s="98">
        <f t="shared" si="20"/>
        <v>1381.74</v>
      </c>
      <c r="G79" s="98">
        <f t="shared" si="20"/>
        <v>1375.74</v>
      </c>
      <c r="H79" s="98">
        <f t="shared" si="20"/>
        <v>1335.74</v>
      </c>
      <c r="I79" s="98">
        <f t="shared" si="20"/>
        <v>1328.54</v>
      </c>
      <c r="J79" s="98">
        <f t="shared" si="20"/>
        <v>1291.54</v>
      </c>
      <c r="K79" s="98">
        <f t="shared" si="20"/>
        <v>1291.24</v>
      </c>
      <c r="L79" s="98">
        <f t="shared" si="20"/>
        <v>1286.44</v>
      </c>
      <c r="M79" s="98">
        <f t="shared" si="20"/>
        <v>1290.04</v>
      </c>
      <c r="N79" s="98">
        <f t="shared" si="20"/>
        <v>1300.1400000000001</v>
      </c>
      <c r="O79" s="98">
        <f t="shared" si="20"/>
        <v>1290.1400000000001</v>
      </c>
      <c r="P79" s="98">
        <f t="shared" si="20"/>
        <v>1264.8400000000001</v>
      </c>
      <c r="Q79" s="98">
        <f t="shared" si="20"/>
        <v>1260.44</v>
      </c>
      <c r="R79" s="98">
        <f t="shared" si="20"/>
        <v>1253.74</v>
      </c>
      <c r="S79" s="98">
        <f t="shared" si="20"/>
        <v>1214.04</v>
      </c>
      <c r="T79" s="98">
        <f t="shared" si="20"/>
        <v>1137.04</v>
      </c>
      <c r="U79" s="98">
        <f t="shared" si="20"/>
        <v>1181.94</v>
      </c>
      <c r="V79" s="98">
        <f t="shared" si="20"/>
        <v>1204.54</v>
      </c>
      <c r="W79" s="98">
        <f t="shared" si="20"/>
        <v>1295.7400000000002</v>
      </c>
      <c r="X79" s="98">
        <f t="shared" si="20"/>
        <v>1295.7400000000002</v>
      </c>
      <c r="Y79" s="98">
        <f t="shared" si="20"/>
        <v>1516.04</v>
      </c>
      <c r="Z79" s="98">
        <f t="shared" si="20"/>
        <v>1507.6399999999999</v>
      </c>
      <c r="AA79" s="98">
        <f t="shared" si="20"/>
        <v>1479.14</v>
      </c>
      <c r="AB79" s="98">
        <f t="shared" si="20"/>
        <v>1426.54</v>
      </c>
      <c r="AC79" s="98">
        <f t="shared" si="20"/>
        <v>1461.4399999999998</v>
      </c>
      <c r="AD79" s="98">
        <f t="shared" si="20"/>
        <v>1453.5399999999997</v>
      </c>
      <c r="AE79" s="98">
        <f t="shared" si="20"/>
        <v>1356.34</v>
      </c>
      <c r="AF79" s="98">
        <f t="shared" si="20"/>
        <v>1321.34</v>
      </c>
      <c r="AG79" s="101">
        <f t="shared" si="20"/>
        <v>1897.1900000000003</v>
      </c>
      <c r="AH79" s="20">
        <f t="shared" si="17"/>
        <v>1516.04</v>
      </c>
      <c r="AI79" s="19">
        <f t="shared" si="18"/>
        <v>1137.04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17"/>
        <v>0</v>
      </c>
      <c r="AI80" s="19">
        <f t="shared" si="18"/>
        <v>0</v>
      </c>
    </row>
    <row r="81" spans="1:37" ht="15.75" thickBot="1" x14ac:dyDescent="0.3">
      <c r="A81" s="87" t="s">
        <v>158</v>
      </c>
      <c r="B81" s="98">
        <f t="shared" ref="B81" si="21">B79+B80</f>
        <v>1476.34</v>
      </c>
      <c r="C81" s="98">
        <f t="shared" ref="C81:AF81" si="22">C79+C80</f>
        <v>1404.3400000000001</v>
      </c>
      <c r="D81" s="98">
        <f t="shared" si="22"/>
        <v>1417.74</v>
      </c>
      <c r="E81" s="98">
        <f t="shared" si="22"/>
        <v>1388.24</v>
      </c>
      <c r="F81" s="98">
        <f t="shared" si="22"/>
        <v>1381.74</v>
      </c>
      <c r="G81" s="98">
        <f t="shared" si="22"/>
        <v>1375.74</v>
      </c>
      <c r="H81" s="98">
        <f t="shared" si="22"/>
        <v>1335.74</v>
      </c>
      <c r="I81" s="98">
        <f t="shared" si="22"/>
        <v>1328.54</v>
      </c>
      <c r="J81" s="98">
        <f t="shared" si="22"/>
        <v>1291.54</v>
      </c>
      <c r="K81" s="98">
        <f t="shared" si="22"/>
        <v>1291.24</v>
      </c>
      <c r="L81" s="98">
        <f t="shared" si="22"/>
        <v>1286.44</v>
      </c>
      <c r="M81" s="98">
        <f t="shared" si="22"/>
        <v>1290.04</v>
      </c>
      <c r="N81" s="98">
        <f t="shared" si="22"/>
        <v>1300.1400000000001</v>
      </c>
      <c r="O81" s="98">
        <f t="shared" si="22"/>
        <v>1290.1400000000001</v>
      </c>
      <c r="P81" s="98">
        <f t="shared" si="22"/>
        <v>1264.8400000000001</v>
      </c>
      <c r="Q81" s="98">
        <f t="shared" si="22"/>
        <v>1260.44</v>
      </c>
      <c r="R81" s="98">
        <f t="shared" si="22"/>
        <v>1253.74</v>
      </c>
      <c r="S81" s="98">
        <f t="shared" si="22"/>
        <v>1214.04</v>
      </c>
      <c r="T81" s="98">
        <f t="shared" si="22"/>
        <v>1137.04</v>
      </c>
      <c r="U81" s="98">
        <f t="shared" si="22"/>
        <v>1181.94</v>
      </c>
      <c r="V81" s="98">
        <f t="shared" si="22"/>
        <v>1204.54</v>
      </c>
      <c r="W81" s="98">
        <f t="shared" si="22"/>
        <v>1295.7400000000002</v>
      </c>
      <c r="X81" s="98">
        <f t="shared" si="22"/>
        <v>1295.7400000000002</v>
      </c>
      <c r="Y81" s="98">
        <f t="shared" si="22"/>
        <v>1516.04</v>
      </c>
      <c r="Z81" s="98">
        <f t="shared" si="22"/>
        <v>1507.6399999999999</v>
      </c>
      <c r="AA81" s="98">
        <f t="shared" si="22"/>
        <v>1479.14</v>
      </c>
      <c r="AB81" s="98">
        <f t="shared" si="22"/>
        <v>1426.54</v>
      </c>
      <c r="AC81" s="98">
        <f t="shared" si="22"/>
        <v>1461.4399999999998</v>
      </c>
      <c r="AD81" s="98">
        <f t="shared" si="22"/>
        <v>1453.5399999999997</v>
      </c>
      <c r="AE81" s="98">
        <f t="shared" si="22"/>
        <v>1356.34</v>
      </c>
      <c r="AF81" s="98">
        <f t="shared" si="22"/>
        <v>1321.34</v>
      </c>
      <c r="AG81" s="85">
        <f>AG78+AG74+AG62+AG58+AG40+AG80</f>
        <v>1359.0900000000001</v>
      </c>
      <c r="AH81" s="20">
        <f t="shared" si="17"/>
        <v>1516.04</v>
      </c>
      <c r="AI81" s="19">
        <f t="shared" si="18"/>
        <v>1137.04</v>
      </c>
    </row>
    <row r="82" spans="1:37" ht="15.75" thickBot="1" x14ac:dyDescent="0.3">
      <c r="A82" s="87" t="s">
        <v>157</v>
      </c>
      <c r="B82" s="98">
        <f t="shared" ref="B82" si="23">B81-B89</f>
        <v>1076.3399999999999</v>
      </c>
      <c r="C82" s="98">
        <f t="shared" ref="C82:AF82" si="24">C81-C89</f>
        <v>993.34000000000015</v>
      </c>
      <c r="D82" s="98">
        <f t="shared" si="24"/>
        <v>1004.74</v>
      </c>
      <c r="E82" s="98">
        <f t="shared" si="24"/>
        <v>975.24</v>
      </c>
      <c r="F82" s="98">
        <f t="shared" si="24"/>
        <v>968.74</v>
      </c>
      <c r="G82" s="98">
        <f t="shared" si="24"/>
        <v>962.74</v>
      </c>
      <c r="H82" s="98">
        <f t="shared" si="24"/>
        <v>922.74</v>
      </c>
      <c r="I82" s="98">
        <f t="shared" si="24"/>
        <v>888.54</v>
      </c>
      <c r="J82" s="98">
        <f t="shared" si="24"/>
        <v>842.54</v>
      </c>
      <c r="K82" s="98">
        <f t="shared" si="24"/>
        <v>848.24</v>
      </c>
      <c r="L82" s="98">
        <f t="shared" si="24"/>
        <v>860.44</v>
      </c>
      <c r="M82" s="98">
        <f t="shared" si="24"/>
        <v>868.04</v>
      </c>
      <c r="N82" s="98">
        <f t="shared" si="24"/>
        <v>883.1400000000001</v>
      </c>
      <c r="O82" s="98">
        <f t="shared" si="24"/>
        <v>870.1400000000001</v>
      </c>
      <c r="P82" s="98">
        <f t="shared" si="24"/>
        <v>834.84000000000015</v>
      </c>
      <c r="Q82" s="98">
        <f t="shared" si="24"/>
        <v>828.44</v>
      </c>
      <c r="R82" s="98">
        <f t="shared" si="24"/>
        <v>803.74</v>
      </c>
      <c r="S82" s="98">
        <f t="shared" si="24"/>
        <v>773.04</v>
      </c>
      <c r="T82" s="98">
        <f t="shared" si="24"/>
        <v>766.93999999999994</v>
      </c>
      <c r="U82" s="98">
        <f t="shared" si="24"/>
        <v>771.6400000000001</v>
      </c>
      <c r="V82" s="98">
        <f t="shared" si="24"/>
        <v>815.54</v>
      </c>
      <c r="W82" s="98">
        <f t="shared" si="24"/>
        <v>914.24000000000024</v>
      </c>
      <c r="X82" s="98">
        <f t="shared" si="24"/>
        <v>910.74000000000024</v>
      </c>
      <c r="Y82" s="98">
        <f t="shared" si="24"/>
        <v>1111.04</v>
      </c>
      <c r="Z82" s="98">
        <f t="shared" si="24"/>
        <v>1093.6399999999999</v>
      </c>
      <c r="AA82" s="98">
        <f t="shared" si="24"/>
        <v>1075.1400000000001</v>
      </c>
      <c r="AB82" s="98">
        <f t="shared" si="24"/>
        <v>1048.54</v>
      </c>
      <c r="AC82" s="98">
        <f t="shared" si="24"/>
        <v>1063.4399999999998</v>
      </c>
      <c r="AD82" s="98">
        <f t="shared" si="24"/>
        <v>1049.5399999999997</v>
      </c>
      <c r="AE82" s="98">
        <f t="shared" si="24"/>
        <v>946.33999999999992</v>
      </c>
      <c r="AF82" s="98">
        <f t="shared" si="24"/>
        <v>901.33999999999992</v>
      </c>
      <c r="AG82" s="85"/>
      <c r="AH82" s="20">
        <f t="shared" si="17"/>
        <v>1111.04</v>
      </c>
      <c r="AI82" s="19">
        <f t="shared" si="18"/>
        <v>766.93999999999994</v>
      </c>
    </row>
    <row r="83" spans="1:37" x14ac:dyDescent="0.25">
      <c r="A83" s="97" t="s">
        <v>156</v>
      </c>
      <c r="B83" s="93">
        <f t="shared" ref="B83" si="25">IF(B66&lt;0,B66*-1,0)</f>
        <v>0</v>
      </c>
      <c r="C83" s="93">
        <f t="shared" ref="C83:AF83" si="26">IF(C66&lt;0,C66*-1,0)</f>
        <v>0</v>
      </c>
      <c r="D83" s="93">
        <f t="shared" si="26"/>
        <v>0</v>
      </c>
      <c r="E83" s="93">
        <f t="shared" si="26"/>
        <v>0</v>
      </c>
      <c r="F83" s="93">
        <f t="shared" si="26"/>
        <v>0</v>
      </c>
      <c r="G83" s="93">
        <f t="shared" si="26"/>
        <v>0</v>
      </c>
      <c r="H83" s="93">
        <f t="shared" si="26"/>
        <v>0</v>
      </c>
      <c r="I83" s="93">
        <f t="shared" si="26"/>
        <v>0</v>
      </c>
      <c r="J83" s="93">
        <f t="shared" si="26"/>
        <v>0</v>
      </c>
      <c r="K83" s="93">
        <f t="shared" si="26"/>
        <v>0</v>
      </c>
      <c r="L83" s="93">
        <f t="shared" si="26"/>
        <v>0</v>
      </c>
      <c r="M83" s="93">
        <f t="shared" si="26"/>
        <v>0</v>
      </c>
      <c r="N83" s="93">
        <f t="shared" si="26"/>
        <v>0</v>
      </c>
      <c r="O83" s="93">
        <f t="shared" si="26"/>
        <v>0</v>
      </c>
      <c r="P83" s="93">
        <f t="shared" si="26"/>
        <v>0</v>
      </c>
      <c r="Q83" s="93">
        <f t="shared" si="26"/>
        <v>0</v>
      </c>
      <c r="R83" s="93">
        <f t="shared" si="26"/>
        <v>0</v>
      </c>
      <c r="S83" s="93">
        <f t="shared" si="26"/>
        <v>0</v>
      </c>
      <c r="T83" s="93">
        <f t="shared" si="26"/>
        <v>0</v>
      </c>
      <c r="U83" s="93">
        <f t="shared" si="26"/>
        <v>0</v>
      </c>
      <c r="V83" s="93">
        <f t="shared" si="26"/>
        <v>0</v>
      </c>
      <c r="W83" s="93">
        <f t="shared" si="26"/>
        <v>0</v>
      </c>
      <c r="X83" s="93">
        <f t="shared" si="26"/>
        <v>0</v>
      </c>
      <c r="Y83" s="93">
        <f t="shared" si="26"/>
        <v>0</v>
      </c>
      <c r="Z83" s="93">
        <f t="shared" si="26"/>
        <v>0</v>
      </c>
      <c r="AA83" s="93">
        <f t="shared" si="26"/>
        <v>0</v>
      </c>
      <c r="AB83" s="93">
        <f t="shared" si="26"/>
        <v>0</v>
      </c>
      <c r="AC83" s="93">
        <f t="shared" si="26"/>
        <v>0</v>
      </c>
      <c r="AD83" s="93">
        <f t="shared" si="26"/>
        <v>0</v>
      </c>
      <c r="AE83" s="93">
        <f t="shared" si="26"/>
        <v>0</v>
      </c>
      <c r="AF83" s="93">
        <f t="shared" si="26"/>
        <v>0</v>
      </c>
      <c r="AG83" s="96"/>
      <c r="AH83" s="20">
        <f t="shared" si="17"/>
        <v>0</v>
      </c>
      <c r="AI83" s="19">
        <f t="shared" si="18"/>
        <v>0</v>
      </c>
    </row>
    <row r="84" spans="1:37" x14ac:dyDescent="0.25">
      <c r="A84" s="95" t="s">
        <v>155</v>
      </c>
      <c r="B84" s="93">
        <f t="shared" ref="B84" si="27">IF(B64&lt;0,B64*-1,0)</f>
        <v>0</v>
      </c>
      <c r="C84" s="93">
        <f t="shared" ref="C84:AF84" si="28">IF(C64&lt;0,C64*-1,0)</f>
        <v>0</v>
      </c>
      <c r="D84" s="93">
        <f t="shared" si="28"/>
        <v>0</v>
      </c>
      <c r="E84" s="93">
        <f t="shared" si="28"/>
        <v>0</v>
      </c>
      <c r="F84" s="93">
        <f t="shared" si="28"/>
        <v>0</v>
      </c>
      <c r="G84" s="93">
        <f t="shared" si="28"/>
        <v>0</v>
      </c>
      <c r="H84" s="93">
        <f t="shared" si="28"/>
        <v>0</v>
      </c>
      <c r="I84" s="93">
        <f t="shared" si="28"/>
        <v>0</v>
      </c>
      <c r="J84" s="93">
        <f t="shared" si="28"/>
        <v>0</v>
      </c>
      <c r="K84" s="93">
        <f t="shared" si="28"/>
        <v>0</v>
      </c>
      <c r="L84" s="93">
        <f t="shared" si="28"/>
        <v>0</v>
      </c>
      <c r="M84" s="93">
        <f t="shared" si="28"/>
        <v>0</v>
      </c>
      <c r="N84" s="93">
        <f t="shared" si="28"/>
        <v>0</v>
      </c>
      <c r="O84" s="93">
        <f t="shared" si="28"/>
        <v>0</v>
      </c>
      <c r="P84" s="93">
        <f t="shared" si="28"/>
        <v>0</v>
      </c>
      <c r="Q84" s="93">
        <f t="shared" si="28"/>
        <v>0</v>
      </c>
      <c r="R84" s="93">
        <f t="shared" si="28"/>
        <v>0</v>
      </c>
      <c r="S84" s="93">
        <f t="shared" si="28"/>
        <v>0</v>
      </c>
      <c r="T84" s="93">
        <f t="shared" si="28"/>
        <v>0</v>
      </c>
      <c r="U84" s="93">
        <f t="shared" si="28"/>
        <v>0</v>
      </c>
      <c r="V84" s="93">
        <f t="shared" si="28"/>
        <v>0</v>
      </c>
      <c r="W84" s="93">
        <f t="shared" si="28"/>
        <v>0</v>
      </c>
      <c r="X84" s="93">
        <f t="shared" si="28"/>
        <v>0</v>
      </c>
      <c r="Y84" s="93">
        <f t="shared" si="28"/>
        <v>0</v>
      </c>
      <c r="Z84" s="93">
        <f t="shared" si="28"/>
        <v>0</v>
      </c>
      <c r="AA84" s="93">
        <f t="shared" si="28"/>
        <v>0</v>
      </c>
      <c r="AB84" s="93">
        <f t="shared" si="28"/>
        <v>0</v>
      </c>
      <c r="AC84" s="93">
        <f t="shared" si="28"/>
        <v>0</v>
      </c>
      <c r="AD84" s="93">
        <f t="shared" si="28"/>
        <v>0</v>
      </c>
      <c r="AE84" s="93">
        <f t="shared" si="28"/>
        <v>0</v>
      </c>
      <c r="AF84" s="93">
        <f t="shared" si="28"/>
        <v>0</v>
      </c>
      <c r="AG84" s="94"/>
      <c r="AH84" s="20">
        <f t="shared" si="17"/>
        <v>0</v>
      </c>
      <c r="AI84" s="19">
        <f t="shared" si="18"/>
        <v>0</v>
      </c>
    </row>
    <row r="85" spans="1:37" x14ac:dyDescent="0.25">
      <c r="A85" s="91" t="s">
        <v>154</v>
      </c>
      <c r="B85" s="93">
        <f t="shared" ref="B85" si="29">IF(B67&lt;0,B67*-1,0)</f>
        <v>0</v>
      </c>
      <c r="C85" s="93">
        <f t="shared" ref="C85:AF85" si="30">IF(C67&lt;0,C67*-1,0)</f>
        <v>0</v>
      </c>
      <c r="D85" s="93">
        <f t="shared" si="30"/>
        <v>0</v>
      </c>
      <c r="E85" s="93">
        <f t="shared" si="30"/>
        <v>0</v>
      </c>
      <c r="F85" s="93">
        <f t="shared" si="30"/>
        <v>0</v>
      </c>
      <c r="G85" s="93">
        <f t="shared" si="30"/>
        <v>0</v>
      </c>
      <c r="H85" s="93">
        <f t="shared" si="30"/>
        <v>0</v>
      </c>
      <c r="I85" s="93">
        <f t="shared" si="30"/>
        <v>0</v>
      </c>
      <c r="J85" s="93">
        <f t="shared" si="30"/>
        <v>0</v>
      </c>
      <c r="K85" s="93">
        <f t="shared" si="30"/>
        <v>0</v>
      </c>
      <c r="L85" s="93">
        <f t="shared" si="30"/>
        <v>0</v>
      </c>
      <c r="M85" s="93">
        <f t="shared" si="30"/>
        <v>0</v>
      </c>
      <c r="N85" s="93">
        <f t="shared" si="30"/>
        <v>0</v>
      </c>
      <c r="O85" s="93">
        <f t="shared" si="30"/>
        <v>0</v>
      </c>
      <c r="P85" s="93">
        <f t="shared" si="30"/>
        <v>0</v>
      </c>
      <c r="Q85" s="93">
        <f t="shared" si="30"/>
        <v>0</v>
      </c>
      <c r="R85" s="93">
        <f t="shared" si="30"/>
        <v>0</v>
      </c>
      <c r="S85" s="93">
        <f t="shared" si="30"/>
        <v>0</v>
      </c>
      <c r="T85" s="93">
        <f t="shared" si="30"/>
        <v>0</v>
      </c>
      <c r="U85" s="93">
        <f t="shared" si="30"/>
        <v>0</v>
      </c>
      <c r="V85" s="93">
        <f t="shared" si="30"/>
        <v>0</v>
      </c>
      <c r="W85" s="93">
        <f t="shared" si="30"/>
        <v>0</v>
      </c>
      <c r="X85" s="93">
        <f t="shared" si="30"/>
        <v>0</v>
      </c>
      <c r="Y85" s="93">
        <f t="shared" si="30"/>
        <v>0</v>
      </c>
      <c r="Z85" s="93">
        <f t="shared" si="30"/>
        <v>0</v>
      </c>
      <c r="AA85" s="93">
        <f t="shared" si="30"/>
        <v>0</v>
      </c>
      <c r="AB85" s="93">
        <f t="shared" si="30"/>
        <v>0</v>
      </c>
      <c r="AC85" s="93">
        <f t="shared" si="30"/>
        <v>0</v>
      </c>
      <c r="AD85" s="93">
        <f t="shared" si="30"/>
        <v>0</v>
      </c>
      <c r="AE85" s="93">
        <f t="shared" si="30"/>
        <v>0</v>
      </c>
      <c r="AF85" s="93">
        <f t="shared" si="30"/>
        <v>0</v>
      </c>
      <c r="AG85" s="92"/>
      <c r="AH85" s="20">
        <f t="shared" si="17"/>
        <v>0</v>
      </c>
      <c r="AI85" s="19">
        <f t="shared" si="18"/>
        <v>0</v>
      </c>
    </row>
    <row r="86" spans="1:37" x14ac:dyDescent="0.25">
      <c r="A86" s="91" t="s">
        <v>153</v>
      </c>
      <c r="B86" s="93">
        <f t="shared" ref="B86" si="31">IF(B65&lt;0,B65*-1,0)</f>
        <v>400</v>
      </c>
      <c r="C86" s="93">
        <f t="shared" ref="C86:AF86" si="32">IF(C65&lt;0,C65*-1,0)</f>
        <v>411</v>
      </c>
      <c r="D86" s="93">
        <f t="shared" si="32"/>
        <v>413</v>
      </c>
      <c r="E86" s="93">
        <f t="shared" si="32"/>
        <v>413</v>
      </c>
      <c r="F86" s="93">
        <f t="shared" si="32"/>
        <v>413</v>
      </c>
      <c r="G86" s="93">
        <f t="shared" si="32"/>
        <v>413</v>
      </c>
      <c r="H86" s="93">
        <f t="shared" si="32"/>
        <v>413</v>
      </c>
      <c r="I86" s="93">
        <f t="shared" si="32"/>
        <v>440</v>
      </c>
      <c r="J86" s="93">
        <f t="shared" si="32"/>
        <v>449</v>
      </c>
      <c r="K86" s="93">
        <f t="shared" si="32"/>
        <v>443</v>
      </c>
      <c r="L86" s="93">
        <f t="shared" si="32"/>
        <v>426</v>
      </c>
      <c r="M86" s="93">
        <f t="shared" si="32"/>
        <v>422</v>
      </c>
      <c r="N86" s="93">
        <f t="shared" si="32"/>
        <v>417</v>
      </c>
      <c r="O86" s="93">
        <f t="shared" si="32"/>
        <v>420</v>
      </c>
      <c r="P86" s="93">
        <f t="shared" si="32"/>
        <v>430</v>
      </c>
      <c r="Q86" s="93">
        <f t="shared" si="32"/>
        <v>432</v>
      </c>
      <c r="R86" s="93">
        <f t="shared" si="32"/>
        <v>450</v>
      </c>
      <c r="S86" s="93">
        <f t="shared" si="32"/>
        <v>441</v>
      </c>
      <c r="T86" s="93">
        <f t="shared" si="32"/>
        <v>370.1</v>
      </c>
      <c r="U86" s="93">
        <f t="shared" si="32"/>
        <v>410.3</v>
      </c>
      <c r="V86" s="93">
        <f t="shared" si="32"/>
        <v>389</v>
      </c>
      <c r="W86" s="93">
        <f t="shared" si="32"/>
        <v>381.5</v>
      </c>
      <c r="X86" s="93">
        <f t="shared" si="32"/>
        <v>385</v>
      </c>
      <c r="Y86" s="93">
        <f t="shared" si="32"/>
        <v>405</v>
      </c>
      <c r="Z86" s="93">
        <f t="shared" si="32"/>
        <v>414</v>
      </c>
      <c r="AA86" s="93">
        <f t="shared" si="32"/>
        <v>404</v>
      </c>
      <c r="AB86" s="93">
        <f t="shared" si="32"/>
        <v>378</v>
      </c>
      <c r="AC86" s="93">
        <f t="shared" si="32"/>
        <v>398</v>
      </c>
      <c r="AD86" s="93">
        <f t="shared" si="32"/>
        <v>404</v>
      </c>
      <c r="AE86" s="93">
        <f t="shared" si="32"/>
        <v>410</v>
      </c>
      <c r="AF86" s="93">
        <f t="shared" si="32"/>
        <v>420</v>
      </c>
      <c r="AG86" s="92"/>
      <c r="AH86" s="20">
        <f t="shared" si="17"/>
        <v>450</v>
      </c>
      <c r="AI86" s="19">
        <f t="shared" si="18"/>
        <v>370.1</v>
      </c>
    </row>
    <row r="87" spans="1:37" x14ac:dyDescent="0.25">
      <c r="A87" s="91" t="s">
        <v>152</v>
      </c>
      <c r="B87" s="93">
        <f t="shared" ref="B87" si="33">IF(B63&lt;0,B63*-1,0)</f>
        <v>0</v>
      </c>
      <c r="C87" s="93">
        <f t="shared" ref="C87:AF87" si="34">IF(C63&lt;0,C63*-1,0)</f>
        <v>0</v>
      </c>
      <c r="D87" s="93">
        <f t="shared" si="34"/>
        <v>0</v>
      </c>
      <c r="E87" s="93">
        <f t="shared" si="34"/>
        <v>0</v>
      </c>
      <c r="F87" s="93">
        <f t="shared" si="34"/>
        <v>0</v>
      </c>
      <c r="G87" s="93">
        <f t="shared" si="34"/>
        <v>0</v>
      </c>
      <c r="H87" s="93">
        <f t="shared" si="34"/>
        <v>0</v>
      </c>
      <c r="I87" s="93">
        <f t="shared" si="34"/>
        <v>0</v>
      </c>
      <c r="J87" s="93">
        <f t="shared" si="34"/>
        <v>0</v>
      </c>
      <c r="K87" s="93">
        <f t="shared" si="34"/>
        <v>0</v>
      </c>
      <c r="L87" s="93">
        <f t="shared" si="34"/>
        <v>0</v>
      </c>
      <c r="M87" s="93">
        <f t="shared" si="34"/>
        <v>0</v>
      </c>
      <c r="N87" s="93">
        <f t="shared" si="34"/>
        <v>0</v>
      </c>
      <c r="O87" s="93">
        <f t="shared" si="34"/>
        <v>0</v>
      </c>
      <c r="P87" s="93">
        <f t="shared" si="34"/>
        <v>0</v>
      </c>
      <c r="Q87" s="93">
        <f t="shared" si="34"/>
        <v>0</v>
      </c>
      <c r="R87" s="93">
        <f t="shared" si="34"/>
        <v>0</v>
      </c>
      <c r="S87" s="93">
        <f t="shared" si="34"/>
        <v>0</v>
      </c>
      <c r="T87" s="93">
        <f t="shared" si="34"/>
        <v>0</v>
      </c>
      <c r="U87" s="93">
        <f t="shared" si="34"/>
        <v>0</v>
      </c>
      <c r="V87" s="93">
        <f t="shared" si="34"/>
        <v>0</v>
      </c>
      <c r="W87" s="93">
        <f t="shared" si="34"/>
        <v>0</v>
      </c>
      <c r="X87" s="93">
        <f t="shared" si="34"/>
        <v>0</v>
      </c>
      <c r="Y87" s="93">
        <f t="shared" si="34"/>
        <v>0</v>
      </c>
      <c r="Z87" s="93">
        <f t="shared" si="34"/>
        <v>0</v>
      </c>
      <c r="AA87" s="93">
        <f t="shared" si="34"/>
        <v>0</v>
      </c>
      <c r="AB87" s="93">
        <f t="shared" si="34"/>
        <v>0</v>
      </c>
      <c r="AC87" s="93">
        <f t="shared" si="34"/>
        <v>0</v>
      </c>
      <c r="AD87" s="93">
        <f t="shared" si="34"/>
        <v>0</v>
      </c>
      <c r="AE87" s="93">
        <f t="shared" si="34"/>
        <v>0</v>
      </c>
      <c r="AF87" s="93">
        <f t="shared" si="34"/>
        <v>0</v>
      </c>
      <c r="AG87" s="92"/>
      <c r="AH87" s="20">
        <f t="shared" si="17"/>
        <v>0</v>
      </c>
      <c r="AI87" s="19">
        <f t="shared" si="18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17"/>
        <v>0</v>
      </c>
      <c r="AI88" s="19">
        <f t="shared" si="18"/>
        <v>0</v>
      </c>
    </row>
    <row r="89" spans="1:37" ht="15.75" thickBot="1" x14ac:dyDescent="0.3">
      <c r="A89" s="88" t="s">
        <v>150</v>
      </c>
      <c r="B89" s="86">
        <f t="shared" ref="B89" si="35">SUM(B83:B88)</f>
        <v>400</v>
      </c>
      <c r="C89" s="86">
        <f t="shared" ref="C89:AF89" si="36">SUM(C83:C88)</f>
        <v>411</v>
      </c>
      <c r="D89" s="86">
        <f t="shared" si="36"/>
        <v>413</v>
      </c>
      <c r="E89" s="86">
        <f t="shared" si="36"/>
        <v>413</v>
      </c>
      <c r="F89" s="86">
        <f t="shared" si="36"/>
        <v>413</v>
      </c>
      <c r="G89" s="86">
        <f t="shared" si="36"/>
        <v>413</v>
      </c>
      <c r="H89" s="86">
        <f t="shared" si="36"/>
        <v>413</v>
      </c>
      <c r="I89" s="86">
        <f t="shared" si="36"/>
        <v>440</v>
      </c>
      <c r="J89" s="86">
        <f t="shared" si="36"/>
        <v>449</v>
      </c>
      <c r="K89" s="86">
        <f t="shared" si="36"/>
        <v>443</v>
      </c>
      <c r="L89" s="86">
        <f t="shared" si="36"/>
        <v>426</v>
      </c>
      <c r="M89" s="86">
        <f t="shared" si="36"/>
        <v>422</v>
      </c>
      <c r="N89" s="86">
        <f t="shared" si="36"/>
        <v>417</v>
      </c>
      <c r="O89" s="86">
        <f t="shared" si="36"/>
        <v>420</v>
      </c>
      <c r="P89" s="86">
        <f t="shared" si="36"/>
        <v>430</v>
      </c>
      <c r="Q89" s="86">
        <f t="shared" si="36"/>
        <v>432</v>
      </c>
      <c r="R89" s="86">
        <f t="shared" si="36"/>
        <v>450</v>
      </c>
      <c r="S89" s="86">
        <f t="shared" si="36"/>
        <v>441</v>
      </c>
      <c r="T89" s="86">
        <f t="shared" si="36"/>
        <v>370.1</v>
      </c>
      <c r="U89" s="86">
        <f t="shared" si="36"/>
        <v>410.3</v>
      </c>
      <c r="V89" s="86">
        <f t="shared" si="36"/>
        <v>389</v>
      </c>
      <c r="W89" s="86">
        <f t="shared" si="36"/>
        <v>381.5</v>
      </c>
      <c r="X89" s="86">
        <f t="shared" si="36"/>
        <v>385</v>
      </c>
      <c r="Y89" s="86">
        <f t="shared" si="36"/>
        <v>405</v>
      </c>
      <c r="Z89" s="86">
        <f t="shared" si="36"/>
        <v>414</v>
      </c>
      <c r="AA89" s="86">
        <f t="shared" si="36"/>
        <v>404</v>
      </c>
      <c r="AB89" s="86">
        <f t="shared" si="36"/>
        <v>378</v>
      </c>
      <c r="AC89" s="86">
        <f t="shared" si="36"/>
        <v>398</v>
      </c>
      <c r="AD89" s="86">
        <f t="shared" si="36"/>
        <v>404</v>
      </c>
      <c r="AE89" s="86">
        <f t="shared" si="36"/>
        <v>410</v>
      </c>
      <c r="AF89" s="86">
        <f t="shared" si="36"/>
        <v>420</v>
      </c>
      <c r="AG89" s="85"/>
      <c r="AH89" s="20">
        <f t="shared" si="17"/>
        <v>450</v>
      </c>
      <c r="AI89" s="19">
        <f t="shared" si="18"/>
        <v>370.1</v>
      </c>
      <c r="AK89" s="41"/>
    </row>
    <row r="90" spans="1:37" ht="15.75" thickBot="1" x14ac:dyDescent="0.3">
      <c r="A90" s="87" t="s">
        <v>149</v>
      </c>
      <c r="B90" s="86">
        <f t="shared" ref="B90" si="37">B74-B89</f>
        <v>-400</v>
      </c>
      <c r="C90" s="86">
        <f t="shared" ref="C90:AF90" si="38">C74-C89</f>
        <v>-386</v>
      </c>
      <c r="D90" s="86">
        <f t="shared" si="38"/>
        <v>-387</v>
      </c>
      <c r="E90" s="86">
        <f t="shared" si="38"/>
        <v>-396</v>
      </c>
      <c r="F90" s="86">
        <f t="shared" si="38"/>
        <v>-398</v>
      </c>
      <c r="G90" s="86">
        <f t="shared" si="38"/>
        <v>-404</v>
      </c>
      <c r="H90" s="86">
        <f t="shared" si="38"/>
        <v>-406</v>
      </c>
      <c r="I90" s="86">
        <f t="shared" si="38"/>
        <v>-440</v>
      </c>
      <c r="J90" s="86">
        <f t="shared" si="38"/>
        <v>-449</v>
      </c>
      <c r="K90" s="86">
        <f t="shared" si="38"/>
        <v>-443</v>
      </c>
      <c r="L90" s="86">
        <f t="shared" si="38"/>
        <v>-426</v>
      </c>
      <c r="M90" s="86">
        <f t="shared" si="38"/>
        <v>-422</v>
      </c>
      <c r="N90" s="86">
        <f t="shared" si="38"/>
        <v>-417</v>
      </c>
      <c r="O90" s="86">
        <f t="shared" si="38"/>
        <v>-420</v>
      </c>
      <c r="P90" s="86">
        <f t="shared" si="38"/>
        <v>-430</v>
      </c>
      <c r="Q90" s="86">
        <f t="shared" si="38"/>
        <v>-432</v>
      </c>
      <c r="R90" s="86">
        <f t="shared" si="38"/>
        <v>-450</v>
      </c>
      <c r="S90" s="86">
        <f t="shared" si="38"/>
        <v>-441</v>
      </c>
      <c r="T90" s="86">
        <f t="shared" si="38"/>
        <v>-370.1</v>
      </c>
      <c r="U90" s="86">
        <f t="shared" si="38"/>
        <v>-410.3</v>
      </c>
      <c r="V90" s="86">
        <f t="shared" si="38"/>
        <v>-389</v>
      </c>
      <c r="W90" s="86">
        <f t="shared" si="38"/>
        <v>-381.5</v>
      </c>
      <c r="X90" s="86">
        <f t="shared" si="38"/>
        <v>-385</v>
      </c>
      <c r="Y90" s="86">
        <f t="shared" si="38"/>
        <v>-381</v>
      </c>
      <c r="Z90" s="86">
        <f t="shared" si="38"/>
        <v>-376.9</v>
      </c>
      <c r="AA90" s="86">
        <f t="shared" si="38"/>
        <v>-376.1</v>
      </c>
      <c r="AB90" s="86">
        <f t="shared" si="38"/>
        <v>-349.1</v>
      </c>
      <c r="AC90" s="86">
        <f t="shared" si="38"/>
        <v>-369</v>
      </c>
      <c r="AD90" s="86">
        <f t="shared" si="38"/>
        <v>-374.9</v>
      </c>
      <c r="AE90" s="86">
        <f t="shared" si="38"/>
        <v>-385</v>
      </c>
      <c r="AF90" s="86">
        <f t="shared" si="38"/>
        <v>-410</v>
      </c>
      <c r="AG90" s="85"/>
      <c r="AH90" s="20">
        <f t="shared" si="17"/>
        <v>-349.1</v>
      </c>
      <c r="AI90" s="19">
        <f t="shared" si="18"/>
        <v>-450</v>
      </c>
    </row>
    <row r="91" spans="1:37" x14ac:dyDescent="0.25">
      <c r="A91" s="47" t="s">
        <v>148</v>
      </c>
      <c r="B91" s="84">
        <v>50.003999999999998</v>
      </c>
      <c r="C91" s="84">
        <v>50.012</v>
      </c>
      <c r="D91" s="84">
        <v>50.015999999999998</v>
      </c>
      <c r="E91" s="84">
        <v>50.015999999999998</v>
      </c>
      <c r="F91" s="84">
        <v>50.03</v>
      </c>
      <c r="G91" s="84">
        <v>50.03</v>
      </c>
      <c r="H91" s="84">
        <v>50.03</v>
      </c>
      <c r="I91" s="84">
        <v>50.03</v>
      </c>
      <c r="J91" s="84">
        <v>50.03</v>
      </c>
      <c r="K91" s="84">
        <v>50.09</v>
      </c>
      <c r="L91" s="84">
        <v>50.01</v>
      </c>
      <c r="M91" s="84">
        <v>49.963000000000001</v>
      </c>
      <c r="N91" s="84">
        <v>49.968000000000004</v>
      </c>
      <c r="O91" s="84">
        <v>49.997999999999998</v>
      </c>
      <c r="P91" s="84">
        <v>50.031999999999996</v>
      </c>
      <c r="Q91" s="84">
        <v>50.021999999999998</v>
      </c>
      <c r="R91" s="84">
        <v>49.984999999999999</v>
      </c>
      <c r="S91" s="84">
        <v>50.015000000000001</v>
      </c>
      <c r="T91" s="84">
        <v>50.03</v>
      </c>
      <c r="U91" s="84">
        <v>49.935000000000002</v>
      </c>
      <c r="V91" s="84">
        <v>49.994999999999997</v>
      </c>
      <c r="W91" s="84">
        <v>50.01</v>
      </c>
      <c r="X91" s="84">
        <v>50.05</v>
      </c>
      <c r="Y91" s="84">
        <v>49.91</v>
      </c>
      <c r="Z91" s="84">
        <v>49.91</v>
      </c>
      <c r="AA91" s="84">
        <v>50.03</v>
      </c>
      <c r="AB91" s="84">
        <v>50.048999999999999</v>
      </c>
      <c r="AC91" s="84">
        <v>49.98</v>
      </c>
      <c r="AD91" s="84">
        <v>49.97</v>
      </c>
      <c r="AE91" s="84">
        <v>49.97</v>
      </c>
      <c r="AF91" s="84">
        <v>50</v>
      </c>
      <c r="AG91" s="83"/>
      <c r="AH91" s="20">
        <f t="shared" si="17"/>
        <v>50.09</v>
      </c>
      <c r="AI91" s="19">
        <f t="shared" si="18"/>
        <v>49.91</v>
      </c>
    </row>
    <row r="92" spans="1:37" x14ac:dyDescent="0.25">
      <c r="A92" s="44" t="s">
        <v>147</v>
      </c>
      <c r="B92" s="80">
        <v>127.9</v>
      </c>
      <c r="C92" s="80">
        <v>128.30000000000001</v>
      </c>
      <c r="D92" s="80">
        <v>129.4</v>
      </c>
      <c r="E92" s="80">
        <v>129.4</v>
      </c>
      <c r="F92" s="80">
        <v>130</v>
      </c>
      <c r="G92" s="80">
        <v>130</v>
      </c>
      <c r="H92" s="80">
        <v>130</v>
      </c>
      <c r="I92" s="80">
        <v>130.80000000000001</v>
      </c>
      <c r="J92" s="80">
        <v>130.80000000000001</v>
      </c>
      <c r="K92" s="80">
        <v>130.4</v>
      </c>
      <c r="L92" s="80">
        <v>130.19999999999999</v>
      </c>
      <c r="M92" s="80">
        <v>131</v>
      </c>
      <c r="N92" s="80">
        <v>130.30000000000001</v>
      </c>
      <c r="O92" s="80">
        <v>130</v>
      </c>
      <c r="P92" s="80">
        <v>130.1</v>
      </c>
      <c r="Q92" s="80">
        <v>130.5</v>
      </c>
      <c r="R92" s="80">
        <v>130.80000000000001</v>
      </c>
      <c r="S92" s="80">
        <v>130.69999999999999</v>
      </c>
      <c r="T92" s="80">
        <v>129.69999999999999</v>
      </c>
      <c r="U92" s="80">
        <v>129.1</v>
      </c>
      <c r="V92" s="80">
        <v>129.19999999999999</v>
      </c>
      <c r="W92" s="80">
        <v>128.9</v>
      </c>
      <c r="X92" s="80">
        <v>127</v>
      </c>
      <c r="Y92" s="80">
        <v>128.9</v>
      </c>
      <c r="Z92" s="80">
        <v>128.9</v>
      </c>
      <c r="AA92" s="80">
        <v>128.69999999999999</v>
      </c>
      <c r="AB92" s="80">
        <v>128.30000000000001</v>
      </c>
      <c r="AC92" s="80">
        <v>128.69999999999999</v>
      </c>
      <c r="AD92" s="80">
        <v>128.80000000000001</v>
      </c>
      <c r="AE92" s="80">
        <v>129</v>
      </c>
      <c r="AF92" s="80">
        <v>129</v>
      </c>
      <c r="AG92" s="79"/>
      <c r="AH92" s="20">
        <f t="shared" si="17"/>
        <v>131</v>
      </c>
      <c r="AI92" s="19">
        <f t="shared" si="18"/>
        <v>127</v>
      </c>
    </row>
    <row r="93" spans="1:37" x14ac:dyDescent="0.25">
      <c r="A93" s="44" t="s">
        <v>146</v>
      </c>
      <c r="B93" s="80">
        <v>131.6</v>
      </c>
      <c r="C93" s="80">
        <v>131.4</v>
      </c>
      <c r="D93" s="80">
        <v>132.6</v>
      </c>
      <c r="E93" s="80">
        <v>132.6</v>
      </c>
      <c r="F93" s="80">
        <v>131</v>
      </c>
      <c r="G93" s="80">
        <v>131</v>
      </c>
      <c r="H93" s="80">
        <v>131</v>
      </c>
      <c r="I93" s="80">
        <v>132.6</v>
      </c>
      <c r="J93" s="80">
        <v>132.6</v>
      </c>
      <c r="K93" s="80">
        <v>132.30000000000001</v>
      </c>
      <c r="L93" s="80">
        <v>132.19999999999999</v>
      </c>
      <c r="M93" s="80">
        <v>133</v>
      </c>
      <c r="N93" s="80">
        <v>132.19999999999999</v>
      </c>
      <c r="O93" s="80">
        <v>132</v>
      </c>
      <c r="P93" s="80">
        <v>132</v>
      </c>
      <c r="Q93" s="80">
        <v>132.4</v>
      </c>
      <c r="R93" s="80">
        <v>132.80000000000001</v>
      </c>
      <c r="S93" s="80">
        <v>132.6</v>
      </c>
      <c r="T93" s="80">
        <v>131.80000000000001</v>
      </c>
      <c r="U93" s="80">
        <v>131.5</v>
      </c>
      <c r="V93" s="80">
        <v>131.6</v>
      </c>
      <c r="W93" s="80">
        <v>131.6</v>
      </c>
      <c r="X93" s="80">
        <v>131.6</v>
      </c>
      <c r="Y93" s="80">
        <v>131.6</v>
      </c>
      <c r="Z93" s="80">
        <v>131.6</v>
      </c>
      <c r="AA93" s="80">
        <v>131.4</v>
      </c>
      <c r="AB93" s="80">
        <v>131.19999999999999</v>
      </c>
      <c r="AC93" s="80">
        <v>131.80000000000001</v>
      </c>
      <c r="AD93" s="80">
        <v>132</v>
      </c>
      <c r="AE93" s="80">
        <v>132</v>
      </c>
      <c r="AF93" s="80">
        <v>132</v>
      </c>
      <c r="AG93" s="79"/>
      <c r="AH93" s="20">
        <f t="shared" si="17"/>
        <v>133</v>
      </c>
      <c r="AI93" s="19">
        <f t="shared" si="18"/>
        <v>131</v>
      </c>
    </row>
    <row r="94" spans="1:37" x14ac:dyDescent="0.25">
      <c r="A94" s="44" t="s">
        <v>145</v>
      </c>
      <c r="B94" s="80">
        <v>131.5</v>
      </c>
      <c r="C94" s="80">
        <v>131</v>
      </c>
      <c r="D94" s="80">
        <v>131.5</v>
      </c>
      <c r="E94" s="80">
        <v>131.5</v>
      </c>
      <c r="F94" s="80">
        <v>131.5</v>
      </c>
      <c r="G94" s="80">
        <v>131.5</v>
      </c>
      <c r="H94" s="80">
        <v>131.5</v>
      </c>
      <c r="I94" s="80">
        <v>132.69999999999999</v>
      </c>
      <c r="J94" s="80">
        <v>132.69999999999999</v>
      </c>
      <c r="K94" s="80">
        <v>132.5</v>
      </c>
      <c r="L94" s="80">
        <v>132.1</v>
      </c>
      <c r="M94" s="80">
        <v>132</v>
      </c>
      <c r="N94" s="80">
        <v>130.6</v>
      </c>
      <c r="O94" s="80">
        <v>131</v>
      </c>
      <c r="P94" s="80">
        <v>132.4</v>
      </c>
      <c r="Q94" s="80">
        <v>11130.4</v>
      </c>
      <c r="R94" s="80">
        <v>130.19999999999999</v>
      </c>
      <c r="S94" s="80">
        <v>133.4</v>
      </c>
      <c r="T94" s="80">
        <v>132.9</v>
      </c>
      <c r="U94" s="80">
        <v>131.6</v>
      </c>
      <c r="V94" s="80">
        <v>130.80000000000001</v>
      </c>
      <c r="W94" s="80">
        <v>132</v>
      </c>
      <c r="X94" s="80">
        <v>132</v>
      </c>
      <c r="Y94" s="80">
        <v>132.30000000000001</v>
      </c>
      <c r="Z94" s="80">
        <v>132.30000000000001</v>
      </c>
      <c r="AA94" s="80">
        <v>132.19999999999999</v>
      </c>
      <c r="AB94" s="80">
        <v>133.69999999999999</v>
      </c>
      <c r="AC94" s="80">
        <v>132</v>
      </c>
      <c r="AD94" s="80">
        <v>131.6</v>
      </c>
      <c r="AE94" s="80">
        <v>132</v>
      </c>
      <c r="AF94" s="80">
        <v>132</v>
      </c>
      <c r="AG94" s="79"/>
      <c r="AH94" s="20">
        <f t="shared" si="17"/>
        <v>11130.4</v>
      </c>
      <c r="AI94" s="19">
        <f t="shared" si="18"/>
        <v>130.19999999999999</v>
      </c>
    </row>
    <row r="95" spans="1:37" x14ac:dyDescent="0.25">
      <c r="A95" s="82" t="s">
        <v>144</v>
      </c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79"/>
      <c r="AH95" s="20">
        <f t="shared" si="17"/>
        <v>0</v>
      </c>
      <c r="AI95" s="19">
        <f t="shared" si="18"/>
        <v>0</v>
      </c>
    </row>
    <row r="96" spans="1:37" x14ac:dyDescent="0.25">
      <c r="A96" s="82" t="s">
        <v>143</v>
      </c>
      <c r="B96" s="66">
        <v>133.9</v>
      </c>
      <c r="C96" s="66">
        <v>128</v>
      </c>
      <c r="D96" s="66">
        <v>128.5</v>
      </c>
      <c r="E96" s="66">
        <v>128.5</v>
      </c>
      <c r="F96" s="66">
        <v>129</v>
      </c>
      <c r="G96" s="66">
        <v>129</v>
      </c>
      <c r="H96" s="66">
        <v>129</v>
      </c>
      <c r="I96" s="66">
        <v>129</v>
      </c>
      <c r="J96" s="66">
        <v>129</v>
      </c>
      <c r="K96" s="66">
        <v>129.80000000000001</v>
      </c>
      <c r="L96" s="66">
        <v>129.30000000000001</v>
      </c>
      <c r="M96" s="66">
        <v>131.5</v>
      </c>
      <c r="N96" s="66">
        <v>130.69999999999999</v>
      </c>
      <c r="O96" s="66">
        <v>129.5</v>
      </c>
      <c r="P96" s="66">
        <v>130.30000000000001</v>
      </c>
      <c r="Q96" s="66">
        <v>131.4</v>
      </c>
      <c r="R96" s="66">
        <v>131.30000000000001</v>
      </c>
      <c r="S96" s="66">
        <v>132.69999999999999</v>
      </c>
      <c r="T96" s="66">
        <v>132.4</v>
      </c>
      <c r="U96" s="66">
        <v>133</v>
      </c>
      <c r="V96" s="66">
        <v>131.69999999999999</v>
      </c>
      <c r="W96" s="66">
        <v>130.9</v>
      </c>
      <c r="X96" s="66">
        <v>130.9</v>
      </c>
      <c r="Y96" s="66">
        <v>130.9</v>
      </c>
      <c r="Z96" s="66">
        <v>130.9</v>
      </c>
      <c r="AA96" s="66">
        <v>130.4</v>
      </c>
      <c r="AB96" s="66">
        <v>128.5</v>
      </c>
      <c r="AC96" s="66">
        <v>129.5</v>
      </c>
      <c r="AD96" s="66">
        <v>129</v>
      </c>
      <c r="AE96" s="66">
        <v>130</v>
      </c>
      <c r="AF96" s="66">
        <v>130</v>
      </c>
      <c r="AG96" s="81"/>
      <c r="AH96" s="20">
        <f t="shared" si="17"/>
        <v>133.9</v>
      </c>
      <c r="AI96" s="19">
        <f t="shared" si="18"/>
        <v>128</v>
      </c>
    </row>
    <row r="97" spans="1:37" x14ac:dyDescent="0.25">
      <c r="A97" s="44" t="s">
        <v>142</v>
      </c>
      <c r="B97" s="80">
        <v>137.69999999999999</v>
      </c>
      <c r="C97" s="80">
        <v>133.4</v>
      </c>
      <c r="D97" s="80">
        <v>134.4</v>
      </c>
      <c r="E97" s="80">
        <v>134.4</v>
      </c>
      <c r="F97" s="80">
        <v>131.6</v>
      </c>
      <c r="G97" s="80">
        <v>131.6</v>
      </c>
      <c r="H97" s="80">
        <v>131.6</v>
      </c>
      <c r="I97" s="80">
        <v>131.6</v>
      </c>
      <c r="J97" s="80">
        <v>131.6</v>
      </c>
      <c r="K97" s="80">
        <v>132.4</v>
      </c>
      <c r="L97" s="80">
        <v>131.69999999999999</v>
      </c>
      <c r="M97" s="80">
        <v>133.30000000000001</v>
      </c>
      <c r="N97" s="80">
        <v>131.5</v>
      </c>
      <c r="O97" s="80">
        <v>130.69999999999999</v>
      </c>
      <c r="P97" s="80">
        <v>130.69999999999999</v>
      </c>
      <c r="Q97" s="80">
        <v>131.4</v>
      </c>
      <c r="R97" s="80">
        <v>131.5</v>
      </c>
      <c r="S97" s="80">
        <v>132.5</v>
      </c>
      <c r="T97" s="80">
        <v>132.19999999999999</v>
      </c>
      <c r="U97" s="80">
        <v>133</v>
      </c>
      <c r="V97" s="80">
        <v>132.80000000000001</v>
      </c>
      <c r="W97" s="80">
        <v>132</v>
      </c>
      <c r="X97" s="80">
        <v>132</v>
      </c>
      <c r="Y97" s="80">
        <v>132</v>
      </c>
      <c r="Z97" s="80">
        <v>132</v>
      </c>
      <c r="AA97" s="80">
        <v>130.9</v>
      </c>
      <c r="AB97" s="80">
        <v>128.9</v>
      </c>
      <c r="AC97" s="80">
        <v>130</v>
      </c>
      <c r="AD97" s="80">
        <v>130</v>
      </c>
      <c r="AE97" s="80">
        <v>131</v>
      </c>
      <c r="AF97" s="80">
        <v>131</v>
      </c>
      <c r="AG97" s="79"/>
      <c r="AH97" s="20">
        <f t="shared" si="17"/>
        <v>137.69999999999999</v>
      </c>
      <c r="AI97" s="19">
        <f t="shared" si="18"/>
        <v>128.9</v>
      </c>
    </row>
    <row r="98" spans="1:37" ht="15.75" thickBot="1" x14ac:dyDescent="0.3">
      <c r="A98" s="44" t="s">
        <v>141</v>
      </c>
      <c r="B98" s="77">
        <v>66.599999999999994</v>
      </c>
      <c r="C98" s="77">
        <v>66.8</v>
      </c>
      <c r="D98" s="77">
        <v>67.099999999999994</v>
      </c>
      <c r="E98" s="77">
        <v>67.099999999999994</v>
      </c>
      <c r="F98" s="77">
        <v>67.3</v>
      </c>
      <c r="G98" s="77">
        <v>67.3</v>
      </c>
      <c r="H98" s="77">
        <v>67.3</v>
      </c>
      <c r="I98" s="77">
        <v>66.2</v>
      </c>
      <c r="J98" s="77">
        <v>67.3</v>
      </c>
      <c r="K98" s="77">
        <v>66.599999999999994</v>
      </c>
      <c r="L98" s="77">
        <v>66.599999999999994</v>
      </c>
      <c r="M98" s="77">
        <v>67</v>
      </c>
      <c r="N98" s="77">
        <v>66.5</v>
      </c>
      <c r="O98" s="77">
        <v>66.400000000000006</v>
      </c>
      <c r="P98" s="77">
        <v>66.5</v>
      </c>
      <c r="Q98" s="77">
        <v>66.7</v>
      </c>
      <c r="R98" s="77">
        <v>67</v>
      </c>
      <c r="S98" s="77">
        <v>66.7</v>
      </c>
      <c r="T98" s="77">
        <v>66.3</v>
      </c>
      <c r="U98" s="77">
        <v>66.2</v>
      </c>
      <c r="V98" s="77">
        <v>66.2</v>
      </c>
      <c r="W98" s="77">
        <v>66.2</v>
      </c>
      <c r="X98" s="77">
        <v>66.2</v>
      </c>
      <c r="Y98" s="77">
        <v>65.400000000000006</v>
      </c>
      <c r="Z98" s="77">
        <v>65.400000000000006</v>
      </c>
      <c r="AA98" s="77">
        <v>66.099999999999994</v>
      </c>
      <c r="AB98" s="77">
        <v>66.099999999999994</v>
      </c>
      <c r="AC98" s="77">
        <v>66.400000000000006</v>
      </c>
      <c r="AD98" s="77">
        <v>66.5</v>
      </c>
      <c r="AE98" s="77">
        <v>66.7</v>
      </c>
      <c r="AF98" s="77">
        <v>66.7</v>
      </c>
      <c r="AG98" s="76"/>
      <c r="AH98" s="20">
        <f t="shared" si="17"/>
        <v>67.3</v>
      </c>
      <c r="AI98" s="19">
        <f t="shared" si="18"/>
        <v>65.400000000000006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17"/>
        <v>0</v>
      </c>
      <c r="AI99" s="19">
        <f t="shared" si="18"/>
        <v>0</v>
      </c>
    </row>
    <row r="100" spans="1:37" ht="15.75" thickBot="1" x14ac:dyDescent="0.3">
      <c r="A100" s="75" t="s">
        <v>140</v>
      </c>
      <c r="B100" s="74">
        <f t="shared" ref="B100" si="39">SUM(B15,B20,B22:B23,B48,B50:B51,B53,B55,B101:B105,B127,B133,B139,B148,B150,B162,B169,B172:B173,B180,B182,B184,B188:B190,B192:B194,B199,B205:B206,B208:B210,B218,B223)</f>
        <v>77.099999999999966</v>
      </c>
      <c r="C100" s="74">
        <f t="shared" ref="C100:AF100" si="40">SUM(C15,C20,C22:C23,C48,C50:C51,C53,C55,C101:C105,C127,C133,C139,C148,C150,C162,C169,C172:C173,C180,C182,C184,C188:C190,C192:C194,C199,C205:C206,C208:C210,C218,C223)</f>
        <v>34.340000000000003</v>
      </c>
      <c r="D100" s="74">
        <f t="shared" si="40"/>
        <v>36.139999999999951</v>
      </c>
      <c r="E100" s="74">
        <f t="shared" si="40"/>
        <v>25.439999999999966</v>
      </c>
      <c r="F100" s="74">
        <f t="shared" si="40"/>
        <v>44.14</v>
      </c>
      <c r="G100" s="74">
        <f t="shared" si="40"/>
        <v>60.040000000000006</v>
      </c>
      <c r="H100" s="74">
        <f t="shared" si="40"/>
        <v>80.940000000000012</v>
      </c>
      <c r="I100" s="74">
        <f t="shared" si="40"/>
        <v>85.54</v>
      </c>
      <c r="J100" s="74">
        <f t="shared" si="40"/>
        <v>76.039999999999978</v>
      </c>
      <c r="K100" s="74">
        <f t="shared" si="40"/>
        <v>135.33999999999997</v>
      </c>
      <c r="L100" s="74">
        <f t="shared" si="40"/>
        <v>109.84</v>
      </c>
      <c r="M100" s="74">
        <f t="shared" si="40"/>
        <v>113.13999999999999</v>
      </c>
      <c r="N100" s="74">
        <f t="shared" si="40"/>
        <v>134.94000000000003</v>
      </c>
      <c r="O100" s="74">
        <f t="shared" si="40"/>
        <v>123.54000000000002</v>
      </c>
      <c r="P100" s="74">
        <f t="shared" si="40"/>
        <v>98.839999999999989</v>
      </c>
      <c r="Q100" s="74">
        <f t="shared" si="40"/>
        <v>93.3</v>
      </c>
      <c r="R100" s="74">
        <f t="shared" si="40"/>
        <v>78</v>
      </c>
      <c r="S100" s="74">
        <f t="shared" si="40"/>
        <v>90.1</v>
      </c>
      <c r="T100" s="74">
        <f t="shared" si="40"/>
        <v>75.3</v>
      </c>
      <c r="U100" s="74">
        <f t="shared" si="40"/>
        <v>75.900000000000006</v>
      </c>
      <c r="V100" s="74">
        <f t="shared" si="40"/>
        <v>84.399999999999991</v>
      </c>
      <c r="W100" s="74">
        <f t="shared" si="40"/>
        <v>135.79999999999998</v>
      </c>
      <c r="X100" s="74">
        <f t="shared" si="40"/>
        <v>135.79999999999998</v>
      </c>
      <c r="Y100" s="74">
        <f t="shared" si="40"/>
        <v>141.19999999999999</v>
      </c>
      <c r="Z100" s="74">
        <f t="shared" si="40"/>
        <v>126.79999999999997</v>
      </c>
      <c r="AA100" s="74">
        <f t="shared" si="40"/>
        <v>126</v>
      </c>
      <c r="AB100" s="74">
        <f t="shared" si="40"/>
        <v>118.19999999999997</v>
      </c>
      <c r="AC100" s="74">
        <f t="shared" si="40"/>
        <v>104.1</v>
      </c>
      <c r="AD100" s="74">
        <f t="shared" si="40"/>
        <v>87.799999999999983</v>
      </c>
      <c r="AE100" s="74">
        <f t="shared" si="40"/>
        <v>53.900000000000006</v>
      </c>
      <c r="AF100" s="74">
        <f t="shared" si="40"/>
        <v>32.700000000000003</v>
      </c>
      <c r="AG100" s="73"/>
      <c r="AH100" s="20">
        <f t="shared" si="17"/>
        <v>141.19999999999999</v>
      </c>
      <c r="AI100" s="19">
        <f t="shared" si="18"/>
        <v>25.439999999999966</v>
      </c>
    </row>
    <row r="101" spans="1:37" x14ac:dyDescent="0.25">
      <c r="A101" s="47" t="s">
        <v>139</v>
      </c>
      <c r="B101" s="72">
        <v>18.5</v>
      </c>
      <c r="C101" s="72">
        <v>1</v>
      </c>
      <c r="D101" s="72">
        <v>0.7</v>
      </c>
      <c r="E101" s="72">
        <v>0.7</v>
      </c>
      <c r="F101" s="72">
        <v>0</v>
      </c>
      <c r="G101" s="72">
        <v>0</v>
      </c>
      <c r="H101" s="72">
        <v>0</v>
      </c>
      <c r="I101" s="72">
        <v>0</v>
      </c>
      <c r="J101" s="72">
        <v>0</v>
      </c>
      <c r="K101" s="72">
        <v>8.1999999999999993</v>
      </c>
      <c r="L101" s="72">
        <v>7.1</v>
      </c>
      <c r="M101" s="72">
        <v>5.2</v>
      </c>
      <c r="N101" s="72">
        <v>8.9</v>
      </c>
      <c r="O101" s="72">
        <v>7.8</v>
      </c>
      <c r="P101" s="72">
        <v>8.9</v>
      </c>
      <c r="Q101" s="72">
        <v>4</v>
      </c>
      <c r="R101" s="72">
        <v>7</v>
      </c>
      <c r="S101" s="72">
        <v>3.3</v>
      </c>
      <c r="T101" s="72">
        <v>-3.5</v>
      </c>
      <c r="U101" s="72">
        <v>-0.8</v>
      </c>
      <c r="V101" s="72">
        <v>4.5</v>
      </c>
      <c r="W101" s="72">
        <v>10.9</v>
      </c>
      <c r="X101" s="72">
        <v>10.9</v>
      </c>
      <c r="Y101" s="72">
        <v>11.7</v>
      </c>
      <c r="Z101" s="72">
        <v>11.2</v>
      </c>
      <c r="AA101" s="72">
        <v>11.5</v>
      </c>
      <c r="AB101" s="72">
        <v>4</v>
      </c>
      <c r="AC101" s="72">
        <v>3</v>
      </c>
      <c r="AD101" s="72">
        <v>3.7</v>
      </c>
      <c r="AE101" s="72">
        <v>-2.2999999999999998</v>
      </c>
      <c r="AF101" s="72">
        <v>-4.5</v>
      </c>
      <c r="AG101" s="70">
        <v>75</v>
      </c>
      <c r="AH101" s="20">
        <f t="shared" si="17"/>
        <v>18.5</v>
      </c>
      <c r="AI101" s="19">
        <f t="shared" si="18"/>
        <v>-4.5</v>
      </c>
    </row>
    <row r="102" spans="1:37" x14ac:dyDescent="0.25">
      <c r="A102" s="44" t="s">
        <v>138</v>
      </c>
      <c r="B102" s="71">
        <v>38.1</v>
      </c>
      <c r="C102" s="71">
        <v>14.5</v>
      </c>
      <c r="D102" s="71">
        <v>14.7</v>
      </c>
      <c r="E102" s="71">
        <v>14.7</v>
      </c>
      <c r="F102" s="71">
        <v>13.6</v>
      </c>
      <c r="G102" s="71">
        <v>14.6</v>
      </c>
      <c r="H102" s="71">
        <v>14.5</v>
      </c>
      <c r="I102" s="71">
        <v>16</v>
      </c>
      <c r="J102" s="71">
        <v>13.6</v>
      </c>
      <c r="K102" s="71">
        <v>55.9</v>
      </c>
      <c r="L102" s="71">
        <v>15.8</v>
      </c>
      <c r="M102" s="71">
        <v>13.4</v>
      </c>
      <c r="N102" s="71">
        <v>17.899999999999999</v>
      </c>
      <c r="O102" s="71">
        <v>17</v>
      </c>
      <c r="P102" s="71">
        <v>18.2</v>
      </c>
      <c r="Q102" s="71">
        <v>12</v>
      </c>
      <c r="R102" s="71">
        <v>18</v>
      </c>
      <c r="S102" s="71">
        <v>10</v>
      </c>
      <c r="T102" s="71">
        <v>2.2999999999999998</v>
      </c>
      <c r="U102" s="71">
        <v>5.7</v>
      </c>
      <c r="V102" s="71">
        <v>12.7</v>
      </c>
      <c r="W102" s="71">
        <v>50.8</v>
      </c>
      <c r="X102" s="71">
        <v>50.8</v>
      </c>
      <c r="Y102" s="71">
        <v>21.1</v>
      </c>
      <c r="Z102" s="71">
        <v>21.7</v>
      </c>
      <c r="AA102" s="71">
        <v>20.9</v>
      </c>
      <c r="AB102" s="71">
        <v>11.2</v>
      </c>
      <c r="AC102" s="71">
        <v>8</v>
      </c>
      <c r="AD102" s="71">
        <v>0</v>
      </c>
      <c r="AE102" s="71">
        <v>4</v>
      </c>
      <c r="AF102" s="71">
        <v>6</v>
      </c>
      <c r="AG102" s="70">
        <v>240</v>
      </c>
      <c r="AH102" s="20">
        <f t="shared" si="17"/>
        <v>55.9</v>
      </c>
      <c r="AI102" s="19">
        <f t="shared" si="18"/>
        <v>0</v>
      </c>
    </row>
    <row r="103" spans="1:37" x14ac:dyDescent="0.25">
      <c r="A103" s="44" t="s">
        <v>137</v>
      </c>
      <c r="B103" s="71">
        <f>-70.2-73.9</f>
        <v>-144.10000000000002</v>
      </c>
      <c r="C103" s="71">
        <f>-66.9-70.8</f>
        <v>-137.69999999999999</v>
      </c>
      <c r="D103" s="71">
        <f>-66.2-69.9</f>
        <v>-136.10000000000002</v>
      </c>
      <c r="E103" s="71">
        <f t="shared" ref="E103" si="41">-66.2-69.9</f>
        <v>-136.10000000000002</v>
      </c>
      <c r="F103" s="71">
        <f>-56.4-60.5</f>
        <v>-116.9</v>
      </c>
      <c r="G103" s="71">
        <v>-102</v>
      </c>
      <c r="H103" s="71">
        <f>-36.8-44.2</f>
        <v>-81</v>
      </c>
      <c r="I103" s="71">
        <f>-35.9-42</f>
        <v>-77.900000000000006</v>
      </c>
      <c r="J103" s="71">
        <f>-35.7-38.6</f>
        <v>-74.300000000000011</v>
      </c>
      <c r="K103" s="71">
        <f>-37.2-39.7</f>
        <v>-76.900000000000006</v>
      </c>
      <c r="L103" s="71">
        <f>-28.2-30.4</f>
        <v>-58.599999999999994</v>
      </c>
      <c r="M103" s="71">
        <f>-26-27</f>
        <v>-53</v>
      </c>
      <c r="N103" s="71">
        <f>-22-24</f>
        <v>-46</v>
      </c>
      <c r="O103" s="71">
        <f>-26-28</f>
        <v>-54</v>
      </c>
      <c r="P103" s="71">
        <f>-32-35</f>
        <v>-67</v>
      </c>
      <c r="Q103" s="71">
        <v>-60</v>
      </c>
      <c r="R103" s="71">
        <v>-82</v>
      </c>
      <c r="S103" s="71">
        <f>-25.5-27.4</f>
        <v>-52.9</v>
      </c>
      <c r="T103" s="71">
        <f>-22.6-24.6</f>
        <v>-47.2</v>
      </c>
      <c r="U103" s="71">
        <f>-27.6-29.9</f>
        <v>-57.5</v>
      </c>
      <c r="V103" s="71">
        <f>-28.8-31.3</f>
        <v>-60.1</v>
      </c>
      <c r="W103" s="71">
        <f>-38-40.9</f>
        <v>-78.900000000000006</v>
      </c>
      <c r="X103" s="71">
        <f t="shared" ref="X103" si="42">-38-40.9</f>
        <v>-78.900000000000006</v>
      </c>
      <c r="Y103" s="71">
        <f>-28.5-24.1</f>
        <v>-52.6</v>
      </c>
      <c r="Z103" s="71">
        <f>-31.6-34.2</f>
        <v>-65.800000000000011</v>
      </c>
      <c r="AA103" s="71">
        <f>-31.3-33.6</f>
        <v>-64.900000000000006</v>
      </c>
      <c r="AB103" s="71">
        <f>-29.8-31.9</f>
        <v>-61.7</v>
      </c>
      <c r="AC103" s="71">
        <v>-70</v>
      </c>
      <c r="AD103" s="71">
        <v>-72</v>
      </c>
      <c r="AE103" s="71">
        <v>-72</v>
      </c>
      <c r="AF103" s="71">
        <v>-90</v>
      </c>
      <c r="AG103" s="70">
        <v>240</v>
      </c>
      <c r="AH103" s="20">
        <f t="shared" si="17"/>
        <v>-46</v>
      </c>
      <c r="AI103" s="19">
        <f t="shared" si="18"/>
        <v>-144.10000000000002</v>
      </c>
    </row>
    <row r="104" spans="1:37" x14ac:dyDescent="0.25">
      <c r="A104" s="44" t="s">
        <v>136</v>
      </c>
      <c r="B104" s="71">
        <v>16.100000000000001</v>
      </c>
      <c r="C104" s="71">
        <v>-4</v>
      </c>
      <c r="D104" s="71">
        <v>-4.0999999999999996</v>
      </c>
      <c r="E104" s="71">
        <v>-4.0999999999999996</v>
      </c>
      <c r="F104" s="71">
        <v>-2.8</v>
      </c>
      <c r="G104" s="71">
        <v>-2.8</v>
      </c>
      <c r="H104" s="71">
        <v>-2.8</v>
      </c>
      <c r="I104" s="71">
        <v>-2.8</v>
      </c>
      <c r="J104" s="71">
        <v>-2.8</v>
      </c>
      <c r="K104" s="71">
        <v>8.6</v>
      </c>
      <c r="L104" s="71">
        <v>11</v>
      </c>
      <c r="M104" s="71">
        <v>13</v>
      </c>
      <c r="N104" s="71">
        <v>14.4</v>
      </c>
      <c r="O104" s="71">
        <v>13</v>
      </c>
      <c r="P104" s="71">
        <v>10.8</v>
      </c>
      <c r="Q104" s="71">
        <v>10.3</v>
      </c>
      <c r="R104" s="71">
        <v>8</v>
      </c>
      <c r="S104" s="71">
        <v>9.9</v>
      </c>
      <c r="T104" s="71">
        <v>11</v>
      </c>
      <c r="U104" s="71">
        <v>9.9</v>
      </c>
      <c r="V104" s="71">
        <v>9.6999999999999993</v>
      </c>
      <c r="W104" s="71">
        <v>4.5</v>
      </c>
      <c r="X104" s="71">
        <v>4.5</v>
      </c>
      <c r="Y104" s="71">
        <v>12.5</v>
      </c>
      <c r="Z104" s="71">
        <v>11.2</v>
      </c>
      <c r="AA104" s="71">
        <v>9.9</v>
      </c>
      <c r="AB104" s="71">
        <v>10.1</v>
      </c>
      <c r="AC104" s="71">
        <v>9</v>
      </c>
      <c r="AD104" s="71">
        <v>8</v>
      </c>
      <c r="AE104" s="71">
        <v>7</v>
      </c>
      <c r="AF104" s="71">
        <v>4</v>
      </c>
      <c r="AG104" s="70">
        <v>60</v>
      </c>
      <c r="AH104" s="20">
        <f t="shared" si="17"/>
        <v>16.100000000000001</v>
      </c>
      <c r="AI104" s="19">
        <f t="shared" si="18"/>
        <v>-4.0999999999999996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9">
        <v>120</v>
      </c>
      <c r="AH105" s="20">
        <f t="shared" si="17"/>
        <v>0</v>
      </c>
      <c r="AI105" s="19">
        <f t="shared" si="18"/>
        <v>0</v>
      </c>
    </row>
    <row r="106" spans="1:37" x14ac:dyDescent="0.25">
      <c r="A106" s="40" t="s">
        <v>134</v>
      </c>
      <c r="B106" s="68">
        <v>-11.8</v>
      </c>
      <c r="C106" s="68">
        <v>0</v>
      </c>
      <c r="D106" s="68">
        <v>-5.4</v>
      </c>
      <c r="E106" s="68">
        <v>-5.4</v>
      </c>
      <c r="F106" s="68">
        <v>4.78</v>
      </c>
      <c r="G106" s="68">
        <v>0</v>
      </c>
      <c r="H106" s="68">
        <v>0</v>
      </c>
      <c r="I106" s="68">
        <v>3.8</v>
      </c>
      <c r="J106" s="68">
        <v>4.78</v>
      </c>
      <c r="K106" s="68">
        <v>0</v>
      </c>
      <c r="L106" s="68">
        <v>12.5</v>
      </c>
      <c r="M106" s="68">
        <v>12</v>
      </c>
      <c r="N106" s="68">
        <v>16.7</v>
      </c>
      <c r="O106" s="68">
        <v>8</v>
      </c>
      <c r="P106" s="68">
        <v>0</v>
      </c>
      <c r="Q106" s="68">
        <v>9</v>
      </c>
      <c r="R106" s="68">
        <v>-10</v>
      </c>
      <c r="S106" s="68">
        <v>-8.1999999999999993</v>
      </c>
      <c r="T106" s="68">
        <v>8</v>
      </c>
      <c r="U106" s="68">
        <v>0.9</v>
      </c>
      <c r="V106" s="68">
        <v>-1.1000000000000001</v>
      </c>
      <c r="W106" s="68">
        <v>-8.3000000000000007</v>
      </c>
      <c r="X106" s="68">
        <v>-8.3000000000000007</v>
      </c>
      <c r="Y106" s="68">
        <v>27.1</v>
      </c>
      <c r="Z106" s="68">
        <v>18.600000000000001</v>
      </c>
      <c r="AA106" s="68">
        <v>20.100000000000001</v>
      </c>
      <c r="AB106" s="68">
        <v>26.8</v>
      </c>
      <c r="AC106" s="68">
        <v>17.5</v>
      </c>
      <c r="AD106" s="68">
        <v>17</v>
      </c>
      <c r="AE106" s="68">
        <v>10</v>
      </c>
      <c r="AF106" s="68">
        <v>-3</v>
      </c>
      <c r="AG106" s="69"/>
      <c r="AH106" s="20">
        <f t="shared" si="17"/>
        <v>27.1</v>
      </c>
      <c r="AI106" s="19">
        <f t="shared" si="18"/>
        <v>-11.8</v>
      </c>
    </row>
    <row r="107" spans="1:37" x14ac:dyDescent="0.25">
      <c r="A107" s="40" t="s">
        <v>133</v>
      </c>
      <c r="B107" s="68">
        <v>15</v>
      </c>
      <c r="C107" s="68">
        <v>75.3</v>
      </c>
      <c r="D107" s="68">
        <v>75.400000000000006</v>
      </c>
      <c r="E107" s="68">
        <v>75.400000000000006</v>
      </c>
      <c r="F107" s="68">
        <v>70.400000000000006</v>
      </c>
      <c r="G107" s="68">
        <v>70.400000000000006</v>
      </c>
      <c r="H107" s="68">
        <v>70.400000000000006</v>
      </c>
      <c r="I107" s="68">
        <v>70.400000000000006</v>
      </c>
      <c r="J107" s="68">
        <v>63.8</v>
      </c>
      <c r="K107" s="68">
        <v>58.5</v>
      </c>
      <c r="L107" s="68">
        <v>60</v>
      </c>
      <c r="M107" s="68">
        <v>48</v>
      </c>
      <c r="N107" s="68">
        <v>42.1</v>
      </c>
      <c r="O107" s="68">
        <v>42</v>
      </c>
      <c r="P107" s="68">
        <v>43.2</v>
      </c>
      <c r="Q107" s="68">
        <v>63</v>
      </c>
      <c r="R107" s="68">
        <v>55</v>
      </c>
      <c r="S107" s="68">
        <v>61.7</v>
      </c>
      <c r="T107" s="68">
        <v>67.599999999999994</v>
      </c>
      <c r="U107" s="68">
        <v>61.6</v>
      </c>
      <c r="V107" s="68">
        <v>64.3</v>
      </c>
      <c r="W107" s="68">
        <v>67.3</v>
      </c>
      <c r="X107" s="68">
        <v>67.3</v>
      </c>
      <c r="Y107" s="68">
        <v>67.3</v>
      </c>
      <c r="Z107" s="68">
        <v>90.1</v>
      </c>
      <c r="AA107" s="68"/>
      <c r="AB107" s="68">
        <v>90.1</v>
      </c>
      <c r="AC107" s="68">
        <v>90</v>
      </c>
      <c r="AD107" s="68">
        <v>89</v>
      </c>
      <c r="AE107" s="68">
        <v>85</v>
      </c>
      <c r="AF107" s="68">
        <v>88</v>
      </c>
      <c r="AG107" s="48"/>
      <c r="AH107" s="20">
        <f t="shared" si="17"/>
        <v>90.1</v>
      </c>
      <c r="AI107" s="19">
        <f t="shared" si="18"/>
        <v>15</v>
      </c>
    </row>
    <row r="108" spans="1:37" x14ac:dyDescent="0.25">
      <c r="A108" s="67" t="s">
        <v>132</v>
      </c>
      <c r="B108" s="66">
        <v>113.2</v>
      </c>
      <c r="C108" s="66">
        <v>117.6</v>
      </c>
      <c r="D108" s="66">
        <v>118</v>
      </c>
      <c r="E108" s="66">
        <v>118</v>
      </c>
      <c r="F108" s="66">
        <v>125</v>
      </c>
      <c r="G108" s="66">
        <v>124.1</v>
      </c>
      <c r="H108" s="66">
        <v>122.4</v>
      </c>
      <c r="I108" s="66">
        <v>124</v>
      </c>
      <c r="J108" s="66">
        <v>121.7</v>
      </c>
      <c r="K108" s="66">
        <v>118.7</v>
      </c>
      <c r="L108" s="66">
        <v>116.4</v>
      </c>
      <c r="M108" s="66">
        <v>118</v>
      </c>
      <c r="N108" s="66">
        <v>115.5</v>
      </c>
      <c r="O108" s="66">
        <v>124</v>
      </c>
      <c r="P108" s="66">
        <v>113</v>
      </c>
      <c r="Q108" s="66">
        <v>113</v>
      </c>
      <c r="R108" s="66">
        <v>115</v>
      </c>
      <c r="S108" s="66">
        <v>95.7</v>
      </c>
      <c r="T108" s="66">
        <v>96.4</v>
      </c>
      <c r="U108" s="66">
        <v>90</v>
      </c>
      <c r="V108" s="66">
        <v>97.7</v>
      </c>
      <c r="W108" s="66">
        <v>73.7</v>
      </c>
      <c r="X108" s="66">
        <v>73.7</v>
      </c>
      <c r="Y108" s="66">
        <v>89</v>
      </c>
      <c r="Z108" s="66">
        <v>95.8</v>
      </c>
      <c r="AA108" s="66">
        <v>95.6</v>
      </c>
      <c r="AB108" s="66">
        <v>101.6</v>
      </c>
      <c r="AC108" s="66">
        <v>102.5</v>
      </c>
      <c r="AD108" s="66">
        <v>109</v>
      </c>
      <c r="AE108" s="66">
        <v>108</v>
      </c>
      <c r="AF108" s="66">
        <v>112</v>
      </c>
      <c r="AG108" s="48"/>
      <c r="AH108" s="20">
        <f t="shared" si="17"/>
        <v>125</v>
      </c>
      <c r="AI108" s="19">
        <f t="shared" si="18"/>
        <v>73.7</v>
      </c>
    </row>
    <row r="109" spans="1:37" ht="15.75" thickBot="1" x14ac:dyDescent="0.3">
      <c r="A109" s="67" t="s">
        <v>131</v>
      </c>
      <c r="B109" s="66">
        <v>83.6</v>
      </c>
      <c r="C109" s="66">
        <v>76.099999999999994</v>
      </c>
      <c r="D109" s="66">
        <v>75.400000000000006</v>
      </c>
      <c r="E109" s="66">
        <v>75.400000000000006</v>
      </c>
      <c r="F109" s="66">
        <v>63.6</v>
      </c>
      <c r="G109" s="66">
        <v>64</v>
      </c>
      <c r="H109" s="66">
        <v>65.8</v>
      </c>
      <c r="I109" s="66">
        <v>66</v>
      </c>
      <c r="J109" s="66">
        <v>40</v>
      </c>
      <c r="K109" s="66">
        <v>41.5</v>
      </c>
      <c r="L109" s="66">
        <v>29.4</v>
      </c>
      <c r="M109" s="66">
        <v>26</v>
      </c>
      <c r="N109" s="66">
        <v>24</v>
      </c>
      <c r="O109" s="66">
        <v>28</v>
      </c>
      <c r="P109" s="66">
        <v>37</v>
      </c>
      <c r="Q109" s="66">
        <v>29</v>
      </c>
      <c r="R109" s="66">
        <v>45</v>
      </c>
      <c r="S109" s="66">
        <v>41</v>
      </c>
      <c r="T109" s="66">
        <v>19</v>
      </c>
      <c r="U109" s="66">
        <v>26.7</v>
      </c>
      <c r="V109" s="66">
        <v>29.4</v>
      </c>
      <c r="W109" s="66">
        <v>44.2</v>
      </c>
      <c r="X109" s="66">
        <v>44.2</v>
      </c>
      <c r="Y109" s="66">
        <v>21.2</v>
      </c>
      <c r="Z109" s="66">
        <v>29</v>
      </c>
      <c r="AA109" s="66">
        <v>29.9</v>
      </c>
      <c r="AB109" s="66">
        <v>24.4</v>
      </c>
      <c r="AC109" s="66">
        <v>32.799999999999997</v>
      </c>
      <c r="AD109" s="66">
        <v>29</v>
      </c>
      <c r="AE109" s="66">
        <v>35</v>
      </c>
      <c r="AF109" s="66">
        <v>49</v>
      </c>
      <c r="AG109" s="48"/>
      <c r="AH109" s="20">
        <f t="shared" si="17"/>
        <v>83.6</v>
      </c>
      <c r="AI109" s="19">
        <f t="shared" si="18"/>
        <v>19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43">SUM(B111:B215)</f>
        <v>0</v>
      </c>
      <c r="C216" s="36">
        <f t="shared" si="43"/>
        <v>0</v>
      </c>
      <c r="D216" s="36">
        <f t="shared" si="43"/>
        <v>0</v>
      </c>
      <c r="E216" s="36">
        <f t="shared" si="43"/>
        <v>0</v>
      </c>
      <c r="F216" s="36">
        <f t="shared" si="43"/>
        <v>0</v>
      </c>
      <c r="G216" s="36">
        <f t="shared" si="43"/>
        <v>0</v>
      </c>
      <c r="H216" s="36">
        <f t="shared" si="43"/>
        <v>0</v>
      </c>
      <c r="I216" s="36">
        <f t="shared" si="43"/>
        <v>0</v>
      </c>
      <c r="J216" s="36">
        <f t="shared" si="43"/>
        <v>0</v>
      </c>
      <c r="K216" s="36">
        <f t="shared" si="43"/>
        <v>0</v>
      </c>
      <c r="L216" s="36">
        <f t="shared" si="43"/>
        <v>0</v>
      </c>
      <c r="M216" s="36">
        <f t="shared" si="43"/>
        <v>0</v>
      </c>
      <c r="N216" s="36">
        <f t="shared" si="43"/>
        <v>0</v>
      </c>
      <c r="O216" s="36">
        <f t="shared" si="43"/>
        <v>0</v>
      </c>
      <c r="P216" s="36">
        <f t="shared" si="43"/>
        <v>0</v>
      </c>
      <c r="Q216" s="36">
        <f t="shared" si="43"/>
        <v>0</v>
      </c>
      <c r="R216" s="36">
        <f t="shared" si="43"/>
        <v>0</v>
      </c>
      <c r="S216" s="36">
        <f t="shared" si="43"/>
        <v>0</v>
      </c>
      <c r="T216" s="36">
        <f t="shared" si="43"/>
        <v>0</v>
      </c>
      <c r="U216" s="36">
        <f t="shared" si="43"/>
        <v>0</v>
      </c>
      <c r="V216" s="36">
        <f t="shared" si="43"/>
        <v>0</v>
      </c>
      <c r="W216" s="36">
        <f t="shared" si="43"/>
        <v>0</v>
      </c>
      <c r="X216" s="36">
        <f t="shared" si="43"/>
        <v>0</v>
      </c>
      <c r="Y216" s="36">
        <f t="shared" si="43"/>
        <v>0</v>
      </c>
      <c r="Z216" s="36">
        <f t="shared" si="43"/>
        <v>0</v>
      </c>
      <c r="AA216" s="36">
        <f t="shared" si="43"/>
        <v>0</v>
      </c>
      <c r="AB216" s="36">
        <f t="shared" si="43"/>
        <v>0</v>
      </c>
      <c r="AC216" s="36">
        <f t="shared" si="43"/>
        <v>0</v>
      </c>
      <c r="AD216" s="36">
        <f t="shared" si="43"/>
        <v>0</v>
      </c>
      <c r="AE216" s="36">
        <f t="shared" si="43"/>
        <v>0</v>
      </c>
      <c r="AF216" s="51">
        <f t="shared" si="43"/>
        <v>0</v>
      </c>
      <c r="AG216" s="50">
        <f t="shared" si="43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44">AF218</f>
        <v>0</v>
      </c>
      <c r="C218" s="46">
        <v>0.3</v>
      </c>
      <c r="D218" s="46">
        <f t="shared" ref="D218:P223" si="45">C218</f>
        <v>0.3</v>
      </c>
      <c r="E218" s="46">
        <f t="shared" si="45"/>
        <v>0.3</v>
      </c>
      <c r="F218" s="46">
        <f t="shared" si="45"/>
        <v>0.3</v>
      </c>
      <c r="G218" s="46">
        <f t="shared" si="45"/>
        <v>0.3</v>
      </c>
      <c r="H218" s="46">
        <f t="shared" si="45"/>
        <v>0.3</v>
      </c>
      <c r="I218" s="46">
        <f t="shared" si="45"/>
        <v>0.3</v>
      </c>
      <c r="J218" s="46">
        <f t="shared" si="45"/>
        <v>0.3</v>
      </c>
      <c r="K218" s="46">
        <f t="shared" si="45"/>
        <v>0.3</v>
      </c>
      <c r="L218" s="46">
        <f t="shared" si="45"/>
        <v>0.3</v>
      </c>
      <c r="M218" s="46">
        <f t="shared" si="45"/>
        <v>0.3</v>
      </c>
      <c r="N218" s="46">
        <f t="shared" si="45"/>
        <v>0.3</v>
      </c>
      <c r="O218" s="46">
        <f t="shared" si="45"/>
        <v>0.3</v>
      </c>
      <c r="P218" s="46">
        <f t="shared" si="45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44"/>
        <v>0</v>
      </c>
      <c r="C219" s="43">
        <v>0.4</v>
      </c>
      <c r="D219" s="43">
        <f t="shared" si="45"/>
        <v>0.4</v>
      </c>
      <c r="E219" s="43">
        <f t="shared" si="45"/>
        <v>0.4</v>
      </c>
      <c r="F219" s="43">
        <f t="shared" si="45"/>
        <v>0.4</v>
      </c>
      <c r="G219" s="43">
        <f t="shared" si="45"/>
        <v>0.4</v>
      </c>
      <c r="H219" s="43">
        <f t="shared" si="45"/>
        <v>0.4</v>
      </c>
      <c r="I219" s="43">
        <f t="shared" si="45"/>
        <v>0.4</v>
      </c>
      <c r="J219" s="43">
        <f t="shared" si="45"/>
        <v>0.4</v>
      </c>
      <c r="K219" s="43">
        <f t="shared" si="45"/>
        <v>0.4</v>
      </c>
      <c r="L219" s="43">
        <f t="shared" si="45"/>
        <v>0.4</v>
      </c>
      <c r="M219" s="43">
        <f t="shared" si="45"/>
        <v>0.4</v>
      </c>
      <c r="N219" s="43">
        <f t="shared" si="45"/>
        <v>0.4</v>
      </c>
      <c r="O219" s="43">
        <f t="shared" si="45"/>
        <v>0.4</v>
      </c>
      <c r="P219" s="43">
        <f t="shared" si="45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44"/>
        <v>0</v>
      </c>
      <c r="C220" s="43">
        <v>1.5</v>
      </c>
      <c r="D220" s="43">
        <f t="shared" si="45"/>
        <v>1.5</v>
      </c>
      <c r="E220" s="43">
        <f t="shared" si="45"/>
        <v>1.5</v>
      </c>
      <c r="F220" s="43">
        <f t="shared" si="45"/>
        <v>1.5</v>
      </c>
      <c r="G220" s="43">
        <f t="shared" si="45"/>
        <v>1.5</v>
      </c>
      <c r="H220" s="43">
        <f t="shared" si="45"/>
        <v>1.5</v>
      </c>
      <c r="I220" s="43">
        <f t="shared" si="45"/>
        <v>1.5</v>
      </c>
      <c r="J220" s="43">
        <f t="shared" si="45"/>
        <v>1.5</v>
      </c>
      <c r="K220" s="43">
        <f t="shared" si="45"/>
        <v>1.5</v>
      </c>
      <c r="L220" s="43">
        <f t="shared" si="45"/>
        <v>1.5</v>
      </c>
      <c r="M220" s="43">
        <f t="shared" si="45"/>
        <v>1.5</v>
      </c>
      <c r="N220" s="43">
        <f t="shared" si="45"/>
        <v>1.5</v>
      </c>
      <c r="O220" s="43">
        <f t="shared" si="45"/>
        <v>1.5</v>
      </c>
      <c r="P220" s="43">
        <f t="shared" si="45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44"/>
        <v>0</v>
      </c>
      <c r="C221" s="43">
        <v>0.3</v>
      </c>
      <c r="D221" s="43">
        <f t="shared" si="45"/>
        <v>0.3</v>
      </c>
      <c r="E221" s="43">
        <f t="shared" si="45"/>
        <v>0.3</v>
      </c>
      <c r="F221" s="43">
        <f t="shared" si="45"/>
        <v>0.3</v>
      </c>
      <c r="G221" s="43">
        <f t="shared" si="45"/>
        <v>0.3</v>
      </c>
      <c r="H221" s="43">
        <f t="shared" si="45"/>
        <v>0.3</v>
      </c>
      <c r="I221" s="43">
        <f t="shared" si="45"/>
        <v>0.3</v>
      </c>
      <c r="J221" s="43">
        <f t="shared" si="45"/>
        <v>0.3</v>
      </c>
      <c r="K221" s="43">
        <f t="shared" si="45"/>
        <v>0.3</v>
      </c>
      <c r="L221" s="43">
        <f t="shared" si="45"/>
        <v>0.3</v>
      </c>
      <c r="M221" s="43">
        <f t="shared" si="45"/>
        <v>0.3</v>
      </c>
      <c r="N221" s="43">
        <f t="shared" si="45"/>
        <v>0.3</v>
      </c>
      <c r="O221" s="43">
        <f t="shared" si="45"/>
        <v>0.3</v>
      </c>
      <c r="P221" s="43">
        <f t="shared" si="45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44"/>
        <v>0</v>
      </c>
      <c r="C222" s="43">
        <v>0.4</v>
      </c>
      <c r="D222" s="43">
        <f t="shared" si="45"/>
        <v>0.4</v>
      </c>
      <c r="E222" s="43">
        <f t="shared" si="45"/>
        <v>0.4</v>
      </c>
      <c r="F222" s="43">
        <f t="shared" si="45"/>
        <v>0.4</v>
      </c>
      <c r="G222" s="43">
        <f t="shared" si="45"/>
        <v>0.4</v>
      </c>
      <c r="H222" s="43">
        <f t="shared" si="45"/>
        <v>0.4</v>
      </c>
      <c r="I222" s="43">
        <f t="shared" si="45"/>
        <v>0.4</v>
      </c>
      <c r="J222" s="43">
        <f t="shared" si="45"/>
        <v>0.4</v>
      </c>
      <c r="K222" s="43">
        <f t="shared" si="45"/>
        <v>0.4</v>
      </c>
      <c r="L222" s="43">
        <f t="shared" si="45"/>
        <v>0.4</v>
      </c>
      <c r="M222" s="43">
        <f t="shared" si="45"/>
        <v>0.4</v>
      </c>
      <c r="N222" s="43">
        <f t="shared" si="45"/>
        <v>0.4</v>
      </c>
      <c r="O222" s="43">
        <f t="shared" si="45"/>
        <v>0.4</v>
      </c>
      <c r="P222" s="43">
        <f t="shared" si="45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44"/>
        <v>0</v>
      </c>
      <c r="C223" s="39">
        <v>0.64</v>
      </c>
      <c r="D223" s="39">
        <f t="shared" si="45"/>
        <v>0.64</v>
      </c>
      <c r="E223" s="39">
        <f t="shared" si="45"/>
        <v>0.64</v>
      </c>
      <c r="F223" s="39">
        <f t="shared" si="45"/>
        <v>0.64</v>
      </c>
      <c r="G223" s="39">
        <f t="shared" si="45"/>
        <v>0.64</v>
      </c>
      <c r="H223" s="39">
        <f t="shared" si="45"/>
        <v>0.64</v>
      </c>
      <c r="I223" s="39">
        <f t="shared" si="45"/>
        <v>0.64</v>
      </c>
      <c r="J223" s="39">
        <f t="shared" si="45"/>
        <v>0.64</v>
      </c>
      <c r="K223" s="39">
        <f t="shared" si="45"/>
        <v>0.64</v>
      </c>
      <c r="L223" s="39">
        <f t="shared" si="45"/>
        <v>0.64</v>
      </c>
      <c r="M223" s="39">
        <f t="shared" si="45"/>
        <v>0.64</v>
      </c>
      <c r="N223" s="39">
        <f t="shared" si="45"/>
        <v>0.64</v>
      </c>
      <c r="O223" s="39">
        <f t="shared" si="45"/>
        <v>0.64</v>
      </c>
      <c r="P223" s="39">
        <f t="shared" si="45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46">SUM(B218:B223)</f>
        <v>0</v>
      </c>
      <c r="C224" s="36">
        <f t="shared" si="46"/>
        <v>3.54</v>
      </c>
      <c r="D224" s="36">
        <f t="shared" si="46"/>
        <v>3.54</v>
      </c>
      <c r="E224" s="36">
        <f t="shared" si="46"/>
        <v>3.54</v>
      </c>
      <c r="F224" s="36">
        <f t="shared" si="46"/>
        <v>3.54</v>
      </c>
      <c r="G224" s="36">
        <f t="shared" si="46"/>
        <v>3.54</v>
      </c>
      <c r="H224" s="36">
        <f t="shared" si="46"/>
        <v>3.54</v>
      </c>
      <c r="I224" s="36">
        <f t="shared" si="46"/>
        <v>3.54</v>
      </c>
      <c r="J224" s="36">
        <f t="shared" si="46"/>
        <v>3.54</v>
      </c>
      <c r="K224" s="36">
        <f t="shared" si="46"/>
        <v>3.54</v>
      </c>
      <c r="L224" s="36">
        <f t="shared" si="46"/>
        <v>3.54</v>
      </c>
      <c r="M224" s="36">
        <f t="shared" si="46"/>
        <v>3.54</v>
      </c>
      <c r="N224" s="36">
        <f t="shared" si="46"/>
        <v>3.54</v>
      </c>
      <c r="O224" s="36">
        <f t="shared" si="46"/>
        <v>3.54</v>
      </c>
      <c r="P224" s="36">
        <f t="shared" si="46"/>
        <v>3.54</v>
      </c>
      <c r="Q224" s="36">
        <f t="shared" si="46"/>
        <v>0</v>
      </c>
      <c r="R224" s="36">
        <f t="shared" si="46"/>
        <v>0</v>
      </c>
      <c r="S224" s="36">
        <f t="shared" si="46"/>
        <v>0</v>
      </c>
      <c r="T224" s="36">
        <f t="shared" si="46"/>
        <v>0</v>
      </c>
      <c r="U224" s="36">
        <f t="shared" si="46"/>
        <v>0</v>
      </c>
      <c r="V224" s="36">
        <f t="shared" si="46"/>
        <v>0</v>
      </c>
      <c r="W224" s="36">
        <f t="shared" si="46"/>
        <v>0</v>
      </c>
      <c r="X224" s="36">
        <f t="shared" si="46"/>
        <v>0</v>
      </c>
      <c r="Y224" s="36">
        <f t="shared" si="46"/>
        <v>0</v>
      </c>
      <c r="Z224" s="36">
        <f t="shared" si="46"/>
        <v>0</v>
      </c>
      <c r="AA224" s="36">
        <f t="shared" si="46"/>
        <v>0</v>
      </c>
      <c r="AB224" s="36">
        <f t="shared" si="46"/>
        <v>0</v>
      </c>
      <c r="AC224" s="36">
        <f t="shared" si="46"/>
        <v>0</v>
      </c>
      <c r="AD224" s="36">
        <f t="shared" si="46"/>
        <v>0</v>
      </c>
      <c r="AE224" s="36">
        <f t="shared" si="46"/>
        <v>0</v>
      </c>
      <c r="AF224" s="36">
        <f t="shared" si="46"/>
        <v>0</v>
      </c>
      <c r="AG224" s="35">
        <f t="shared" si="46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1375.74</v>
      </c>
      <c r="C233" s="16">
        <f>INDEX(G9:N9,1,MATCH(MAX(G81:N81),G81:N81,0))</f>
        <v>0.20833333333333301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18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2079/06/18)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2079/06/18)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47">B81</f>
        <v>1476.34</v>
      </c>
      <c r="U238" s="9">
        <f t="shared" si="47"/>
        <v>1404.3400000000001</v>
      </c>
      <c r="V238" s="9">
        <f t="shared" si="47"/>
        <v>1417.74</v>
      </c>
      <c r="W238" s="9">
        <f t="shared" si="47"/>
        <v>1388.24</v>
      </c>
      <c r="X238" s="9">
        <f t="shared" si="47"/>
        <v>1381.74</v>
      </c>
      <c r="Y238" s="9">
        <f t="shared" si="47"/>
        <v>1375.74</v>
      </c>
      <c r="Z238" s="9">
        <f t="shared" si="47"/>
        <v>1335.74</v>
      </c>
      <c r="AA238" s="9">
        <f t="shared" si="47"/>
        <v>1328.54</v>
      </c>
      <c r="AB238" s="9">
        <f t="shared" si="47"/>
        <v>1291.54</v>
      </c>
      <c r="AC238" s="9">
        <f t="shared" si="47"/>
        <v>1291.24</v>
      </c>
      <c r="AD238" s="9">
        <f t="shared" si="47"/>
        <v>1286.44</v>
      </c>
      <c r="AE238" s="9">
        <f t="shared" si="47"/>
        <v>1290.04</v>
      </c>
      <c r="AF238" s="9">
        <f t="shared" si="47"/>
        <v>1300.1400000000001</v>
      </c>
      <c r="AG238" s="9">
        <f t="shared" si="47"/>
        <v>1290.1400000000001</v>
      </c>
      <c r="AH238" s="9">
        <f t="shared" si="47"/>
        <v>1264.8400000000001</v>
      </c>
      <c r="AI238" s="9">
        <f t="shared" si="47"/>
        <v>1260.44</v>
      </c>
      <c r="AJ238" s="9">
        <f t="shared" si="47"/>
        <v>1253.74</v>
      </c>
      <c r="AK238" s="9">
        <f t="shared" si="47"/>
        <v>1214.04</v>
      </c>
      <c r="AL238" s="9">
        <f t="shared" si="47"/>
        <v>1137.04</v>
      </c>
      <c r="AM238" s="9">
        <f t="shared" si="47"/>
        <v>1181.94</v>
      </c>
      <c r="AN238" s="9">
        <f t="shared" si="47"/>
        <v>1204.54</v>
      </c>
      <c r="AO238" s="9">
        <f t="shared" si="47"/>
        <v>1295.7400000000002</v>
      </c>
      <c r="AP238" s="9">
        <f t="shared" si="47"/>
        <v>1295.7400000000002</v>
      </c>
      <c r="AQ238" s="9">
        <f t="shared" si="47"/>
        <v>1516.04</v>
      </c>
      <c r="AR238" s="9">
        <f t="shared" si="47"/>
        <v>1507.6399999999999</v>
      </c>
      <c r="AS238" s="9">
        <f t="shared" si="47"/>
        <v>1479.14</v>
      </c>
      <c r="AT238" s="9">
        <f t="shared" si="47"/>
        <v>1426.54</v>
      </c>
      <c r="AU238" s="9">
        <f t="shared" si="47"/>
        <v>1461.4399999999998</v>
      </c>
      <c r="AV238" s="9">
        <f t="shared" si="47"/>
        <v>1453.5399999999997</v>
      </c>
      <c r="AW238" s="9">
        <f t="shared" si="47"/>
        <v>1356.34</v>
      </c>
      <c r="AX238" s="9">
        <f t="shared" si="47"/>
        <v>1321.34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48">C223</f>
        <v>0.64</v>
      </c>
      <c r="C259" s="4">
        <f t="shared" si="48"/>
        <v>0.64</v>
      </c>
      <c r="D259" s="4">
        <f t="shared" si="48"/>
        <v>0.64</v>
      </c>
      <c r="E259" s="4">
        <f t="shared" si="48"/>
        <v>0.64</v>
      </c>
      <c r="F259" s="4">
        <f t="shared" si="48"/>
        <v>0.64</v>
      </c>
      <c r="G259" s="4">
        <f t="shared" si="48"/>
        <v>0.64</v>
      </c>
      <c r="H259" s="4">
        <f t="shared" si="48"/>
        <v>0.64</v>
      </c>
      <c r="I259" s="4">
        <f t="shared" si="48"/>
        <v>0.64</v>
      </c>
      <c r="J259" s="4">
        <f t="shared" si="48"/>
        <v>0.64</v>
      </c>
      <c r="K259" s="4">
        <f t="shared" si="48"/>
        <v>0.64</v>
      </c>
      <c r="L259" s="4">
        <f t="shared" si="48"/>
        <v>0.64</v>
      </c>
      <c r="M259" s="4">
        <f t="shared" si="48"/>
        <v>0.64</v>
      </c>
      <c r="N259" s="4">
        <f t="shared" si="48"/>
        <v>0.64</v>
      </c>
      <c r="O259" s="4">
        <f t="shared" si="48"/>
        <v>0.64</v>
      </c>
      <c r="P259" s="4">
        <f t="shared" si="48"/>
        <v>0</v>
      </c>
      <c r="Q259" s="4">
        <f t="shared" si="48"/>
        <v>0</v>
      </c>
      <c r="R259" s="4">
        <f t="shared" si="48"/>
        <v>0</v>
      </c>
      <c r="S259" s="4">
        <f t="shared" si="48"/>
        <v>0</v>
      </c>
      <c r="T259" s="4">
        <f t="shared" si="48"/>
        <v>0</v>
      </c>
      <c r="U259" s="4">
        <f t="shared" si="48"/>
        <v>0</v>
      </c>
      <c r="V259" s="4">
        <f t="shared" si="48"/>
        <v>0</v>
      </c>
      <c r="W259" s="4">
        <f t="shared" si="48"/>
        <v>0</v>
      </c>
      <c r="X259" s="4">
        <f t="shared" si="48"/>
        <v>0</v>
      </c>
      <c r="Y259" s="4">
        <f t="shared" si="48"/>
        <v>0</v>
      </c>
      <c r="Z259" s="4">
        <f t="shared" si="48"/>
        <v>0</v>
      </c>
      <c r="AA259" s="4">
        <f t="shared" si="48"/>
        <v>0</v>
      </c>
      <c r="AB259" s="4">
        <f t="shared" si="48"/>
        <v>0</v>
      </c>
      <c r="AC259" s="4">
        <f t="shared" si="48"/>
        <v>0</v>
      </c>
      <c r="AD259" s="4">
        <f t="shared" si="48"/>
        <v>0</v>
      </c>
      <c r="AE259" s="4">
        <f t="shared" si="48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49">IF(B227&lt;100,"",B227-520)</f>
        <v/>
      </c>
      <c r="C260" s="3" t="str">
        <f t="shared" si="49"/>
        <v/>
      </c>
      <c r="D260" s="3" t="str">
        <f t="shared" si="49"/>
        <v/>
      </c>
      <c r="E260" s="3" t="str">
        <f t="shared" si="49"/>
        <v/>
      </c>
      <c r="F260" s="3" t="str">
        <f t="shared" si="49"/>
        <v/>
      </c>
      <c r="G260" s="3" t="str">
        <f t="shared" si="49"/>
        <v/>
      </c>
      <c r="H260" s="3" t="str">
        <f t="shared" si="49"/>
        <v/>
      </c>
      <c r="I260" s="3" t="str">
        <f t="shared" si="49"/>
        <v/>
      </c>
      <c r="J260" s="3" t="str">
        <f t="shared" si="49"/>
        <v/>
      </c>
      <c r="K260" s="3" t="str">
        <f t="shared" si="49"/>
        <v/>
      </c>
      <c r="L260" s="3" t="str">
        <f t="shared" si="49"/>
        <v/>
      </c>
      <c r="M260" s="3" t="str">
        <f t="shared" si="49"/>
        <v/>
      </c>
      <c r="N260" s="3" t="str">
        <f t="shared" si="49"/>
        <v/>
      </c>
      <c r="O260" s="3" t="str">
        <f t="shared" si="49"/>
        <v/>
      </c>
      <c r="P260" s="3" t="str">
        <f t="shared" si="49"/>
        <v/>
      </c>
      <c r="Q260" s="3" t="str">
        <f t="shared" si="49"/>
        <v/>
      </c>
      <c r="R260" s="3" t="str">
        <f t="shared" si="49"/>
        <v/>
      </c>
      <c r="S260" s="3" t="str">
        <f t="shared" si="49"/>
        <v/>
      </c>
      <c r="T260" s="3" t="str">
        <f t="shared" si="49"/>
        <v/>
      </c>
      <c r="U260" s="3" t="str">
        <f t="shared" si="49"/>
        <v/>
      </c>
      <c r="V260" s="3" t="str">
        <f t="shared" si="49"/>
        <v/>
      </c>
      <c r="W260" s="3" t="str">
        <f t="shared" si="49"/>
        <v/>
      </c>
      <c r="X260" s="3" t="str">
        <f t="shared" si="49"/>
        <v/>
      </c>
      <c r="Y260" s="3" t="str">
        <f t="shared" si="49"/>
        <v/>
      </c>
      <c r="Z260" s="3" t="str">
        <f t="shared" si="49"/>
        <v/>
      </c>
      <c r="AA260" s="3" t="str">
        <f t="shared" si="49"/>
        <v/>
      </c>
      <c r="AB260" s="3" t="str">
        <f t="shared" si="49"/>
        <v/>
      </c>
      <c r="AC260" s="3" t="str">
        <f t="shared" si="49"/>
        <v/>
      </c>
      <c r="AD260" s="3" t="str">
        <f t="shared" si="49"/>
        <v/>
      </c>
      <c r="AE260" s="3" t="str">
        <f t="shared" si="49"/>
        <v/>
      </c>
      <c r="AF260" s="3" t="str">
        <f t="shared" si="49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50">IF(B228&lt;100,"",B228-620)</f>
        <v/>
      </c>
      <c r="C261" s="3" t="str">
        <f t="shared" si="50"/>
        <v/>
      </c>
      <c r="D261" s="3" t="str">
        <f t="shared" si="50"/>
        <v/>
      </c>
      <c r="E261" s="3" t="str">
        <f t="shared" si="50"/>
        <v/>
      </c>
      <c r="F261" s="3" t="str">
        <f t="shared" si="50"/>
        <v/>
      </c>
      <c r="G261" s="3" t="str">
        <f t="shared" si="50"/>
        <v/>
      </c>
      <c r="H261" s="3" t="str">
        <f t="shared" si="50"/>
        <v/>
      </c>
      <c r="I261" s="3" t="str">
        <f t="shared" si="50"/>
        <v/>
      </c>
      <c r="J261" s="3" t="str">
        <f t="shared" si="50"/>
        <v/>
      </c>
      <c r="K261" s="3" t="str">
        <f t="shared" si="50"/>
        <v/>
      </c>
      <c r="L261" s="3" t="str">
        <f t="shared" si="50"/>
        <v/>
      </c>
      <c r="M261" s="3" t="str">
        <f t="shared" si="50"/>
        <v/>
      </c>
      <c r="N261" s="3" t="str">
        <f t="shared" si="50"/>
        <v/>
      </c>
      <c r="O261" s="3" t="str">
        <f t="shared" si="50"/>
        <v/>
      </c>
      <c r="P261" s="3" t="str">
        <f t="shared" si="50"/>
        <v/>
      </c>
      <c r="Q261" s="3" t="str">
        <f t="shared" si="50"/>
        <v/>
      </c>
      <c r="R261" s="3" t="str">
        <f t="shared" si="50"/>
        <v/>
      </c>
      <c r="S261" s="3" t="str">
        <f t="shared" si="50"/>
        <v/>
      </c>
      <c r="T261" s="3" t="str">
        <f t="shared" si="50"/>
        <v/>
      </c>
      <c r="U261" s="3" t="str">
        <f t="shared" si="50"/>
        <v/>
      </c>
      <c r="V261" s="3" t="str">
        <f t="shared" si="50"/>
        <v/>
      </c>
      <c r="W261" s="3" t="str">
        <f t="shared" si="50"/>
        <v/>
      </c>
      <c r="X261" s="3" t="str">
        <f t="shared" si="50"/>
        <v/>
      </c>
      <c r="Y261" s="3" t="str">
        <f t="shared" si="50"/>
        <v/>
      </c>
      <c r="Z261" s="3" t="str">
        <f t="shared" si="50"/>
        <v/>
      </c>
      <c r="AA261" s="3" t="str">
        <f t="shared" si="50"/>
        <v/>
      </c>
      <c r="AB261" s="3" t="str">
        <f t="shared" si="50"/>
        <v/>
      </c>
      <c r="AC261" s="3" t="str">
        <f t="shared" si="50"/>
        <v/>
      </c>
      <c r="AD261" s="3" t="str">
        <f t="shared" si="50"/>
        <v/>
      </c>
      <c r="AE261" s="3" t="str">
        <f t="shared" si="50"/>
        <v/>
      </c>
      <c r="AF261" s="3" t="str">
        <f t="shared" si="50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51">IF(B229&lt;100,"",B229-330)</f>
        <v/>
      </c>
      <c r="C262" s="3" t="str">
        <f t="shared" si="51"/>
        <v/>
      </c>
      <c r="D262" s="3" t="str">
        <f t="shared" si="51"/>
        <v/>
      </c>
      <c r="E262" s="3" t="str">
        <f t="shared" si="51"/>
        <v/>
      </c>
      <c r="F262" s="3" t="str">
        <f t="shared" si="51"/>
        <v/>
      </c>
      <c r="G262" s="3" t="str">
        <f t="shared" si="51"/>
        <v/>
      </c>
      <c r="H262" s="3" t="str">
        <f t="shared" si="51"/>
        <v/>
      </c>
      <c r="I262" s="3" t="str">
        <f t="shared" si="51"/>
        <v/>
      </c>
      <c r="J262" s="3" t="str">
        <f t="shared" si="51"/>
        <v/>
      </c>
      <c r="K262" s="3" t="str">
        <f t="shared" si="51"/>
        <v/>
      </c>
      <c r="L262" s="3" t="str">
        <f t="shared" si="51"/>
        <v/>
      </c>
      <c r="M262" s="3" t="str">
        <f t="shared" si="51"/>
        <v/>
      </c>
      <c r="N262" s="3" t="str">
        <f t="shared" si="51"/>
        <v/>
      </c>
      <c r="O262" s="3" t="str">
        <f t="shared" si="51"/>
        <v/>
      </c>
      <c r="P262" s="3" t="str">
        <f t="shared" si="51"/>
        <v/>
      </c>
      <c r="Q262" s="3" t="str">
        <f t="shared" si="51"/>
        <v/>
      </c>
      <c r="R262" s="3" t="str">
        <f t="shared" si="51"/>
        <v/>
      </c>
      <c r="S262" s="3" t="str">
        <f t="shared" si="51"/>
        <v/>
      </c>
      <c r="T262" s="3" t="str">
        <f t="shared" si="51"/>
        <v/>
      </c>
      <c r="U262" s="3" t="str">
        <f t="shared" si="51"/>
        <v/>
      </c>
      <c r="V262" s="3" t="str">
        <f t="shared" si="51"/>
        <v/>
      </c>
      <c r="W262" s="3" t="str">
        <f t="shared" si="51"/>
        <v/>
      </c>
      <c r="X262" s="3" t="str">
        <f t="shared" si="51"/>
        <v/>
      </c>
      <c r="Y262" s="3" t="str">
        <f t="shared" si="51"/>
        <v/>
      </c>
      <c r="Z262" s="3" t="str">
        <f t="shared" si="51"/>
        <v/>
      </c>
      <c r="AA262" s="3" t="str">
        <f t="shared" si="51"/>
        <v/>
      </c>
      <c r="AB262" s="3" t="str">
        <f t="shared" si="51"/>
        <v/>
      </c>
      <c r="AC262" s="3" t="str">
        <f t="shared" si="51"/>
        <v/>
      </c>
      <c r="AD262" s="3" t="str">
        <f t="shared" si="51"/>
        <v/>
      </c>
      <c r="AE262" s="3" t="str">
        <f t="shared" si="51"/>
        <v/>
      </c>
      <c r="AF262" s="3" t="str">
        <f t="shared" si="51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52">IF(B230&lt;100,"",B230-1500)</f>
        <v/>
      </c>
      <c r="C263" s="3" t="str">
        <f t="shared" si="52"/>
        <v/>
      </c>
      <c r="D263" s="3" t="str">
        <f t="shared" si="52"/>
        <v/>
      </c>
      <c r="E263" s="3" t="str">
        <f t="shared" si="52"/>
        <v/>
      </c>
      <c r="F263" s="3" t="str">
        <f t="shared" si="52"/>
        <v/>
      </c>
      <c r="G263" s="3" t="str">
        <f t="shared" si="52"/>
        <v/>
      </c>
      <c r="H263" s="3" t="str">
        <f t="shared" si="52"/>
        <v/>
      </c>
      <c r="I263" s="3" t="str">
        <f t="shared" si="52"/>
        <v/>
      </c>
      <c r="J263" s="3" t="str">
        <f t="shared" si="52"/>
        <v/>
      </c>
      <c r="K263" s="3" t="str">
        <f t="shared" si="52"/>
        <v/>
      </c>
      <c r="L263" s="3" t="str">
        <f t="shared" si="52"/>
        <v/>
      </c>
      <c r="M263" s="3" t="str">
        <f t="shared" si="52"/>
        <v/>
      </c>
      <c r="N263" s="3" t="str">
        <f t="shared" si="52"/>
        <v/>
      </c>
      <c r="O263" s="3" t="str">
        <f t="shared" si="52"/>
        <v/>
      </c>
      <c r="P263" s="3" t="str">
        <f t="shared" si="52"/>
        <v/>
      </c>
      <c r="Q263" s="3" t="str">
        <f t="shared" si="52"/>
        <v/>
      </c>
      <c r="R263" s="3" t="str">
        <f t="shared" si="52"/>
        <v/>
      </c>
      <c r="S263" s="3" t="str">
        <f t="shared" si="52"/>
        <v/>
      </c>
      <c r="T263" s="3" t="str">
        <f t="shared" si="52"/>
        <v/>
      </c>
      <c r="U263" s="3" t="str">
        <f t="shared" si="52"/>
        <v/>
      </c>
      <c r="V263" s="3" t="str">
        <f t="shared" si="52"/>
        <v/>
      </c>
      <c r="W263" s="3" t="str">
        <f t="shared" si="52"/>
        <v/>
      </c>
      <c r="X263" s="3" t="str">
        <f t="shared" si="52"/>
        <v/>
      </c>
      <c r="Y263" s="3" t="str">
        <f t="shared" si="52"/>
        <v/>
      </c>
      <c r="Z263" s="3" t="str">
        <f t="shared" si="52"/>
        <v/>
      </c>
      <c r="AA263" s="3" t="str">
        <f t="shared" si="52"/>
        <v/>
      </c>
      <c r="AB263" s="3" t="str">
        <f t="shared" si="52"/>
        <v/>
      </c>
      <c r="AC263" s="3" t="str">
        <f t="shared" si="52"/>
        <v/>
      </c>
      <c r="AD263" s="3" t="str">
        <f t="shared" si="52"/>
        <v/>
      </c>
      <c r="AE263" s="3" t="str">
        <f t="shared" si="52"/>
        <v/>
      </c>
      <c r="AF263" s="3" t="str">
        <f t="shared" si="52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9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94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AB11:AF11 AB16:AF16 P23:AF23">
    <cfRule type="expression" dxfId="5080" priority="390">
      <formula>B$9&gt;=20/24</formula>
    </cfRule>
    <cfRule type="expression" dxfId="5079" priority="391">
      <formula>AND(B$9&gt;=14/24,B$9&lt;20/24)</formula>
    </cfRule>
    <cfRule type="expression" dxfId="5078" priority="392">
      <formula>AND(B$9&gt;=8/24,B$9&lt;14/24)</formula>
    </cfRule>
    <cfRule type="expression" dxfId="5077" priority="393">
      <formula>B$9&lt;8/24</formula>
    </cfRule>
  </conditionalFormatting>
  <conditionalFormatting sqref="AL4:AL6">
    <cfRule type="iconSet" priority="389">
      <iconSet iconSet="3TrafficLights2" reverse="1">
        <cfvo type="percent" val="0"/>
        <cfvo type="num" val="1"/>
        <cfvo type="num" val="1"/>
      </iconSet>
    </cfRule>
  </conditionalFormatting>
  <conditionalFormatting sqref="AB39:AF39">
    <cfRule type="expression" dxfId="5076" priority="385">
      <formula>AB$9&gt;=20/24</formula>
    </cfRule>
    <cfRule type="expression" dxfId="5075" priority="386">
      <formula>AND(AB$9&gt;=14/24,AB$9&lt;20/24)</formula>
    </cfRule>
    <cfRule type="expression" dxfId="5074" priority="387">
      <formula>AND(AB$9&gt;=8/24,AB$9&lt;14/24)</formula>
    </cfRule>
    <cfRule type="expression" dxfId="5073" priority="388">
      <formula>AB$9&lt;8/24</formula>
    </cfRule>
  </conditionalFormatting>
  <conditionalFormatting sqref="AG57 M14:AA14 AB39:AF39 AB18:AF18 AB11:AF16 P23:AF23">
    <cfRule type="expression" dxfId="5072" priority="384">
      <formula>M11&gt;$AG11</formula>
    </cfRule>
  </conditionalFormatting>
  <conditionalFormatting sqref="A91:A101 A11:A14 A51:A78 A87:A89 A194:A224 A38:A49 A110:A181 A34:A35 A83:A85 A80:A81 A103:A105 A31:A32 A18:A29 A16">
    <cfRule type="expression" dxfId="5071" priority="383">
      <formula>$AH11=0</formula>
    </cfRule>
  </conditionalFormatting>
  <conditionalFormatting sqref="A106">
    <cfRule type="expression" dxfId="5070" priority="382">
      <formula>$AH106=0</formula>
    </cfRule>
  </conditionalFormatting>
  <conditionalFormatting sqref="AL35">
    <cfRule type="iconSet" priority="38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5069" priority="380">
      <formula>$AH37=0</formula>
    </cfRule>
  </conditionalFormatting>
  <conditionalFormatting sqref="A90">
    <cfRule type="expression" dxfId="5068" priority="379">
      <formula>$AH90=0</formula>
    </cfRule>
  </conditionalFormatting>
  <conditionalFormatting sqref="A15">
    <cfRule type="expression" dxfId="5067" priority="378">
      <formula>$AH15=0</formula>
    </cfRule>
  </conditionalFormatting>
  <conditionalFormatting sqref="A188:A193">
    <cfRule type="expression" dxfId="5066" priority="377">
      <formula>$AH188=0</formula>
    </cfRule>
  </conditionalFormatting>
  <conditionalFormatting sqref="A182:A187">
    <cfRule type="expression" dxfId="5065" priority="376">
      <formula>$AH182=0</formula>
    </cfRule>
  </conditionalFormatting>
  <conditionalFormatting sqref="A50">
    <cfRule type="expression" dxfId="5064" priority="375">
      <formula>$AH50=0</formula>
    </cfRule>
  </conditionalFormatting>
  <conditionalFormatting sqref="A86">
    <cfRule type="expression" dxfId="5063" priority="374">
      <formula>$AH86=0</formula>
    </cfRule>
  </conditionalFormatting>
  <conditionalFormatting sqref="D91:AF91">
    <cfRule type="expression" dxfId="5062" priority="370">
      <formula>D$9&gt;=20/24</formula>
    </cfRule>
    <cfRule type="expression" dxfId="5061" priority="371">
      <formula>AND(D$9&gt;=14/24,D$9&lt;20/24)</formula>
    </cfRule>
    <cfRule type="expression" dxfId="5060" priority="372">
      <formula>AND(D$9&gt;=8/24,D$9&lt;14/24)</formula>
    </cfRule>
    <cfRule type="expression" dxfId="5059" priority="373">
      <formula>D$9&lt;8/24</formula>
    </cfRule>
  </conditionalFormatting>
  <conditionalFormatting sqref="AL36">
    <cfRule type="iconSet" priority="36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5058" priority="396">
      <formula>C$9&gt;=20/24</formula>
    </cfRule>
    <cfRule type="expression" dxfId="5057" priority="397">
      <formula>AND(C$9&gt;=14/24,C$9&lt;20/24)</formula>
    </cfRule>
    <cfRule type="expression" dxfId="5056" priority="398">
      <formula>AND(C$9&gt;=8/24,C$9&lt;14/24)</formula>
    </cfRule>
    <cfRule type="expression" dxfId="5055" priority="399">
      <formula>C$9&lt;8/24</formula>
    </cfRule>
  </conditionalFormatting>
  <conditionalFormatting sqref="A225">
    <cfRule type="expression" dxfId="5054" priority="400">
      <formula>$AH225=0</formula>
    </cfRule>
  </conditionalFormatting>
  <conditionalFormatting sqref="AG237">
    <cfRule type="expression" dxfId="5053" priority="401">
      <formula>B$9&gt;=20/24</formula>
    </cfRule>
    <cfRule type="expression" dxfId="5052" priority="402">
      <formula>AND(B$9&gt;=14/24,B$9&lt;20/24)</formula>
    </cfRule>
    <cfRule type="expression" dxfId="5051" priority="403">
      <formula>AND(B$9&gt;=8/24,B$9&lt;14/24)</formula>
    </cfRule>
    <cfRule type="expression" dxfId="5050" priority="404">
      <formula>B$9&lt;8/24</formula>
    </cfRule>
  </conditionalFormatting>
  <conditionalFormatting sqref="S8">
    <cfRule type="expression" dxfId="5049" priority="365">
      <formula>U$9&gt;=20/24</formula>
    </cfRule>
    <cfRule type="expression" dxfId="5048" priority="366">
      <formula>AND(U$9&gt;=14/24,U$9&lt;20/24)</formula>
    </cfRule>
    <cfRule type="expression" dxfId="5047" priority="367">
      <formula>AND(U$9&gt;=8/24,U$9&lt;14/24)</formula>
    </cfRule>
    <cfRule type="expression" dxfId="5046" priority="368">
      <formula>U$9&lt;8/24</formula>
    </cfRule>
  </conditionalFormatting>
  <conditionalFormatting sqref="AB8">
    <cfRule type="expression" dxfId="5045" priority="361">
      <formula>AD$9&gt;=20/24</formula>
    </cfRule>
    <cfRule type="expression" dxfId="5044" priority="362">
      <formula>AND(AD$9&gt;=14/24,AD$9&lt;20/24)</formula>
    </cfRule>
    <cfRule type="expression" dxfId="5043" priority="363">
      <formula>AND(AD$9&gt;=8/24,AD$9&lt;14/24)</formula>
    </cfRule>
    <cfRule type="expression" dxfId="5042" priority="364">
      <formula>AD$9&lt;8/24</formula>
    </cfRule>
  </conditionalFormatting>
  <conditionalFormatting sqref="AH237:AX237">
    <cfRule type="expression" dxfId="5041" priority="405">
      <formula>AG$9&gt;=20/24</formula>
    </cfRule>
    <cfRule type="expression" dxfId="5040" priority="406">
      <formula>AND(AG$9&gt;=14/24,AG$9&lt;20/24)</formula>
    </cfRule>
    <cfRule type="expression" dxfId="5039" priority="407">
      <formula>AND(AG$9&gt;=8/24,AG$9&lt;14/24)</formula>
    </cfRule>
    <cfRule type="expression" dxfId="5038" priority="408">
      <formula>AG$9&lt;8/24</formula>
    </cfRule>
  </conditionalFormatting>
  <conditionalFormatting sqref="T237">
    <cfRule type="expression" dxfId="5037" priority="409">
      <formula>AX$9&gt;=20/24</formula>
    </cfRule>
    <cfRule type="expression" dxfId="5036" priority="410">
      <formula>AND(AX$9&gt;=14/24,AX$9&lt;20/24)</formula>
    </cfRule>
    <cfRule type="expression" dxfId="5035" priority="411">
      <formula>AND(AX$9&gt;=8/24,AX$9&lt;14/24)</formula>
    </cfRule>
    <cfRule type="expression" dxfId="5034" priority="412">
      <formula>AX$9&lt;8/24</formula>
    </cfRule>
  </conditionalFormatting>
  <conditionalFormatting sqref="A107:A108">
    <cfRule type="expression" dxfId="5033" priority="360">
      <formula>$AH107=0</formula>
    </cfRule>
  </conditionalFormatting>
  <conditionalFormatting sqref="J46:P47 E63:AF63 S46:AF47">
    <cfRule type="expression" dxfId="5032" priority="356">
      <formula>E$9&gt;=20/24</formula>
    </cfRule>
    <cfRule type="expression" dxfId="5031" priority="357">
      <formula>AND(E$9&gt;=14/24,E$9&lt;20/24)</formula>
    </cfRule>
    <cfRule type="expression" dxfId="5030" priority="358">
      <formula>AND(E$9&gt;=8/24,E$9&lt;14/24)</formula>
    </cfRule>
    <cfRule type="expression" dxfId="5029" priority="359">
      <formula>E$9&lt;8/24</formula>
    </cfRule>
  </conditionalFormatting>
  <conditionalFormatting sqref="J45:P45 S45:AF45">
    <cfRule type="expression" dxfId="5028" priority="352">
      <formula>J$9&gt;=20/24</formula>
    </cfRule>
    <cfRule type="expression" dxfId="5027" priority="353">
      <formula>AND(J$9&gt;=14/24,J$9&lt;20/24)</formula>
    </cfRule>
    <cfRule type="expression" dxfId="5026" priority="354">
      <formula>AND(J$9&gt;=8/24,J$9&lt;14/24)</formula>
    </cfRule>
    <cfRule type="expression" dxfId="5025" priority="355">
      <formula>J$9&lt;8/24</formula>
    </cfRule>
  </conditionalFormatting>
  <conditionalFormatting sqref="J45:P47 S45:AF47">
    <cfRule type="expression" dxfId="5024" priority="351">
      <formula>J45&gt;$AG45</formula>
    </cfRule>
  </conditionalFormatting>
  <conditionalFormatting sqref="C88:AF88 C75:AF78 Q64:S65 M39:AA39 AB12:AF14 AB18:AF18 S59:AF61 T64:AF73 D92:AF98">
    <cfRule type="expression" dxfId="5023" priority="347">
      <formula>C$9&gt;=20/24</formula>
    </cfRule>
    <cfRule type="expression" dxfId="5022" priority="348">
      <formula>AND(C$9&gt;=14/24,C$9&lt;20/24)</formula>
    </cfRule>
    <cfRule type="expression" dxfId="5021" priority="349">
      <formula>AND(C$9&gt;=8/24,C$9&lt;14/24)</formula>
    </cfRule>
    <cfRule type="expression" dxfId="5020" priority="350">
      <formula>C$9&lt;8/24</formula>
    </cfRule>
  </conditionalFormatting>
  <conditionalFormatting sqref="C57:AF57 J48:L48 M39:AA39 AB48:AE48 AC49:AE49 AF48:AF49 S59:AF61">
    <cfRule type="expression" dxfId="5019" priority="342">
      <formula>C39&gt;$AG39</formula>
    </cfRule>
  </conditionalFormatting>
  <conditionalFormatting sqref="AB15:AF15">
    <cfRule type="expression" dxfId="5018" priority="334">
      <formula>AB$9&gt;=20/24</formula>
    </cfRule>
    <cfRule type="expression" dxfId="5017" priority="335">
      <formula>AND(AB$9&gt;=14/24,AB$9&lt;20/24)</formula>
    </cfRule>
    <cfRule type="expression" dxfId="5016" priority="336">
      <formula>AND(AB$9&gt;=8/24,AB$9&lt;14/24)</formula>
    </cfRule>
    <cfRule type="expression" dxfId="5015" priority="337">
      <formula>AB$9&lt;8/24</formula>
    </cfRule>
  </conditionalFormatting>
  <conditionalFormatting sqref="V48:AA49 AB49">
    <cfRule type="expression" dxfId="5014" priority="325">
      <formula>V$9&gt;=20/24</formula>
    </cfRule>
    <cfRule type="expression" dxfId="5013" priority="326">
      <formula>AND(V$9&gt;=14/24,V$9&lt;20/24)</formula>
    </cfRule>
    <cfRule type="expression" dxfId="5012" priority="327">
      <formula>AND(V$9&gt;=8/24,V$9&lt;14/24)</formula>
    </cfRule>
    <cfRule type="expression" dxfId="5011" priority="328">
      <formula>V$9&lt;8/24</formula>
    </cfRule>
  </conditionalFormatting>
  <conditionalFormatting sqref="V48:AA49 AB49">
    <cfRule type="expression" dxfId="5010" priority="324">
      <formula>V48&gt;$AG48</formula>
    </cfRule>
  </conditionalFormatting>
  <conditionalFormatting sqref="T52:T56 S48:U49 Q45:R48 S50:AF51">
    <cfRule type="expression" dxfId="5009" priority="320">
      <formula>Q$9&gt;=20/24</formula>
    </cfRule>
    <cfRule type="expression" dxfId="5008" priority="321">
      <formula>AND(Q$9&gt;=14/24,Q$9&lt;20/24)</formula>
    </cfRule>
    <cfRule type="expression" dxfId="5007" priority="322">
      <formula>AND(Q$9&gt;=8/24,Q$9&lt;14/24)</formula>
    </cfRule>
    <cfRule type="expression" dxfId="5006" priority="323">
      <formula>Q$9&lt;8/24</formula>
    </cfRule>
  </conditionalFormatting>
  <conditionalFormatting sqref="T52:T56 S48:U49 Q45:R48 S50:AF51">
    <cfRule type="expression" dxfId="5005" priority="319">
      <formula>Q45&gt;$AG45</formula>
    </cfRule>
  </conditionalFormatting>
  <conditionalFormatting sqref="D45:I45">
    <cfRule type="expression" dxfId="5004" priority="306">
      <formula>D$9&gt;=20/24</formula>
    </cfRule>
    <cfRule type="expression" dxfId="5003" priority="307">
      <formula>AND(D$9&gt;=14/24,D$9&lt;20/24)</formula>
    </cfRule>
    <cfRule type="expression" dxfId="5002" priority="308">
      <formula>AND(D$9&gt;=8/24,D$9&lt;14/24)</formula>
    </cfRule>
    <cfRule type="expression" dxfId="5001" priority="309">
      <formula>D$9&lt;8/24</formula>
    </cfRule>
  </conditionalFormatting>
  <conditionalFormatting sqref="D45:I45">
    <cfRule type="expression" dxfId="5000" priority="305">
      <formula>D45&gt;$AG45</formula>
    </cfRule>
  </conditionalFormatting>
  <conditionalFormatting sqref="C80:AF80 C89:AF89">
    <cfRule type="expression" dxfId="4999" priority="292">
      <formula>C$9&gt;=20/24</formula>
    </cfRule>
    <cfRule type="expression" dxfId="4998" priority="293">
      <formula>AND(C$9&gt;=14/24,C$9&lt;20/24)</formula>
    </cfRule>
    <cfRule type="expression" dxfId="4997" priority="294">
      <formula>AND(C$9&gt;=8/24,C$9&lt;14/24)</formula>
    </cfRule>
    <cfRule type="expression" dxfId="4996" priority="295">
      <formula>C$9&lt;8/24</formula>
    </cfRule>
  </conditionalFormatting>
  <conditionalFormatting sqref="D39:L39">
    <cfRule type="expression" dxfId="4995" priority="288">
      <formula>D$9&gt;=20/24</formula>
    </cfRule>
    <cfRule type="expression" dxfId="4994" priority="289">
      <formula>AND(D$9&gt;=14/24,D$9&lt;20/24)</formula>
    </cfRule>
    <cfRule type="expression" dxfId="4993" priority="290">
      <formula>AND(D$9&gt;=8/24,D$9&lt;14/24)</formula>
    </cfRule>
    <cfRule type="expression" dxfId="4992" priority="291">
      <formula>D$9&lt;8/24</formula>
    </cfRule>
  </conditionalFormatting>
  <conditionalFormatting sqref="D39:L39">
    <cfRule type="expression" dxfId="4991" priority="287">
      <formula>D39&gt;$AG39</formula>
    </cfRule>
  </conditionalFormatting>
  <conditionalFormatting sqref="C63:D63 D46:I47">
    <cfRule type="expression" dxfId="4990" priority="279">
      <formula>C$9&gt;=20/24</formula>
    </cfRule>
    <cfRule type="expression" dxfId="4989" priority="280">
      <formula>AND(C$9&gt;=14/24,C$9&lt;20/24)</formula>
    </cfRule>
    <cfRule type="expression" dxfId="4988" priority="281">
      <formula>AND(C$9&gt;=8/24,C$9&lt;14/24)</formula>
    </cfRule>
    <cfRule type="expression" dxfId="4987" priority="282">
      <formula>C$9&lt;8/24</formula>
    </cfRule>
  </conditionalFormatting>
  <conditionalFormatting sqref="D46:I47">
    <cfRule type="expression" dxfId="4986" priority="274">
      <formula>D46&gt;$AG46</formula>
    </cfRule>
  </conditionalFormatting>
  <conditionalFormatting sqref="C81:AF81 C62:AG62 C79:AG79 C90:AF90 Q66:S73 C59:R61 C64:P73 M14:AA14 M26:AF26">
    <cfRule type="expression" dxfId="4985" priority="270">
      <formula>C$9&gt;=20/24</formula>
    </cfRule>
    <cfRule type="expression" dxfId="4984" priority="271">
      <formula>AND(C$9&gt;=14/24,C$9&lt;20/24)</formula>
    </cfRule>
    <cfRule type="expression" dxfId="4983" priority="272">
      <formula>AND(C$9&gt;=8/24,C$9&lt;14/24)</formula>
    </cfRule>
    <cfRule type="expression" dxfId="4982" priority="273">
      <formula>C$9&lt;8/24</formula>
    </cfRule>
  </conditionalFormatting>
  <conditionalFormatting sqref="C40:AG40 C58:AG58 C62:AG62 D48:I49 C59:R61 J49:L49 M26:AF26">
    <cfRule type="expression" dxfId="4981" priority="265">
      <formula>C26&gt;$AG26</formula>
    </cfRule>
  </conditionalFormatting>
  <conditionalFormatting sqref="S52:S56 D50:R56">
    <cfRule type="expression" dxfId="4980" priority="248">
      <formula>D$9&gt;=20/24</formula>
    </cfRule>
    <cfRule type="expression" dxfId="4979" priority="249">
      <formula>AND(D$9&gt;=14/24,D$9&lt;20/24)</formula>
    </cfRule>
    <cfRule type="expression" dxfId="4978" priority="250">
      <formula>AND(D$9&gt;=8/24,D$9&lt;14/24)</formula>
    </cfRule>
    <cfRule type="expression" dxfId="4977" priority="251">
      <formula>D$9&lt;8/24</formula>
    </cfRule>
  </conditionalFormatting>
  <conditionalFormatting sqref="S52:S56 D50:R56">
    <cfRule type="expression" dxfId="4976" priority="247">
      <formula>D50&gt;$AG50</formula>
    </cfRule>
  </conditionalFormatting>
  <conditionalFormatting sqref="P19:AF19 P24:AF24">
    <cfRule type="expression" dxfId="4975" priority="239">
      <formula>P$9&gt;=20/24</formula>
    </cfRule>
    <cfRule type="expression" dxfId="4974" priority="240">
      <formula>AND(P$9&gt;=14/24,P$9&lt;20/24)</formula>
    </cfRule>
    <cfRule type="expression" dxfId="4973" priority="241">
      <formula>AND(P$9&gt;=8/24,P$9&lt;14/24)</formula>
    </cfRule>
    <cfRule type="expression" dxfId="4972" priority="242">
      <formula>P$9&lt;8/24</formula>
    </cfRule>
  </conditionalFormatting>
  <conditionalFormatting sqref="P19:AF19 P24:AF24">
    <cfRule type="expression" dxfId="4971" priority="238">
      <formula>P19&gt;$AG19</formula>
    </cfRule>
  </conditionalFormatting>
  <conditionalFormatting sqref="A36">
    <cfRule type="expression" dxfId="4970" priority="237">
      <formula>$AH36=0</formula>
    </cfRule>
  </conditionalFormatting>
  <conditionalFormatting sqref="C74:AF74">
    <cfRule type="expression" dxfId="4969" priority="233">
      <formula>C$9&gt;=20/24</formula>
    </cfRule>
    <cfRule type="expression" dxfId="4968" priority="234">
      <formula>AND(C$9&gt;=14/24,C$9&lt;20/24)</formula>
    </cfRule>
    <cfRule type="expression" dxfId="4967" priority="235">
      <formula>AND(C$9&gt;=8/24,C$9&lt;14/24)</formula>
    </cfRule>
    <cfRule type="expression" dxfId="4966" priority="236">
      <formula>C$9&lt;8/24</formula>
    </cfRule>
  </conditionalFormatting>
  <conditionalFormatting sqref="C83:AF87">
    <cfRule type="expression" dxfId="4965" priority="229">
      <formula>C$9&gt;=20/24</formula>
    </cfRule>
    <cfRule type="expression" dxfId="4964" priority="230">
      <formula>AND(C$9&gt;=14/24,C$9&lt;20/24)</formula>
    </cfRule>
    <cfRule type="expression" dxfId="4963" priority="231">
      <formula>AND(C$9&gt;=8/24,C$9&lt;14/24)</formula>
    </cfRule>
    <cfRule type="expression" dxfId="4962" priority="232">
      <formula>C$9&lt;8/24</formula>
    </cfRule>
  </conditionalFormatting>
  <conditionalFormatting sqref="AL37 AL34 AL18:AL29 AL7:AL16 AL31:AL32">
    <cfRule type="iconSet" priority="413">
      <iconSet iconSet="3TrafficLights2" reverse="1">
        <cfvo type="percent" val="0"/>
        <cfvo type="num" val="1"/>
        <cfvo type="num" val="1"/>
      </iconSet>
    </cfRule>
  </conditionalFormatting>
  <conditionalFormatting sqref="C41:AF43">
    <cfRule type="expression" dxfId="4961" priority="225">
      <formula>C$9&gt;=20/24</formula>
    </cfRule>
    <cfRule type="expression" dxfId="4960" priority="226">
      <formula>AND(C$9&gt;=14/24,C$9&lt;20/24)</formula>
    </cfRule>
    <cfRule type="expression" dxfId="4959" priority="227">
      <formula>AND(C$9&gt;=8/24,C$9&lt;14/24)</formula>
    </cfRule>
    <cfRule type="expression" dxfId="4958" priority="228">
      <formula>C$9&lt;8/24</formula>
    </cfRule>
  </conditionalFormatting>
  <conditionalFormatting sqref="C41:AF43">
    <cfRule type="expression" dxfId="4957" priority="224">
      <formula>C41&gt;$AG41</formula>
    </cfRule>
  </conditionalFormatting>
  <conditionalFormatting sqref="C44:AG44">
    <cfRule type="expression" dxfId="4956" priority="220">
      <formula>C$9&gt;=20/24</formula>
    </cfRule>
    <cfRule type="expression" dxfId="4955" priority="221">
      <formula>AND(C$9&gt;=14/24,C$9&lt;20/24)</formula>
    </cfRule>
    <cfRule type="expression" dxfId="4954" priority="222">
      <formula>AND(C$9&gt;=8/24,C$9&lt;14/24)</formula>
    </cfRule>
    <cfRule type="expression" dxfId="4953" priority="223">
      <formula>C$9&lt;8/24</formula>
    </cfRule>
  </conditionalFormatting>
  <conditionalFormatting sqref="C44:AG44">
    <cfRule type="expression" dxfId="4952" priority="219">
      <formula>C44&gt;$AG44</formula>
    </cfRule>
  </conditionalFormatting>
  <conditionalFormatting sqref="C99:AF99">
    <cfRule type="expression" dxfId="4951" priority="215">
      <formula>C$9&gt;=20/24</formula>
    </cfRule>
    <cfRule type="expression" dxfId="4950" priority="216">
      <formula>AND(C$9&gt;=14/24,C$9&lt;20/24)</formula>
    </cfRule>
    <cfRule type="expression" dxfId="4949" priority="217">
      <formula>AND(C$9&gt;=8/24,C$9&lt;14/24)</formula>
    </cfRule>
    <cfRule type="expression" dxfId="4948" priority="218">
      <formula>C$9&lt;8/24</formula>
    </cfRule>
  </conditionalFormatting>
  <conditionalFormatting sqref="AL33">
    <cfRule type="iconSet" priority="210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4947" priority="205">
      <formula>$AH33=0</formula>
    </cfRule>
  </conditionalFormatting>
  <conditionalFormatting sqref="A82">
    <cfRule type="expression" dxfId="4946" priority="203">
      <formula>$AH82=0</formula>
    </cfRule>
  </conditionalFormatting>
  <conditionalFormatting sqref="A79">
    <cfRule type="expression" dxfId="4945" priority="204">
      <formula>$AH79=0</formula>
    </cfRule>
  </conditionalFormatting>
  <conditionalFormatting sqref="A109">
    <cfRule type="expression" dxfId="4944" priority="194">
      <formula>$AH109=0</formula>
    </cfRule>
  </conditionalFormatting>
  <conditionalFormatting sqref="C102:AF102">
    <cfRule type="expression" dxfId="4943" priority="190">
      <formula>C$9&gt;=20/24</formula>
    </cfRule>
    <cfRule type="expression" dxfId="4942" priority="191">
      <formula>AND(C$9&gt;=14/24,C$9&lt;20/24)</formula>
    </cfRule>
    <cfRule type="expression" dxfId="4941" priority="192">
      <formula>AND(C$9&gt;=8/24,C$9&lt;14/24)</formula>
    </cfRule>
    <cfRule type="expression" dxfId="4940" priority="193">
      <formula>C$9&lt;8/24</formula>
    </cfRule>
  </conditionalFormatting>
  <conditionalFormatting sqref="A102">
    <cfRule type="expression" dxfId="4939" priority="189">
      <formula>$AH102=0</formula>
    </cfRule>
  </conditionalFormatting>
  <conditionalFormatting sqref="U52:AF56">
    <cfRule type="expression" dxfId="4938" priority="181">
      <formula>U$9&gt;=20/24</formula>
    </cfRule>
    <cfRule type="expression" dxfId="4937" priority="182">
      <formula>AND(U$9&gt;=14/24,U$9&lt;20/24)</formula>
    </cfRule>
    <cfRule type="expression" dxfId="4936" priority="183">
      <formula>AND(U$9&gt;=8/24,U$9&lt;14/24)</formula>
    </cfRule>
    <cfRule type="expression" dxfId="4935" priority="184">
      <formula>U$9&lt;8/24</formula>
    </cfRule>
  </conditionalFormatting>
  <conditionalFormatting sqref="U52:AF56">
    <cfRule type="expression" dxfId="4934" priority="180">
      <formula>U52&gt;$AG52</formula>
    </cfRule>
  </conditionalFormatting>
  <conditionalFormatting sqref="AB17:AF17">
    <cfRule type="expression" dxfId="4933" priority="178">
      <formula>AB17&gt;$AG17</formula>
    </cfRule>
  </conditionalFormatting>
  <conditionalFormatting sqref="A17">
    <cfRule type="expression" dxfId="4932" priority="177">
      <formula>$AH17=0</formula>
    </cfRule>
  </conditionalFormatting>
  <conditionalFormatting sqref="AB17:AF17">
    <cfRule type="expression" dxfId="4931" priority="173">
      <formula>AB$9&gt;=20/24</formula>
    </cfRule>
    <cfRule type="expression" dxfId="4930" priority="174">
      <formula>AND(AB$9&gt;=14/24,AB$9&lt;20/24)</formula>
    </cfRule>
    <cfRule type="expression" dxfId="4929" priority="175">
      <formula>AND(AB$9&gt;=8/24,AB$9&lt;14/24)</formula>
    </cfRule>
    <cfRule type="expression" dxfId="4928" priority="176">
      <formula>AB$9&lt;8/24</formula>
    </cfRule>
  </conditionalFormatting>
  <conditionalFormatting sqref="AL17">
    <cfRule type="iconSet" priority="179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4927" priority="167">
      <formula>$AH30=0</formula>
    </cfRule>
  </conditionalFormatting>
  <conditionalFormatting sqref="AB30:AF30">
    <cfRule type="expression" dxfId="4926" priority="163">
      <formula>AB$9&gt;=20/24</formula>
    </cfRule>
    <cfRule type="expression" dxfId="4925" priority="164">
      <formula>AND(AB$9&gt;=14/24,AB$9&lt;20/24)</formula>
    </cfRule>
    <cfRule type="expression" dxfId="4924" priority="165">
      <formula>AND(AB$9&gt;=8/24,AB$9&lt;14/24)</formula>
    </cfRule>
    <cfRule type="expression" dxfId="4923" priority="166">
      <formula>AB$9&lt;8/24</formula>
    </cfRule>
  </conditionalFormatting>
  <conditionalFormatting sqref="AB30:AF30">
    <cfRule type="expression" dxfId="4922" priority="162">
      <formula>AB30&gt;$AG30</formula>
    </cfRule>
  </conditionalFormatting>
  <conditionalFormatting sqref="AJ38">
    <cfRule type="expression" dxfId="4921" priority="2">
      <formula>AJ$9&gt;=20/24</formula>
    </cfRule>
    <cfRule type="expression" dxfId="4920" priority="3">
      <formula>AND(AJ$9&gt;=14/24,AJ$9&lt;20/24)</formula>
    </cfRule>
    <cfRule type="expression" dxfId="4919" priority="4">
      <formula>AND(AJ$9&gt;=8/24,AJ$9&lt;14/24)</formula>
    </cfRule>
    <cfRule type="expression" dxfId="4918" priority="5">
      <formula>AJ$9&lt;8/24</formula>
    </cfRule>
  </conditionalFormatting>
  <conditionalFormatting sqref="AJ38">
    <cfRule type="expression" dxfId="4917" priority="1">
      <formula>AJ38&gt;$AG38</formula>
    </cfRule>
  </conditionalFormatting>
  <conditionalFormatting sqref="AL30">
    <cfRule type="iconSet" priority="168">
      <iconSet iconSet="3TrafficLights2" reverse="1">
        <cfvo type="percent" val="0"/>
        <cfvo type="num" val="1"/>
        <cfvo type="num" val="1"/>
      </iconSet>
    </cfRule>
  </conditionalFormatting>
  <conditionalFormatting sqref="B101 B103:B108 B20:O23 B16:AA16 B11:AA11 P20:AF22">
    <cfRule type="expression" dxfId="4916" priority="148">
      <formula>B$9&gt;=20/24</formula>
    </cfRule>
    <cfRule type="expression" dxfId="4915" priority="149">
      <formula>AND(B$9&gt;=14/24,B$9&lt;20/24)</formula>
    </cfRule>
    <cfRule type="expression" dxfId="4914" priority="150">
      <formula>AND(B$9&gt;=8/24,B$9&lt;14/24)</formula>
    </cfRule>
    <cfRule type="expression" dxfId="4913" priority="151">
      <formula>B$9&lt;8/24</formula>
    </cfRule>
  </conditionalFormatting>
  <conditionalFormatting sqref="B39:C39">
    <cfRule type="expression" dxfId="4912" priority="144">
      <formula>B$9&gt;=20/24</formula>
    </cfRule>
    <cfRule type="expression" dxfId="4911" priority="145">
      <formula>AND(B$9&gt;=14/24,B$9&lt;20/24)</formula>
    </cfRule>
    <cfRule type="expression" dxfId="4910" priority="146">
      <formula>AND(B$9&gt;=8/24,B$9&lt;14/24)</formula>
    </cfRule>
    <cfRule type="expression" dxfId="4909" priority="147">
      <formula>B$9&lt;8/24</formula>
    </cfRule>
  </conditionalFormatting>
  <conditionalFormatting sqref="B39:C39 B11:L16 B20:O23 M15:AA16 B18:AA18 M11:AA13 P20:AF22 B37:AF37">
    <cfRule type="expression" dxfId="4908" priority="143">
      <formula>B11&gt;$AG11</formula>
    </cfRule>
  </conditionalFormatting>
  <conditionalFormatting sqref="B91:C91">
    <cfRule type="expression" dxfId="4907" priority="139">
      <formula>B$9&gt;=20/24</formula>
    </cfRule>
    <cfRule type="expression" dxfId="4906" priority="140">
      <formula>AND(B$9&gt;=14/24,B$9&lt;20/24)</formula>
    </cfRule>
    <cfRule type="expression" dxfId="4905" priority="141">
      <formula>AND(B$9&gt;=8/24,B$9&lt;14/24)</formula>
    </cfRule>
    <cfRule type="expression" dxfId="4904" priority="142">
      <formula>B$9&lt;8/24</formula>
    </cfRule>
  </conditionalFormatting>
  <conditionalFormatting sqref="B63 B46:C47">
    <cfRule type="expression" dxfId="4903" priority="135">
      <formula>B$9&gt;=20/24</formula>
    </cfRule>
    <cfRule type="expression" dxfId="4902" priority="136">
      <formula>AND(B$9&gt;=14/24,B$9&lt;20/24)</formula>
    </cfRule>
    <cfRule type="expression" dxfId="4901" priority="137">
      <formula>AND(B$9&gt;=8/24,B$9&lt;14/24)</formula>
    </cfRule>
    <cfRule type="expression" dxfId="4900" priority="138">
      <formula>B$9&lt;8/24</formula>
    </cfRule>
  </conditionalFormatting>
  <conditionalFormatting sqref="B45:C45">
    <cfRule type="expression" dxfId="4899" priority="131">
      <formula>B$9&gt;=20/24</formula>
    </cfRule>
    <cfRule type="expression" dxfId="4898" priority="132">
      <formula>AND(B$9&gt;=14/24,B$9&lt;20/24)</formula>
    </cfRule>
    <cfRule type="expression" dxfId="4897" priority="133">
      <formula>AND(B$9&gt;=8/24,B$9&lt;14/24)</formula>
    </cfRule>
    <cfRule type="expression" dxfId="4896" priority="134">
      <formula>B$9&lt;8/24</formula>
    </cfRule>
  </conditionalFormatting>
  <conditionalFormatting sqref="B45:C47">
    <cfRule type="expression" dxfId="4895" priority="130">
      <formula>B45&gt;$AG45</formula>
    </cfRule>
  </conditionalFormatting>
  <conditionalFormatting sqref="B88 B75:B78 B59:B61 B64:B73 B92:C98 B25:L27 B12:L14 B18:AA18 M12:AA13 M25:AF25 M27:AF27 B29:AF29 B31:AF34 B38:AF38">
    <cfRule type="expression" dxfId="4894" priority="126">
      <formula>B$9&gt;=20/24</formula>
    </cfRule>
    <cfRule type="expression" dxfId="4893" priority="127">
      <formula>AND(B$9&gt;=14/24,B$9&lt;20/24)</formula>
    </cfRule>
    <cfRule type="expression" dxfId="4892" priority="128">
      <formula>AND(B$9&gt;=8/24,B$9&lt;14/24)</formula>
    </cfRule>
    <cfRule type="expression" dxfId="4891" priority="129">
      <formula>B$9&lt;8/24</formula>
    </cfRule>
  </conditionalFormatting>
  <conditionalFormatting sqref="B35:AF35">
    <cfRule type="expression" dxfId="4890" priority="122">
      <formula>B$9&gt;=20/24</formula>
    </cfRule>
    <cfRule type="expression" dxfId="4889" priority="123">
      <formula>AND(B$9&gt;=14/24,B$9&lt;20/24)</formula>
    </cfRule>
    <cfRule type="expression" dxfId="4888" priority="124">
      <formula>AND(B$9&gt;=8/24,B$9&lt;14/24)</formula>
    </cfRule>
    <cfRule type="expression" dxfId="4887" priority="125">
      <formula>B$9&lt;8/24</formula>
    </cfRule>
  </conditionalFormatting>
  <conditionalFormatting sqref="B57 B59:B61 B48:C49 B25:L29 M25:AF25 M27:AF29 B31:AF35 B38:AF38">
    <cfRule type="expression" dxfId="4886" priority="121">
      <formula>B25&gt;$AG25</formula>
    </cfRule>
  </conditionalFormatting>
  <conditionalFormatting sqref="B37:AF37">
    <cfRule type="expression" dxfId="4885" priority="117">
      <formula>B$9&gt;=20/24</formula>
    </cfRule>
    <cfRule type="expression" dxfId="4884" priority="118">
      <formula>AND(B$9&gt;=14/24,B$9&lt;20/24)</formula>
    </cfRule>
    <cfRule type="expression" dxfId="4883" priority="119">
      <formula>AND(B$9&gt;=8/24,B$9&lt;14/24)</formula>
    </cfRule>
    <cfRule type="expression" dxfId="4882" priority="120">
      <formula>B$9&lt;8/24</formula>
    </cfRule>
  </conditionalFormatting>
  <conditionalFormatting sqref="B15:AA15">
    <cfRule type="expression" dxfId="4881" priority="113">
      <formula>B$9&gt;=20/24</formula>
    </cfRule>
    <cfRule type="expression" dxfId="4880" priority="114">
      <formula>AND(B$9&gt;=14/24,B$9&lt;20/24)</formula>
    </cfRule>
    <cfRule type="expression" dxfId="4879" priority="115">
      <formula>AND(B$9&gt;=8/24,B$9&lt;14/24)</formula>
    </cfRule>
    <cfRule type="expression" dxfId="4878" priority="116">
      <formula>B$9&lt;8/24</formula>
    </cfRule>
  </conditionalFormatting>
  <conditionalFormatting sqref="B36:AF36">
    <cfRule type="expression" dxfId="4877" priority="109">
      <formula>B$9&gt;=20/24</formula>
    </cfRule>
    <cfRule type="expression" dxfId="4876" priority="110">
      <formula>AND(B$9&gt;=14/24,B$9&lt;20/24)</formula>
    </cfRule>
    <cfRule type="expression" dxfId="4875" priority="111">
      <formula>AND(B$9&gt;=8/24,B$9&lt;14/24)</formula>
    </cfRule>
    <cfRule type="expression" dxfId="4874" priority="112">
      <formula>B$9&lt;8/24</formula>
    </cfRule>
  </conditionalFormatting>
  <conditionalFormatting sqref="B36:AF36">
    <cfRule type="expression" dxfId="4873" priority="108">
      <formula>B36&gt;$AG36</formula>
    </cfRule>
  </conditionalFormatting>
  <conditionalFormatting sqref="B50:C56">
    <cfRule type="expression" dxfId="4872" priority="104">
      <formula>B$9&gt;=20/24</formula>
    </cfRule>
    <cfRule type="expression" dxfId="4871" priority="105">
      <formula>AND(B$9&gt;=14/24,B$9&lt;20/24)</formula>
    </cfRule>
    <cfRule type="expression" dxfId="4870" priority="106">
      <formula>AND(B$9&gt;=8/24,B$9&lt;14/24)</formula>
    </cfRule>
    <cfRule type="expression" dxfId="4869" priority="107">
      <formula>B$9&lt;8/24</formula>
    </cfRule>
  </conditionalFormatting>
  <conditionalFormatting sqref="B50:C56">
    <cfRule type="expression" dxfId="4868" priority="103">
      <formula>B50&gt;$AG50</formula>
    </cfRule>
  </conditionalFormatting>
  <conditionalFormatting sqref="B28:AF28">
    <cfRule type="expression" dxfId="4867" priority="99">
      <formula>B$9&gt;=20/24</formula>
    </cfRule>
    <cfRule type="expression" dxfId="4866" priority="100">
      <formula>AND(B$9&gt;=14/24,B$9&lt;20/24)</formula>
    </cfRule>
    <cfRule type="expression" dxfId="4865" priority="101">
      <formula>AND(B$9&gt;=8/24,B$9&lt;14/24)</formula>
    </cfRule>
    <cfRule type="expression" dxfId="4864" priority="102">
      <formula>B$9&lt;8/24</formula>
    </cfRule>
  </conditionalFormatting>
  <conditionalFormatting sqref="B19:O19 B24:O24">
    <cfRule type="expression" dxfId="4863" priority="95">
      <formula>B$9&gt;=20/24</formula>
    </cfRule>
    <cfRule type="expression" dxfId="4862" priority="96">
      <formula>AND(B$9&gt;=14/24,B$9&lt;20/24)</formula>
    </cfRule>
    <cfRule type="expression" dxfId="4861" priority="97">
      <formula>AND(B$9&gt;=8/24,B$9&lt;14/24)</formula>
    </cfRule>
    <cfRule type="expression" dxfId="4860" priority="98">
      <formula>B$9&lt;8/24</formula>
    </cfRule>
  </conditionalFormatting>
  <conditionalFormatting sqref="B19:O19 B24:O24">
    <cfRule type="expression" dxfId="4859" priority="94">
      <formula>B19&gt;$AG19</formula>
    </cfRule>
  </conditionalFormatting>
  <conditionalFormatting sqref="B80 B89">
    <cfRule type="expression" dxfId="4858" priority="90">
      <formula>B$9&gt;=20/24</formula>
    </cfRule>
    <cfRule type="expression" dxfId="4857" priority="91">
      <formula>AND(B$9&gt;=14/24,B$9&lt;20/24)</formula>
    </cfRule>
    <cfRule type="expression" dxfId="4856" priority="92">
      <formula>AND(B$9&gt;=8/24,B$9&lt;14/24)</formula>
    </cfRule>
    <cfRule type="expression" dxfId="4855" priority="93">
      <formula>B$9&lt;8/24</formula>
    </cfRule>
  </conditionalFormatting>
  <conditionalFormatting sqref="B81 B79 B90 B62">
    <cfRule type="expression" dxfId="4854" priority="86">
      <formula>B$9&gt;=20/24</formula>
    </cfRule>
    <cfRule type="expression" dxfId="4853" priority="87">
      <formula>AND(B$9&gt;=14/24,B$9&lt;20/24)</formula>
    </cfRule>
    <cfRule type="expression" dxfId="4852" priority="88">
      <formula>AND(B$9&gt;=8/24,B$9&lt;14/24)</formula>
    </cfRule>
    <cfRule type="expression" dxfId="4851" priority="89">
      <formula>B$9&lt;8/24</formula>
    </cfRule>
  </conditionalFormatting>
  <conditionalFormatting sqref="B40 B58 B62">
    <cfRule type="expression" dxfId="4850" priority="85">
      <formula>B40&gt;$AG40</formula>
    </cfRule>
  </conditionalFormatting>
  <conditionalFormatting sqref="B74">
    <cfRule type="expression" dxfId="4849" priority="81">
      <formula>B$9&gt;=20/24</formula>
    </cfRule>
    <cfRule type="expression" dxfId="4848" priority="82">
      <formula>AND(B$9&gt;=14/24,B$9&lt;20/24)</formula>
    </cfRule>
    <cfRule type="expression" dxfId="4847" priority="83">
      <formula>AND(B$9&gt;=8/24,B$9&lt;14/24)</formula>
    </cfRule>
    <cfRule type="expression" dxfId="4846" priority="84">
      <formula>B$9&lt;8/24</formula>
    </cfRule>
  </conditionalFormatting>
  <conditionalFormatting sqref="B83:B87">
    <cfRule type="expression" dxfId="4845" priority="77">
      <formula>B$9&gt;=20/24</formula>
    </cfRule>
    <cfRule type="expression" dxfId="4844" priority="78">
      <formula>AND(B$9&gt;=14/24,B$9&lt;20/24)</formula>
    </cfRule>
    <cfRule type="expression" dxfId="4843" priority="79">
      <formula>AND(B$9&gt;=8/24,B$9&lt;14/24)</formula>
    </cfRule>
    <cfRule type="expression" dxfId="4842" priority="80">
      <formula>B$9&lt;8/24</formula>
    </cfRule>
  </conditionalFormatting>
  <conditionalFormatting sqref="B41:B43">
    <cfRule type="expression" dxfId="4841" priority="73">
      <formula>B$9&gt;=20/24</formula>
    </cfRule>
    <cfRule type="expression" dxfId="4840" priority="74">
      <formula>AND(B$9&gt;=14/24,B$9&lt;20/24)</formula>
    </cfRule>
    <cfRule type="expression" dxfId="4839" priority="75">
      <formula>AND(B$9&gt;=8/24,B$9&lt;14/24)</formula>
    </cfRule>
    <cfRule type="expression" dxfId="4838" priority="76">
      <formula>B$9&lt;8/24</formula>
    </cfRule>
  </conditionalFormatting>
  <conditionalFormatting sqref="B41:B43">
    <cfRule type="expression" dxfId="4837" priority="72">
      <formula>B41&gt;$AG41</formula>
    </cfRule>
  </conditionalFormatting>
  <conditionalFormatting sqref="B44">
    <cfRule type="expression" dxfId="4836" priority="68">
      <formula>B$9&gt;=20/24</formula>
    </cfRule>
    <cfRule type="expression" dxfId="4835" priority="69">
      <formula>AND(B$9&gt;=14/24,B$9&lt;20/24)</formula>
    </cfRule>
    <cfRule type="expression" dxfId="4834" priority="70">
      <formula>AND(B$9&gt;=8/24,B$9&lt;14/24)</formula>
    </cfRule>
    <cfRule type="expression" dxfId="4833" priority="71">
      <formula>B$9&lt;8/24</formula>
    </cfRule>
  </conditionalFormatting>
  <conditionalFormatting sqref="B44">
    <cfRule type="expression" dxfId="4832" priority="67">
      <formula>B44&gt;$AG44</formula>
    </cfRule>
  </conditionalFormatting>
  <conditionalFormatting sqref="B99">
    <cfRule type="expression" dxfId="4831" priority="63">
      <formula>B$9&gt;=20/24</formula>
    </cfRule>
    <cfRule type="expression" dxfId="4830" priority="64">
      <formula>AND(B$9&gt;=14/24,B$9&lt;20/24)</formula>
    </cfRule>
    <cfRule type="expression" dxfId="4829" priority="65">
      <formula>AND(B$9&gt;=8/24,B$9&lt;14/24)</formula>
    </cfRule>
    <cfRule type="expression" dxfId="4828" priority="66">
      <formula>B$9&lt;8/24</formula>
    </cfRule>
  </conditionalFormatting>
  <conditionalFormatting sqref="B102">
    <cfRule type="expression" dxfId="4827" priority="51">
      <formula>B$9&gt;=20/24</formula>
    </cfRule>
    <cfRule type="expression" dxfId="4826" priority="52">
      <formula>AND(B$9&gt;=14/24,B$9&lt;20/24)</formula>
    </cfRule>
    <cfRule type="expression" dxfId="4825" priority="53">
      <formula>AND(B$9&gt;=8/24,B$9&lt;14/24)</formula>
    </cfRule>
    <cfRule type="expression" dxfId="4824" priority="54">
      <formula>B$9&lt;8/24</formula>
    </cfRule>
  </conditionalFormatting>
  <conditionalFormatting sqref="B17:AA17">
    <cfRule type="expression" dxfId="4823" priority="50">
      <formula>B17&gt;$AG17</formula>
    </cfRule>
  </conditionalFormatting>
  <conditionalFormatting sqref="B17:AA17">
    <cfRule type="expression" dxfId="4822" priority="46">
      <formula>B$9&gt;=20/24</formula>
    </cfRule>
    <cfRule type="expression" dxfId="4821" priority="47">
      <formula>AND(B$9&gt;=14/24,B$9&lt;20/24)</formula>
    </cfRule>
    <cfRule type="expression" dxfId="4820" priority="48">
      <formula>AND(B$9&gt;=8/24,B$9&lt;14/24)</formula>
    </cfRule>
    <cfRule type="expression" dxfId="4819" priority="49">
      <formula>B$9&lt;8/24</formula>
    </cfRule>
  </conditionalFormatting>
  <conditionalFormatting sqref="B30:AA30">
    <cfRule type="expression" dxfId="4818" priority="42">
      <formula>B$9&gt;=20/24</formula>
    </cfRule>
    <cfRule type="expression" dxfId="4817" priority="43">
      <formula>AND(B$9&gt;=14/24,B$9&lt;20/24)</formula>
    </cfRule>
    <cfRule type="expression" dxfId="4816" priority="44">
      <formula>AND(B$9&gt;=8/24,B$9&lt;14/24)</formula>
    </cfRule>
    <cfRule type="expression" dxfId="4815" priority="45">
      <formula>B$9&lt;8/24</formula>
    </cfRule>
  </conditionalFormatting>
  <conditionalFormatting sqref="B30:AA30">
    <cfRule type="expression" dxfId="4814" priority="41">
      <formula>B30&gt;$AG30</formula>
    </cfRule>
  </conditionalFormatting>
  <conditionalFormatting sqref="M48:P49 Q49:R49">
    <cfRule type="expression" dxfId="4813" priority="37">
      <formula>M$9&gt;=20/24</formula>
    </cfRule>
    <cfRule type="expression" dxfId="4812" priority="38">
      <formula>AND(M$9&gt;=14/24,M$9&lt;20/24)</formula>
    </cfRule>
    <cfRule type="expression" dxfId="4811" priority="39">
      <formula>AND(M$9&gt;=8/24,M$9&lt;14/24)</formula>
    </cfRule>
    <cfRule type="expression" dxfId="4810" priority="40">
      <formula>M$9&lt;8/24</formula>
    </cfRule>
  </conditionalFormatting>
  <conditionalFormatting sqref="M48:P49 Q49:R49">
    <cfRule type="expression" dxfId="4809" priority="36">
      <formula>M48&gt;$AG48</formula>
    </cfRule>
  </conditionalFormatting>
  <conditionalFormatting sqref="AJ24">
    <cfRule type="expression" dxfId="4808" priority="32">
      <formula>AJ$9&gt;=20/24</formula>
    </cfRule>
    <cfRule type="expression" dxfId="4807" priority="33">
      <formula>AND(AJ$9&gt;=14/24,AJ$9&lt;20/24)</formula>
    </cfRule>
    <cfRule type="expression" dxfId="4806" priority="34">
      <formula>AND(AJ$9&gt;=8/24,AJ$9&lt;14/24)</formula>
    </cfRule>
    <cfRule type="expression" dxfId="4805" priority="35">
      <formula>AJ$9&lt;8/24</formula>
    </cfRule>
  </conditionalFormatting>
  <conditionalFormatting sqref="AJ24">
    <cfRule type="expression" dxfId="4804" priority="31">
      <formula>AJ24&gt;$AG24</formula>
    </cfRule>
  </conditionalFormatting>
  <conditionalFormatting sqref="AJ25">
    <cfRule type="expression" dxfId="4803" priority="27">
      <formula>AJ$9&gt;=20/24</formula>
    </cfRule>
    <cfRule type="expression" dxfId="4802" priority="28">
      <formula>AND(AJ$9&gt;=14/24,AJ$9&lt;20/24)</formula>
    </cfRule>
    <cfRule type="expression" dxfId="4801" priority="29">
      <formula>AND(AJ$9&gt;=8/24,AJ$9&lt;14/24)</formula>
    </cfRule>
    <cfRule type="expression" dxfId="4800" priority="30">
      <formula>AJ$9&lt;8/24</formula>
    </cfRule>
  </conditionalFormatting>
  <conditionalFormatting sqref="AJ25">
    <cfRule type="expression" dxfId="4799" priority="26">
      <formula>AJ25&gt;$AG25</formula>
    </cfRule>
  </conditionalFormatting>
  <conditionalFormatting sqref="AJ26">
    <cfRule type="expression" dxfId="4798" priority="22">
      <formula>AJ$9&gt;=20/24</formula>
    </cfRule>
    <cfRule type="expression" dxfId="4797" priority="23">
      <formula>AND(AJ$9&gt;=14/24,AJ$9&lt;20/24)</formula>
    </cfRule>
    <cfRule type="expression" dxfId="4796" priority="24">
      <formula>AND(AJ$9&gt;=8/24,AJ$9&lt;14/24)</formula>
    </cfRule>
    <cfRule type="expression" dxfId="4795" priority="25">
      <formula>AJ$9&lt;8/24</formula>
    </cfRule>
  </conditionalFormatting>
  <conditionalFormatting sqref="AJ26">
    <cfRule type="expression" dxfId="4794" priority="21">
      <formula>AJ26&gt;$AG26</formula>
    </cfRule>
  </conditionalFormatting>
  <conditionalFormatting sqref="AJ29">
    <cfRule type="expression" dxfId="4793" priority="17">
      <formula>AJ$9&gt;=20/24</formula>
    </cfRule>
    <cfRule type="expression" dxfId="4792" priority="18">
      <formula>AND(AJ$9&gt;=14/24,AJ$9&lt;20/24)</formula>
    </cfRule>
    <cfRule type="expression" dxfId="4791" priority="19">
      <formula>AND(AJ$9&gt;=8/24,AJ$9&lt;14/24)</formula>
    </cfRule>
    <cfRule type="expression" dxfId="4790" priority="20">
      <formula>AJ$9&lt;8/24</formula>
    </cfRule>
  </conditionalFormatting>
  <conditionalFormatting sqref="AJ29">
    <cfRule type="expression" dxfId="4789" priority="16">
      <formula>AJ29&gt;$AG29</formula>
    </cfRule>
  </conditionalFormatting>
  <conditionalFormatting sqref="AJ37">
    <cfRule type="expression" dxfId="4788" priority="12">
      <formula>AJ$9&gt;=20/24</formula>
    </cfRule>
    <cfRule type="expression" dxfId="4787" priority="13">
      <formula>AND(AJ$9&gt;=14/24,AJ$9&lt;20/24)</formula>
    </cfRule>
    <cfRule type="expression" dxfId="4786" priority="14">
      <formula>AND(AJ$9&gt;=8/24,AJ$9&lt;14/24)</formula>
    </cfRule>
    <cfRule type="expression" dxfId="4785" priority="15">
      <formula>AJ$9&lt;8/24</formula>
    </cfRule>
  </conditionalFormatting>
  <conditionalFormatting sqref="AJ37">
    <cfRule type="expression" dxfId="4784" priority="11">
      <formula>AJ37&gt;$AG37</formula>
    </cfRule>
  </conditionalFormatting>
  <conditionalFormatting sqref="AJ36">
    <cfRule type="expression" dxfId="4783" priority="7">
      <formula>AJ$9&gt;=20/24</formula>
    </cfRule>
    <cfRule type="expression" dxfId="4782" priority="8">
      <formula>AND(AJ$9&gt;=14/24,AJ$9&lt;20/24)</formula>
    </cfRule>
    <cfRule type="expression" dxfId="4781" priority="9">
      <formula>AND(AJ$9&gt;=8/24,AJ$9&lt;14/24)</formula>
    </cfRule>
    <cfRule type="expression" dxfId="4780" priority="10">
      <formula>AJ$9&lt;8/24</formula>
    </cfRule>
  </conditionalFormatting>
  <conditionalFormatting sqref="AJ36">
    <cfRule type="expression" dxfId="4779" priority="6">
      <formula>AJ36&gt;$AG36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6" id="{4EC84D0D-549B-4F03-A7E9-EBF08FA104F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7" id="{5F646357-986F-4B41-B6D2-24458E6F8365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8" id="{A3CAA4C9-DD8B-4695-87E0-43248A781D8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09" id="{4B8BB97E-15FB-4321-B6E9-E14E60CAA3A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C82:AF82</xm:sqref>
        </x14:conditionalFormatting>
        <x14:conditionalFormatting xmlns:xm="http://schemas.microsoft.com/office/excel/2006/main">
          <x14:cfRule type="expression" priority="199" id="{92737D6B-0350-49DF-A261-002A8F3DD24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0" id="{20AAB948-5429-499F-A7B0-E7C825624F4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01" id="{985710C0-E3F4-4253-90F3-C77EE0580A08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02" id="{4FAF7BB5-B89F-4D9C-9A31-F0595D9B3CE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59" id="{9BCC215E-A1AB-4397-A8ED-F6D5FA4BB69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0" id="{117D9317-DB50-40E9-ACA6-600B22E62BC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1" id="{B9443D4B-48C4-49F8-B8EE-9677D8528D8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2" id="{5FD44338-65D5-4BAA-976F-6F127A0FCB8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</xm:sqref>
        </x14:conditionalFormatting>
        <x14:conditionalFormatting xmlns:xm="http://schemas.microsoft.com/office/excel/2006/main">
          <x14:cfRule type="expression" priority="55" id="{E3956A62-0FD0-4D9B-91D6-5EA0C4CE718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8EFC76B3-1819-4FB4-A885-B0C48D853FA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1E6ECDAB-F643-405A-B1E5-B162D003455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868F1E38-626C-4BDE-A806-C5983A14AF19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J270"/>
  <sheetViews>
    <sheetView tabSelected="1" zoomScale="90" zoomScaleNormal="90" workbookViewId="0">
      <pane xSplit="1" ySplit="10" topLeftCell="B73" activePane="bottomRight" state="frozen"/>
      <selection activeCell="AF88" sqref="AF88"/>
      <selection pane="topRight" activeCell="AF88" sqref="AF88"/>
      <selection pane="bottomLeft" activeCell="AF88" sqref="AF88"/>
      <selection pane="bottomRight" activeCell="Y82" sqref="Y82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15.28515625" style="1" customWidth="1"/>
    <col min="37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2079/06/19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14</v>
      </c>
      <c r="C5" s="148">
        <f t="shared" si="0"/>
        <v>0</v>
      </c>
      <c r="D5" s="148">
        <f t="shared" si="0"/>
        <v>4</v>
      </c>
      <c r="E5" s="148">
        <f t="shared" si="0"/>
        <v>4</v>
      </c>
      <c r="F5" s="148">
        <f t="shared" si="0"/>
        <v>4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0</v>
      </c>
      <c r="X5" s="148">
        <f t="shared" si="0"/>
        <v>0</v>
      </c>
      <c r="Y5" s="148">
        <f t="shared" si="0"/>
        <v>8</v>
      </c>
      <c r="Z5" s="148">
        <f t="shared" si="0"/>
        <v>8</v>
      </c>
      <c r="AA5" s="148">
        <f t="shared" si="0"/>
        <v>0</v>
      </c>
      <c r="AB5" s="148">
        <f t="shared" si="0"/>
        <v>0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B74</f>
        <v>16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1284MW at 8:00hr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J6" s="170" t="s">
        <v>283</v>
      </c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Load=1136</v>
      </c>
      <c r="B7" s="137">
        <f t="shared" ref="B7:AF7" si="1">B81</f>
        <v>1261.3399999999999</v>
      </c>
      <c r="C7" s="137">
        <f t="shared" si="1"/>
        <v>1238.44</v>
      </c>
      <c r="D7" s="137">
        <f t="shared" si="1"/>
        <v>1183.54</v>
      </c>
      <c r="E7" s="137">
        <f t="shared" si="1"/>
        <v>1178.8399999999999</v>
      </c>
      <c r="F7" s="137">
        <f t="shared" si="1"/>
        <v>1240.94</v>
      </c>
      <c r="G7" s="137">
        <f t="shared" si="1"/>
        <v>1264.6399999999999</v>
      </c>
      <c r="H7" s="137">
        <f t="shared" si="1"/>
        <v>1276.8399999999999</v>
      </c>
      <c r="I7" s="137">
        <f t="shared" si="1"/>
        <v>1271.74</v>
      </c>
      <c r="J7" s="137">
        <f t="shared" si="1"/>
        <v>1268.1400000000001</v>
      </c>
      <c r="K7" s="137">
        <f t="shared" si="1"/>
        <v>1271.3400000000001</v>
      </c>
      <c r="L7" s="137">
        <f t="shared" si="1"/>
        <v>1248.8399999999999</v>
      </c>
      <c r="M7" s="137">
        <f t="shared" si="1"/>
        <v>1283.8399999999999</v>
      </c>
      <c r="N7" s="137">
        <f t="shared" si="1"/>
        <v>1268.2399999999998</v>
      </c>
      <c r="O7" s="137">
        <f t="shared" si="1"/>
        <v>1261.2399999999998</v>
      </c>
      <c r="P7" s="137">
        <f t="shared" si="1"/>
        <v>1222.8399999999999</v>
      </c>
      <c r="Q7" s="137">
        <f t="shared" si="1"/>
        <v>1209.74</v>
      </c>
      <c r="R7" s="137">
        <f t="shared" si="1"/>
        <v>1174.8399999999999</v>
      </c>
      <c r="S7" s="137">
        <f t="shared" si="1"/>
        <v>1135.6400000000001</v>
      </c>
      <c r="T7" s="137">
        <f t="shared" si="1"/>
        <v>1185.6399999999999</v>
      </c>
      <c r="U7" s="137">
        <f t="shared" si="1"/>
        <v>1183.6399999999999</v>
      </c>
      <c r="V7" s="137">
        <f t="shared" si="1"/>
        <v>1155.6399999999999</v>
      </c>
      <c r="W7" s="137">
        <f t="shared" si="1"/>
        <v>1169.3399999999999</v>
      </c>
      <c r="X7" s="137">
        <f t="shared" si="1"/>
        <v>1321.9399999999998</v>
      </c>
      <c r="Y7" s="137">
        <f t="shared" si="1"/>
        <v>1347.2399999999998</v>
      </c>
      <c r="Z7" s="137">
        <f t="shared" si="1"/>
        <v>1340.04</v>
      </c>
      <c r="AA7" s="137">
        <f t="shared" si="1"/>
        <v>1340.04</v>
      </c>
      <c r="AB7" s="137">
        <f t="shared" si="1"/>
        <v>1427.94</v>
      </c>
      <c r="AC7" s="137">
        <f t="shared" si="1"/>
        <v>1434.54</v>
      </c>
      <c r="AD7" s="137">
        <f t="shared" si="1"/>
        <v>1415.6399999999999</v>
      </c>
      <c r="AE7" s="137">
        <f t="shared" si="1"/>
        <v>1363.14</v>
      </c>
      <c r="AF7" s="137">
        <f t="shared" si="1"/>
        <v>1320.74</v>
      </c>
      <c r="AG7" s="136"/>
      <c r="AI7" s="135"/>
      <c r="AJ7" s="105">
        <f>(1700*24-(B7+C7+D7+E7+F7+G7+I7+K7+M7+N7+O7+P7+Q7+R7+S7+T7+U7+V7+X7+Z7+AB7+AD7+AE7+AF7))</f>
        <v>10618.440000000006</v>
      </c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45.6</v>
      </c>
      <c r="C11" s="105">
        <v>45.6</v>
      </c>
      <c r="D11" s="105" t="s">
        <v>255</v>
      </c>
      <c r="E11" s="105">
        <v>45.8</v>
      </c>
      <c r="F11" s="105">
        <v>45.8</v>
      </c>
      <c r="G11" s="105">
        <v>45.8</v>
      </c>
      <c r="H11" s="105">
        <v>45.8</v>
      </c>
      <c r="I11" s="105">
        <v>45.8</v>
      </c>
      <c r="J11" s="105">
        <v>45.8</v>
      </c>
      <c r="K11" s="105">
        <v>45.8</v>
      </c>
      <c r="L11" s="105">
        <v>45.7</v>
      </c>
      <c r="M11" s="105">
        <v>45.7</v>
      </c>
      <c r="N11" s="105">
        <v>45.7</v>
      </c>
      <c r="O11" s="105">
        <v>45.7</v>
      </c>
      <c r="P11" s="105">
        <v>45.7</v>
      </c>
      <c r="Q11" s="105">
        <v>45.7</v>
      </c>
      <c r="R11" s="105">
        <v>45.7</v>
      </c>
      <c r="S11" s="105">
        <v>45.7</v>
      </c>
      <c r="T11" s="105">
        <v>45.7</v>
      </c>
      <c r="U11" s="105">
        <v>45.7</v>
      </c>
      <c r="V11" s="105">
        <v>45.7</v>
      </c>
      <c r="W11" s="128">
        <v>46</v>
      </c>
      <c r="X11" s="128">
        <v>46</v>
      </c>
      <c r="Y11" s="128">
        <v>46</v>
      </c>
      <c r="Z11" s="128">
        <v>46</v>
      </c>
      <c r="AA11" s="128">
        <v>46</v>
      </c>
      <c r="AB11" s="128">
        <v>51.3</v>
      </c>
      <c r="AC11" s="128">
        <v>51.3</v>
      </c>
      <c r="AD11" s="128">
        <v>51.3</v>
      </c>
      <c r="AE11" s="128">
        <v>51.2</v>
      </c>
      <c r="AF11" s="128">
        <v>51.4</v>
      </c>
      <c r="AG11" s="127">
        <v>52.4</v>
      </c>
      <c r="AH11" s="20">
        <f>MAX(B11:AF11)</f>
        <v>51.4</v>
      </c>
      <c r="AI11" s="19">
        <f>MIN(B11:AF11)</f>
        <v>45.6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51</v>
      </c>
      <c r="C12" s="105">
        <v>51</v>
      </c>
      <c r="D12" s="105" t="s">
        <v>256</v>
      </c>
      <c r="E12" s="105">
        <v>40.1</v>
      </c>
      <c r="F12" s="105">
        <v>40.1</v>
      </c>
      <c r="G12" s="105">
        <v>50</v>
      </c>
      <c r="H12" s="105">
        <v>50</v>
      </c>
      <c r="I12" s="105">
        <v>50</v>
      </c>
      <c r="J12" s="105">
        <v>50</v>
      </c>
      <c r="K12" s="105">
        <v>50</v>
      </c>
      <c r="L12" s="105">
        <v>50</v>
      </c>
      <c r="M12" s="105">
        <v>50</v>
      </c>
      <c r="N12" s="105">
        <v>50</v>
      </c>
      <c r="O12" s="105">
        <v>50</v>
      </c>
      <c r="P12" s="105">
        <v>50</v>
      </c>
      <c r="Q12" s="105">
        <v>50</v>
      </c>
      <c r="R12" s="105">
        <v>50</v>
      </c>
      <c r="S12" s="105">
        <v>0</v>
      </c>
      <c r="T12" s="105">
        <v>50</v>
      </c>
      <c r="U12" s="105">
        <v>50</v>
      </c>
      <c r="V12" s="105">
        <v>50</v>
      </c>
      <c r="W12" s="105">
        <v>50.1</v>
      </c>
      <c r="X12" s="105">
        <v>50.1</v>
      </c>
      <c r="Y12" s="105">
        <v>50.1</v>
      </c>
      <c r="Z12" s="105">
        <v>50.1</v>
      </c>
      <c r="AA12" s="105">
        <v>50.1</v>
      </c>
      <c r="AB12" s="105">
        <v>50.2</v>
      </c>
      <c r="AC12" s="105">
        <v>50.5</v>
      </c>
      <c r="AD12" s="105">
        <v>50.5</v>
      </c>
      <c r="AE12" s="105">
        <v>50.1</v>
      </c>
      <c r="AF12" s="105">
        <v>50.3</v>
      </c>
      <c r="AG12" s="126">
        <v>50</v>
      </c>
      <c r="AH12" s="20">
        <f t="shared" ref="AH12:AH75" si="2">MAX(B12:AF12)</f>
        <v>51</v>
      </c>
      <c r="AI12" s="19">
        <f t="shared" ref="AI12:AI75" si="3">MIN(B12:AF12)</f>
        <v>0</v>
      </c>
      <c r="AJ12" s="171"/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46.1</v>
      </c>
      <c r="C13" s="105">
        <v>40</v>
      </c>
      <c r="D13" s="105" t="s">
        <v>255</v>
      </c>
      <c r="E13" s="105">
        <v>30.9</v>
      </c>
      <c r="F13" s="105">
        <v>42</v>
      </c>
      <c r="G13" s="105">
        <v>40</v>
      </c>
      <c r="H13" s="105">
        <v>40</v>
      </c>
      <c r="I13" s="105">
        <v>40</v>
      </c>
      <c r="J13" s="105">
        <v>37</v>
      </c>
      <c r="K13" s="105">
        <v>41</v>
      </c>
      <c r="L13" s="105">
        <v>41</v>
      </c>
      <c r="M13" s="105">
        <v>41</v>
      </c>
      <c r="N13" s="105">
        <v>41</v>
      </c>
      <c r="O13" s="105">
        <v>41</v>
      </c>
      <c r="P13" s="105">
        <v>41</v>
      </c>
      <c r="Q13" s="105">
        <v>41</v>
      </c>
      <c r="R13" s="105">
        <v>41</v>
      </c>
      <c r="S13" s="105">
        <v>41</v>
      </c>
      <c r="T13" s="105">
        <v>41</v>
      </c>
      <c r="U13" s="105">
        <v>41</v>
      </c>
      <c r="V13" s="105">
        <v>41</v>
      </c>
      <c r="W13" s="105">
        <v>42</v>
      </c>
      <c r="X13" s="105">
        <v>42</v>
      </c>
      <c r="Y13" s="105">
        <v>42</v>
      </c>
      <c r="Z13" s="105">
        <v>42</v>
      </c>
      <c r="AA13" s="105">
        <v>42</v>
      </c>
      <c r="AB13" s="105">
        <v>46</v>
      </c>
      <c r="AC13" s="105">
        <v>46</v>
      </c>
      <c r="AD13" s="105">
        <v>46.1</v>
      </c>
      <c r="AE13" s="105">
        <v>46</v>
      </c>
      <c r="AF13" s="105">
        <v>36</v>
      </c>
      <c r="AG13" s="126">
        <v>45</v>
      </c>
      <c r="AH13" s="20">
        <f t="shared" si="2"/>
        <v>46.1</v>
      </c>
      <c r="AI13" s="19">
        <f t="shared" si="3"/>
        <v>30.9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41</v>
      </c>
      <c r="C14" s="105">
        <v>39</v>
      </c>
      <c r="D14" s="105" t="s">
        <v>257</v>
      </c>
      <c r="E14" s="105">
        <v>41</v>
      </c>
      <c r="F14" s="105">
        <v>30</v>
      </c>
      <c r="G14" s="105">
        <v>30</v>
      </c>
      <c r="H14" s="105">
        <v>30</v>
      </c>
      <c r="I14" s="105">
        <v>30</v>
      </c>
      <c r="J14" s="105">
        <v>28</v>
      </c>
      <c r="K14" s="105">
        <v>28</v>
      </c>
      <c r="L14" s="105">
        <v>28</v>
      </c>
      <c r="M14" s="105">
        <v>28</v>
      </c>
      <c r="N14" s="105">
        <v>28</v>
      </c>
      <c r="O14" s="105">
        <v>28</v>
      </c>
      <c r="P14" s="105">
        <v>28</v>
      </c>
      <c r="Q14" s="105">
        <v>20</v>
      </c>
      <c r="R14" s="105">
        <v>20</v>
      </c>
      <c r="S14" s="105">
        <v>20</v>
      </c>
      <c r="T14" s="105">
        <v>20</v>
      </c>
      <c r="U14" s="105">
        <v>20</v>
      </c>
      <c r="V14" s="105">
        <v>20</v>
      </c>
      <c r="W14" s="105">
        <v>25</v>
      </c>
      <c r="X14" s="105">
        <v>25</v>
      </c>
      <c r="Y14" s="105">
        <v>25</v>
      </c>
      <c r="Z14" s="105">
        <v>30</v>
      </c>
      <c r="AA14" s="105">
        <v>30</v>
      </c>
      <c r="AB14" s="105">
        <v>35</v>
      </c>
      <c r="AC14" s="105">
        <v>35</v>
      </c>
      <c r="AD14" s="105">
        <v>35</v>
      </c>
      <c r="AE14" s="105">
        <v>25</v>
      </c>
      <c r="AF14" s="105">
        <v>25</v>
      </c>
      <c r="AG14" s="126">
        <v>42</v>
      </c>
      <c r="AH14" s="20">
        <f t="shared" si="2"/>
        <v>41</v>
      </c>
      <c r="AI14" s="19">
        <f t="shared" si="3"/>
        <v>20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 t="s">
        <v>258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0</v>
      </c>
      <c r="N15" s="105">
        <v>0</v>
      </c>
      <c r="O15" s="105">
        <v>0</v>
      </c>
      <c r="P15" s="105">
        <v>0</v>
      </c>
      <c r="Q15" s="105">
        <v>0</v>
      </c>
      <c r="R15" s="105">
        <v>0</v>
      </c>
      <c r="S15" s="105">
        <v>0</v>
      </c>
      <c r="T15" s="105">
        <v>0</v>
      </c>
      <c r="U15" s="105">
        <v>0</v>
      </c>
      <c r="V15" s="105">
        <v>0</v>
      </c>
      <c r="W15" s="105">
        <v>0</v>
      </c>
      <c r="X15" s="105">
        <v>0</v>
      </c>
      <c r="Y15" s="105">
        <v>0</v>
      </c>
      <c r="Z15" s="105">
        <v>0</v>
      </c>
      <c r="AA15" s="105">
        <v>0</v>
      </c>
      <c r="AB15" s="105">
        <v>11</v>
      </c>
      <c r="AC15" s="105">
        <v>5</v>
      </c>
      <c r="AD15" s="105">
        <v>0</v>
      </c>
      <c r="AE15" s="105">
        <v>0</v>
      </c>
      <c r="AF15" s="105">
        <v>0</v>
      </c>
      <c r="AG15" s="96">
        <v>30</v>
      </c>
      <c r="AH15" s="20">
        <f t="shared" si="2"/>
        <v>11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20.7</v>
      </c>
      <c r="C16" s="105">
        <v>20.7</v>
      </c>
      <c r="D16" s="105" t="s">
        <v>259</v>
      </c>
      <c r="E16" s="105">
        <v>20.7</v>
      </c>
      <c r="F16" s="105">
        <v>20.7</v>
      </c>
      <c r="G16" s="105">
        <v>20.7</v>
      </c>
      <c r="H16" s="105">
        <v>20.7</v>
      </c>
      <c r="I16" s="105">
        <v>20.7</v>
      </c>
      <c r="J16" s="105">
        <v>20.7</v>
      </c>
      <c r="K16" s="105">
        <v>20.7</v>
      </c>
      <c r="L16" s="105">
        <v>20.7</v>
      </c>
      <c r="M16" s="105">
        <v>20.7</v>
      </c>
      <c r="N16" s="105">
        <v>20.7</v>
      </c>
      <c r="O16" s="105">
        <v>20.7</v>
      </c>
      <c r="P16" s="105">
        <v>20.7</v>
      </c>
      <c r="Q16" s="105">
        <v>20.7</v>
      </c>
      <c r="R16" s="105">
        <v>20.7</v>
      </c>
      <c r="S16" s="105">
        <v>20.7</v>
      </c>
      <c r="T16" s="105">
        <v>20.7</v>
      </c>
      <c r="U16" s="105">
        <v>20.7</v>
      </c>
      <c r="V16" s="105">
        <v>20.7</v>
      </c>
      <c r="W16" s="105">
        <v>20.7</v>
      </c>
      <c r="X16" s="105">
        <v>20.7</v>
      </c>
      <c r="Y16" s="105">
        <v>20.7</v>
      </c>
      <c r="Z16" s="105">
        <v>20.7</v>
      </c>
      <c r="AA16" s="105">
        <v>20.7</v>
      </c>
      <c r="AB16" s="105">
        <v>25.7</v>
      </c>
      <c r="AC16" s="105">
        <v>25.7</v>
      </c>
      <c r="AD16" s="105">
        <v>25.7</v>
      </c>
      <c r="AE16" s="105">
        <v>25.7</v>
      </c>
      <c r="AF16" s="105">
        <v>25.7</v>
      </c>
      <c r="AG16" s="126">
        <v>24.2</v>
      </c>
      <c r="AH16" s="20">
        <f t="shared" si="2"/>
        <v>25.7</v>
      </c>
      <c r="AI16" s="19">
        <f t="shared" si="3"/>
        <v>20.7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0</v>
      </c>
      <c r="C17" s="105">
        <v>0</v>
      </c>
      <c r="D17" s="105"/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5">
        <v>0</v>
      </c>
      <c r="O17" s="105">
        <v>0</v>
      </c>
      <c r="P17" s="105">
        <v>0</v>
      </c>
      <c r="Q17" s="105">
        <v>0</v>
      </c>
      <c r="R17" s="105">
        <v>0</v>
      </c>
      <c r="S17" s="105">
        <v>0</v>
      </c>
      <c r="T17" s="105">
        <v>0</v>
      </c>
      <c r="U17" s="105">
        <v>0</v>
      </c>
      <c r="V17" s="105">
        <v>0</v>
      </c>
      <c r="W17" s="105">
        <v>0</v>
      </c>
      <c r="X17" s="105">
        <v>0</v>
      </c>
      <c r="Y17" s="105">
        <v>0</v>
      </c>
      <c r="Z17" s="105">
        <v>0</v>
      </c>
      <c r="AA17" s="105">
        <v>0</v>
      </c>
      <c r="AB17" s="105">
        <v>10</v>
      </c>
      <c r="AC17" s="105">
        <v>10</v>
      </c>
      <c r="AD17" s="105">
        <v>0</v>
      </c>
      <c r="AE17" s="105">
        <v>0</v>
      </c>
      <c r="AF17" s="105">
        <v>0</v>
      </c>
      <c r="AG17" s="96">
        <v>30</v>
      </c>
      <c r="AH17" s="20">
        <f t="shared" si="2"/>
        <v>10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25</v>
      </c>
      <c r="C18" s="105">
        <v>25</v>
      </c>
      <c r="D18" s="105" t="s">
        <v>260</v>
      </c>
      <c r="E18" s="105">
        <v>25.1</v>
      </c>
      <c r="F18" s="105">
        <v>25.1</v>
      </c>
      <c r="G18" s="105">
        <v>25.1</v>
      </c>
      <c r="H18" s="105">
        <v>25.1</v>
      </c>
      <c r="I18" s="105">
        <v>25.1</v>
      </c>
      <c r="J18" s="105">
        <v>25.1</v>
      </c>
      <c r="K18" s="105">
        <v>25.1</v>
      </c>
      <c r="L18" s="105">
        <v>25.1</v>
      </c>
      <c r="M18" s="105">
        <v>25.1</v>
      </c>
      <c r="N18" s="105">
        <v>25.1</v>
      </c>
      <c r="O18" s="105">
        <v>25.1</v>
      </c>
      <c r="P18" s="105">
        <v>25.1</v>
      </c>
      <c r="Q18" s="105">
        <v>20</v>
      </c>
      <c r="R18" s="105">
        <v>20</v>
      </c>
      <c r="S18" s="105">
        <v>20</v>
      </c>
      <c r="T18" s="105">
        <v>20</v>
      </c>
      <c r="U18" s="105">
        <v>20</v>
      </c>
      <c r="V18" s="105">
        <v>0</v>
      </c>
      <c r="W18" s="105">
        <v>0</v>
      </c>
      <c r="X18" s="105">
        <v>0</v>
      </c>
      <c r="Y18" s="105">
        <v>0</v>
      </c>
      <c r="Z18" s="105">
        <v>0</v>
      </c>
      <c r="AA18" s="105">
        <v>0</v>
      </c>
      <c r="AB18" s="105">
        <v>0</v>
      </c>
      <c r="AC18" s="105">
        <v>21.1</v>
      </c>
      <c r="AD18" s="105">
        <v>21</v>
      </c>
      <c r="AE18" s="105">
        <v>21</v>
      </c>
      <c r="AF18" s="105">
        <v>21</v>
      </c>
      <c r="AG18" s="126">
        <v>25</v>
      </c>
      <c r="AH18" s="20">
        <f t="shared" si="2"/>
        <v>25.1</v>
      </c>
      <c r="AI18" s="19">
        <f t="shared" si="3"/>
        <v>0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17</v>
      </c>
      <c r="C19" s="105">
        <v>17</v>
      </c>
      <c r="D19" s="105" t="s">
        <v>261</v>
      </c>
      <c r="E19" s="105">
        <v>17</v>
      </c>
      <c r="F19" s="105">
        <v>17</v>
      </c>
      <c r="G19" s="105">
        <v>17</v>
      </c>
      <c r="H19" s="105">
        <v>17</v>
      </c>
      <c r="I19" s="105">
        <v>17</v>
      </c>
      <c r="J19" s="105">
        <v>17</v>
      </c>
      <c r="K19" s="105">
        <v>17</v>
      </c>
      <c r="L19" s="105">
        <v>17</v>
      </c>
      <c r="M19" s="105">
        <v>17</v>
      </c>
      <c r="N19" s="105">
        <v>17</v>
      </c>
      <c r="O19" s="105">
        <v>17</v>
      </c>
      <c r="P19" s="105">
        <v>17</v>
      </c>
      <c r="Q19" s="105">
        <v>17</v>
      </c>
      <c r="R19" s="105">
        <v>13</v>
      </c>
      <c r="S19" s="105">
        <v>13</v>
      </c>
      <c r="T19" s="105">
        <v>13</v>
      </c>
      <c r="U19" s="105">
        <v>13</v>
      </c>
      <c r="V19" s="105">
        <v>13</v>
      </c>
      <c r="W19" s="105">
        <v>13</v>
      </c>
      <c r="X19" s="105">
        <v>13</v>
      </c>
      <c r="Y19" s="105">
        <v>13</v>
      </c>
      <c r="Z19" s="105">
        <v>13</v>
      </c>
      <c r="AA19" s="105">
        <v>13</v>
      </c>
      <c r="AB19" s="105">
        <v>17</v>
      </c>
      <c r="AC19" s="105">
        <v>17</v>
      </c>
      <c r="AD19" s="105">
        <v>17</v>
      </c>
      <c r="AE19" s="105">
        <v>17</v>
      </c>
      <c r="AF19" s="105">
        <v>17</v>
      </c>
      <c r="AG19" s="126">
        <v>25</v>
      </c>
      <c r="AH19" s="20">
        <f t="shared" si="2"/>
        <v>17</v>
      </c>
      <c r="AI19" s="19">
        <f t="shared" si="3"/>
        <v>13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18</v>
      </c>
      <c r="C20" s="105">
        <v>18</v>
      </c>
      <c r="D20" s="105" t="s">
        <v>255</v>
      </c>
      <c r="E20" s="105">
        <v>20</v>
      </c>
      <c r="F20" s="105">
        <v>20</v>
      </c>
      <c r="G20" s="105">
        <v>20</v>
      </c>
      <c r="H20" s="105">
        <v>20</v>
      </c>
      <c r="I20" s="105">
        <v>20</v>
      </c>
      <c r="J20" s="105">
        <v>20</v>
      </c>
      <c r="K20" s="105">
        <v>20</v>
      </c>
      <c r="L20" s="105">
        <v>20</v>
      </c>
      <c r="M20" s="105">
        <v>20</v>
      </c>
      <c r="N20" s="105">
        <v>20</v>
      </c>
      <c r="O20" s="105">
        <v>20</v>
      </c>
      <c r="P20" s="105">
        <v>20</v>
      </c>
      <c r="Q20" s="105">
        <v>20</v>
      </c>
      <c r="R20" s="105">
        <v>20</v>
      </c>
      <c r="S20" s="105">
        <v>20</v>
      </c>
      <c r="T20" s="105">
        <v>20</v>
      </c>
      <c r="U20" s="105">
        <v>20</v>
      </c>
      <c r="V20" s="105">
        <v>20</v>
      </c>
      <c r="W20" s="105">
        <v>20</v>
      </c>
      <c r="X20" s="105">
        <v>20</v>
      </c>
      <c r="Y20" s="105">
        <v>20</v>
      </c>
      <c r="Z20" s="105">
        <v>20</v>
      </c>
      <c r="AA20" s="105">
        <v>20</v>
      </c>
      <c r="AB20" s="105">
        <v>20</v>
      </c>
      <c r="AC20" s="105">
        <v>20</v>
      </c>
      <c r="AD20" s="105">
        <v>20</v>
      </c>
      <c r="AE20" s="105">
        <v>20</v>
      </c>
      <c r="AF20" s="105">
        <v>20</v>
      </c>
      <c r="AG20" s="126">
        <v>25</v>
      </c>
      <c r="AH20" s="20">
        <f t="shared" si="2"/>
        <v>20</v>
      </c>
      <c r="AI20" s="19">
        <f t="shared" si="3"/>
        <v>18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18</v>
      </c>
      <c r="C21" s="105">
        <v>18</v>
      </c>
      <c r="D21" s="105" t="s">
        <v>257</v>
      </c>
      <c r="E21" s="105">
        <v>18</v>
      </c>
      <c r="F21" s="105">
        <v>18</v>
      </c>
      <c r="G21" s="105">
        <v>18</v>
      </c>
      <c r="H21" s="105">
        <v>18</v>
      </c>
      <c r="I21" s="105">
        <v>18.399999999999999</v>
      </c>
      <c r="J21" s="105">
        <v>18.399999999999999</v>
      </c>
      <c r="K21" s="105">
        <v>18.399999999999999</v>
      </c>
      <c r="L21" s="105">
        <v>18.399999999999999</v>
      </c>
      <c r="M21" s="105">
        <v>18.399999999999999</v>
      </c>
      <c r="N21" s="105">
        <v>18.399999999999999</v>
      </c>
      <c r="O21" s="105">
        <v>18.399999999999999</v>
      </c>
      <c r="P21" s="105">
        <v>18.399999999999999</v>
      </c>
      <c r="Q21" s="105">
        <v>18.399999999999999</v>
      </c>
      <c r="R21" s="105">
        <v>18.399999999999999</v>
      </c>
      <c r="S21" s="105">
        <v>18.399999999999999</v>
      </c>
      <c r="T21" s="105">
        <v>18.399999999999999</v>
      </c>
      <c r="U21" s="105">
        <v>18.399999999999999</v>
      </c>
      <c r="V21" s="105">
        <v>18.399999999999999</v>
      </c>
      <c r="W21" s="105">
        <v>18.5</v>
      </c>
      <c r="X21" s="105">
        <v>18.5</v>
      </c>
      <c r="Y21" s="105">
        <v>18.5</v>
      </c>
      <c r="Z21" s="105">
        <v>18.5</v>
      </c>
      <c r="AA21" s="105">
        <v>18.5</v>
      </c>
      <c r="AB21" s="105">
        <v>18.5</v>
      </c>
      <c r="AC21" s="105">
        <v>18.5</v>
      </c>
      <c r="AD21" s="105">
        <v>18.2</v>
      </c>
      <c r="AE21" s="105">
        <v>18.2</v>
      </c>
      <c r="AF21" s="105">
        <v>18.2</v>
      </c>
      <c r="AG21" s="126">
        <v>23.5</v>
      </c>
      <c r="AH21" s="20">
        <f t="shared" si="2"/>
        <v>18.5</v>
      </c>
      <c r="AI21" s="19">
        <f t="shared" si="3"/>
        <v>18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20</v>
      </c>
      <c r="C22" s="105">
        <v>20</v>
      </c>
      <c r="D22" s="105" t="s">
        <v>262</v>
      </c>
      <c r="E22" s="105">
        <v>20</v>
      </c>
      <c r="F22" s="105">
        <v>20</v>
      </c>
      <c r="G22" s="105">
        <v>20</v>
      </c>
      <c r="H22" s="105">
        <v>20</v>
      </c>
      <c r="I22" s="105">
        <v>20</v>
      </c>
      <c r="J22" s="105">
        <v>20</v>
      </c>
      <c r="K22" s="105">
        <v>20</v>
      </c>
      <c r="L22" s="105">
        <v>20</v>
      </c>
      <c r="M22" s="105">
        <v>20</v>
      </c>
      <c r="N22" s="105">
        <v>20</v>
      </c>
      <c r="O22" s="105">
        <v>20</v>
      </c>
      <c r="P22" s="105">
        <v>20</v>
      </c>
      <c r="Q22" s="105">
        <v>20</v>
      </c>
      <c r="R22" s="105">
        <v>20</v>
      </c>
      <c r="S22" s="105">
        <v>20</v>
      </c>
      <c r="T22" s="105">
        <v>20</v>
      </c>
      <c r="U22" s="105">
        <v>20</v>
      </c>
      <c r="V22" s="105">
        <v>20</v>
      </c>
      <c r="W22" s="105">
        <v>20</v>
      </c>
      <c r="X22" s="105">
        <v>20</v>
      </c>
      <c r="Y22" s="105">
        <v>20</v>
      </c>
      <c r="Z22" s="105">
        <v>20</v>
      </c>
      <c r="AA22" s="105">
        <v>20</v>
      </c>
      <c r="AB22" s="105">
        <v>20</v>
      </c>
      <c r="AC22" s="105">
        <v>20</v>
      </c>
      <c r="AD22" s="105">
        <v>20</v>
      </c>
      <c r="AE22" s="105">
        <v>20</v>
      </c>
      <c r="AF22" s="105">
        <v>20</v>
      </c>
      <c r="AG22" s="126">
        <v>22.2</v>
      </c>
      <c r="AH22" s="20">
        <f t="shared" si="2"/>
        <v>20</v>
      </c>
      <c r="AI22" s="19">
        <f t="shared" si="3"/>
        <v>20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15</v>
      </c>
      <c r="C23" s="105">
        <v>15</v>
      </c>
      <c r="D23" s="105" t="s">
        <v>263</v>
      </c>
      <c r="E23" s="105">
        <v>15</v>
      </c>
      <c r="F23" s="105">
        <v>15</v>
      </c>
      <c r="G23" s="105">
        <v>15</v>
      </c>
      <c r="H23" s="105">
        <v>15</v>
      </c>
      <c r="I23" s="105">
        <v>15</v>
      </c>
      <c r="J23" s="105">
        <v>15</v>
      </c>
      <c r="K23" s="105">
        <v>15</v>
      </c>
      <c r="L23" s="105">
        <v>15</v>
      </c>
      <c r="M23" s="105">
        <v>22</v>
      </c>
      <c r="N23" s="105">
        <v>22</v>
      </c>
      <c r="O23" s="105">
        <v>22</v>
      </c>
      <c r="P23" s="105">
        <v>22</v>
      </c>
      <c r="Q23" s="105">
        <v>22</v>
      </c>
      <c r="R23" s="105">
        <v>8</v>
      </c>
      <c r="S23" s="105">
        <v>8</v>
      </c>
      <c r="T23" s="105">
        <v>8</v>
      </c>
      <c r="U23" s="105">
        <v>8</v>
      </c>
      <c r="V23" s="105">
        <v>8</v>
      </c>
      <c r="W23" s="105">
        <v>8</v>
      </c>
      <c r="X23" s="105">
        <v>8</v>
      </c>
      <c r="Y23" s="105">
        <v>8</v>
      </c>
      <c r="Z23" s="105">
        <v>8</v>
      </c>
      <c r="AA23" s="105">
        <v>8</v>
      </c>
      <c r="AB23" s="105">
        <v>22</v>
      </c>
      <c r="AC23" s="105">
        <v>22</v>
      </c>
      <c r="AD23" s="105">
        <v>22</v>
      </c>
      <c r="AE23" s="105">
        <v>22</v>
      </c>
      <c r="AF23" s="105">
        <v>22</v>
      </c>
      <c r="AG23" s="126">
        <v>22.1</v>
      </c>
      <c r="AH23" s="20">
        <f t="shared" si="2"/>
        <v>22</v>
      </c>
      <c r="AI23" s="19">
        <f t="shared" si="3"/>
        <v>8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15</v>
      </c>
      <c r="C24" s="105">
        <v>15</v>
      </c>
      <c r="D24" s="105" t="s">
        <v>264</v>
      </c>
      <c r="E24" s="105">
        <v>15</v>
      </c>
      <c r="F24" s="105">
        <v>15</v>
      </c>
      <c r="G24" s="105">
        <v>15</v>
      </c>
      <c r="H24" s="105">
        <v>15</v>
      </c>
      <c r="I24" s="105">
        <v>15</v>
      </c>
      <c r="J24" s="105">
        <v>15</v>
      </c>
      <c r="K24" s="105">
        <v>15</v>
      </c>
      <c r="L24" s="105">
        <v>15</v>
      </c>
      <c r="M24" s="105">
        <v>15</v>
      </c>
      <c r="N24" s="105">
        <v>15</v>
      </c>
      <c r="O24" s="105">
        <v>15</v>
      </c>
      <c r="P24" s="105">
        <v>15</v>
      </c>
      <c r="Q24" s="105">
        <v>15</v>
      </c>
      <c r="R24" s="105">
        <v>15</v>
      </c>
      <c r="S24" s="105">
        <v>15</v>
      </c>
      <c r="T24" s="105">
        <v>15</v>
      </c>
      <c r="U24" s="105">
        <v>15</v>
      </c>
      <c r="V24" s="105">
        <v>15</v>
      </c>
      <c r="W24" s="105">
        <v>15</v>
      </c>
      <c r="X24" s="105">
        <v>15</v>
      </c>
      <c r="Y24" s="105">
        <v>15</v>
      </c>
      <c r="Z24" s="105">
        <v>15</v>
      </c>
      <c r="AA24" s="105">
        <v>15</v>
      </c>
      <c r="AB24" s="105">
        <v>17</v>
      </c>
      <c r="AC24" s="105">
        <v>17</v>
      </c>
      <c r="AD24" s="105">
        <v>17</v>
      </c>
      <c r="AE24" s="105">
        <v>17</v>
      </c>
      <c r="AF24" s="105">
        <v>17</v>
      </c>
      <c r="AG24" s="126">
        <v>22</v>
      </c>
      <c r="AH24" s="20">
        <f t="shared" si="2"/>
        <v>17</v>
      </c>
      <c r="AI24" s="19">
        <f t="shared" si="3"/>
        <v>15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18</v>
      </c>
      <c r="C25" s="105">
        <v>18</v>
      </c>
      <c r="D25" s="105"/>
      <c r="E25" s="105">
        <v>20</v>
      </c>
      <c r="F25" s="105">
        <v>20</v>
      </c>
      <c r="G25" s="105">
        <v>20</v>
      </c>
      <c r="H25" s="105">
        <v>20</v>
      </c>
      <c r="I25" s="105">
        <v>20</v>
      </c>
      <c r="J25" s="105">
        <v>20</v>
      </c>
      <c r="K25" s="105">
        <v>20</v>
      </c>
      <c r="L25" s="105">
        <v>20</v>
      </c>
      <c r="M25" s="105">
        <v>20</v>
      </c>
      <c r="N25" s="105">
        <v>0</v>
      </c>
      <c r="O25" s="105">
        <v>0</v>
      </c>
      <c r="P25" s="105">
        <v>0</v>
      </c>
      <c r="Q25" s="105">
        <v>0</v>
      </c>
      <c r="R25" s="105">
        <v>0</v>
      </c>
      <c r="S25" s="105">
        <v>18</v>
      </c>
      <c r="T25" s="105">
        <v>18</v>
      </c>
      <c r="U25" s="105">
        <v>16</v>
      </c>
      <c r="V25" s="105">
        <v>16</v>
      </c>
      <c r="W25" s="105">
        <v>16</v>
      </c>
      <c r="X25" s="105">
        <v>16</v>
      </c>
      <c r="Y25" s="105">
        <v>16</v>
      </c>
      <c r="Z25" s="105">
        <v>16</v>
      </c>
      <c r="AA25" s="105">
        <v>16</v>
      </c>
      <c r="AB25" s="105">
        <v>22</v>
      </c>
      <c r="AC25" s="105">
        <v>22</v>
      </c>
      <c r="AD25" s="105">
        <v>22</v>
      </c>
      <c r="AE25" s="105">
        <v>22</v>
      </c>
      <c r="AF25" s="105">
        <v>18</v>
      </c>
      <c r="AG25" s="126">
        <v>22</v>
      </c>
      <c r="AH25" s="20">
        <f t="shared" si="2"/>
        <v>22</v>
      </c>
      <c r="AI25" s="19">
        <f t="shared" si="3"/>
        <v>0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/>
      <c r="E26" s="105">
        <v>10</v>
      </c>
      <c r="F26" s="105">
        <v>7</v>
      </c>
      <c r="G26" s="105">
        <v>7</v>
      </c>
      <c r="H26" s="105">
        <v>7</v>
      </c>
      <c r="I26" s="105">
        <v>7</v>
      </c>
      <c r="J26" s="105">
        <v>7</v>
      </c>
      <c r="K26" s="105">
        <v>7</v>
      </c>
      <c r="L26" s="105">
        <v>7</v>
      </c>
      <c r="M26" s="105">
        <v>7</v>
      </c>
      <c r="N26" s="105">
        <v>7</v>
      </c>
      <c r="O26" s="105">
        <v>0</v>
      </c>
      <c r="P26" s="105">
        <v>0</v>
      </c>
      <c r="Q26" s="105">
        <v>0</v>
      </c>
      <c r="R26" s="105">
        <v>0</v>
      </c>
      <c r="S26" s="105">
        <v>0</v>
      </c>
      <c r="T26" s="105">
        <v>0</v>
      </c>
      <c r="U26" s="105">
        <v>0</v>
      </c>
      <c r="V26" s="105">
        <v>0</v>
      </c>
      <c r="W26" s="105">
        <v>0</v>
      </c>
      <c r="X26" s="105">
        <v>0</v>
      </c>
      <c r="Y26" s="105">
        <v>0</v>
      </c>
      <c r="Z26" s="105">
        <v>0</v>
      </c>
      <c r="AA26" s="105">
        <v>0</v>
      </c>
      <c r="AB26" s="105">
        <v>10</v>
      </c>
      <c r="AC26" s="105">
        <v>10</v>
      </c>
      <c r="AD26" s="105">
        <v>0</v>
      </c>
      <c r="AE26" s="105">
        <v>0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14.9</v>
      </c>
      <c r="C27" s="105">
        <v>14.9</v>
      </c>
      <c r="D27" s="105"/>
      <c r="E27" s="105">
        <v>14.9</v>
      </c>
      <c r="F27" s="105">
        <v>14.9</v>
      </c>
      <c r="G27" s="105">
        <v>14.9</v>
      </c>
      <c r="H27" s="105">
        <v>14.9</v>
      </c>
      <c r="I27" s="105">
        <v>14.9</v>
      </c>
      <c r="J27" s="105">
        <v>14.9</v>
      </c>
      <c r="K27" s="105">
        <v>14.9</v>
      </c>
      <c r="L27" s="105">
        <v>14.9</v>
      </c>
      <c r="M27" s="105">
        <v>14.9</v>
      </c>
      <c r="N27" s="105">
        <v>14.9</v>
      </c>
      <c r="O27" s="105">
        <v>14.9</v>
      </c>
      <c r="P27" s="105">
        <v>14.9</v>
      </c>
      <c r="Q27" s="105">
        <v>14.9</v>
      </c>
      <c r="R27" s="105">
        <v>5</v>
      </c>
      <c r="S27" s="105">
        <v>5</v>
      </c>
      <c r="T27" s="105">
        <v>5</v>
      </c>
      <c r="U27" s="105">
        <v>5</v>
      </c>
      <c r="V27" s="105">
        <v>5</v>
      </c>
      <c r="W27" s="105">
        <v>5</v>
      </c>
      <c r="X27" s="105">
        <v>5</v>
      </c>
      <c r="Y27" s="105">
        <v>5</v>
      </c>
      <c r="Z27" s="105">
        <v>5</v>
      </c>
      <c r="AA27" s="105">
        <v>5</v>
      </c>
      <c r="AB27" s="105">
        <v>5</v>
      </c>
      <c r="AC27" s="105">
        <v>5</v>
      </c>
      <c r="AD27" s="105">
        <v>5</v>
      </c>
      <c r="AE27" s="105">
        <v>5</v>
      </c>
      <c r="AF27" s="105">
        <v>5</v>
      </c>
      <c r="AG27" s="126">
        <v>14.9</v>
      </c>
      <c r="AH27" s="20">
        <f t="shared" si="2"/>
        <v>14.9</v>
      </c>
      <c r="AI27" s="19">
        <f t="shared" si="3"/>
        <v>5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/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>
        <v>6.8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>
        <v>6.8</v>
      </c>
      <c r="AE28" s="105">
        <v>6.8</v>
      </c>
      <c r="AF28" s="105">
        <v>6.8</v>
      </c>
      <c r="AG28" s="126">
        <v>13.6</v>
      </c>
      <c r="AH28" s="20">
        <f t="shared" si="2"/>
        <v>6.8</v>
      </c>
      <c r="AI28" s="19">
        <f t="shared" si="3"/>
        <v>6.8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10</v>
      </c>
      <c r="C29" s="105">
        <v>10</v>
      </c>
      <c r="D29" s="105"/>
      <c r="E29" s="105">
        <v>10</v>
      </c>
      <c r="F29" s="105">
        <v>10</v>
      </c>
      <c r="G29" s="105">
        <v>10</v>
      </c>
      <c r="H29" s="105">
        <v>10</v>
      </c>
      <c r="I29" s="105">
        <v>10</v>
      </c>
      <c r="J29" s="105">
        <v>10</v>
      </c>
      <c r="K29" s="105">
        <v>10</v>
      </c>
      <c r="L29" s="105">
        <v>10</v>
      </c>
      <c r="M29" s="105">
        <v>10</v>
      </c>
      <c r="N29" s="105">
        <v>10</v>
      </c>
      <c r="O29" s="105">
        <v>10</v>
      </c>
      <c r="P29" s="105">
        <v>10</v>
      </c>
      <c r="Q29" s="105">
        <v>10</v>
      </c>
      <c r="R29" s="105">
        <v>10</v>
      </c>
      <c r="S29" s="105">
        <v>10</v>
      </c>
      <c r="T29" s="105">
        <v>10</v>
      </c>
      <c r="U29" s="105">
        <v>10</v>
      </c>
      <c r="V29" s="105">
        <v>10</v>
      </c>
      <c r="W29" s="105">
        <v>10</v>
      </c>
      <c r="X29" s="105">
        <v>10</v>
      </c>
      <c r="Y29" s="105">
        <v>10</v>
      </c>
      <c r="Z29" s="105">
        <v>10</v>
      </c>
      <c r="AA29" s="105">
        <v>10</v>
      </c>
      <c r="AB29" s="105">
        <v>10</v>
      </c>
      <c r="AC29" s="105">
        <v>10</v>
      </c>
      <c r="AD29" s="105">
        <v>10</v>
      </c>
      <c r="AE29" s="105">
        <v>10</v>
      </c>
      <c r="AF29" s="105">
        <v>10</v>
      </c>
      <c r="AG29" s="126">
        <v>13</v>
      </c>
      <c r="AH29" s="20">
        <f t="shared" si="2"/>
        <v>10</v>
      </c>
      <c r="AI29" s="19">
        <f t="shared" si="3"/>
        <v>10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/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0</v>
      </c>
      <c r="N30" s="105">
        <v>0</v>
      </c>
      <c r="O30" s="105">
        <v>0</v>
      </c>
      <c r="P30" s="105">
        <v>0</v>
      </c>
      <c r="Q30" s="105">
        <v>0</v>
      </c>
      <c r="R30" s="105">
        <v>0</v>
      </c>
      <c r="S30" s="105">
        <v>0</v>
      </c>
      <c r="T30" s="105">
        <v>0</v>
      </c>
      <c r="U30" s="105">
        <v>0</v>
      </c>
      <c r="V30" s="105">
        <v>0</v>
      </c>
      <c r="W30" s="105">
        <v>0</v>
      </c>
      <c r="X30" s="105">
        <v>0</v>
      </c>
      <c r="Y30" s="105">
        <v>0</v>
      </c>
      <c r="Z30" s="105">
        <v>0</v>
      </c>
      <c r="AA30" s="105">
        <v>0</v>
      </c>
      <c r="AB30" s="105">
        <v>4</v>
      </c>
      <c r="AC30" s="105">
        <v>4</v>
      </c>
      <c r="AD30" s="105">
        <v>0</v>
      </c>
      <c r="AE30" s="105">
        <v>0</v>
      </c>
      <c r="AF30" s="105">
        <v>0</v>
      </c>
      <c r="AG30" s="126">
        <v>12</v>
      </c>
      <c r="AH30" s="20">
        <f t="shared" si="2"/>
        <v>4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0</v>
      </c>
      <c r="C31" s="105">
        <v>0</v>
      </c>
      <c r="D31" s="105"/>
      <c r="E31" s="105">
        <v>0</v>
      </c>
      <c r="F31" s="105">
        <v>0</v>
      </c>
      <c r="G31" s="105">
        <v>0</v>
      </c>
      <c r="H31" s="105">
        <v>0</v>
      </c>
      <c r="I31" s="105">
        <v>0</v>
      </c>
      <c r="J31" s="105">
        <v>0</v>
      </c>
      <c r="K31" s="105">
        <v>0</v>
      </c>
      <c r="L31" s="105">
        <v>0</v>
      </c>
      <c r="M31" s="105">
        <v>0</v>
      </c>
      <c r="N31" s="105">
        <v>0</v>
      </c>
      <c r="O31" s="105">
        <v>0</v>
      </c>
      <c r="P31" s="105">
        <v>0</v>
      </c>
      <c r="Q31" s="105">
        <v>0</v>
      </c>
      <c r="R31" s="105">
        <v>0</v>
      </c>
      <c r="S31" s="105">
        <v>0</v>
      </c>
      <c r="T31" s="105">
        <v>0</v>
      </c>
      <c r="U31" s="105">
        <v>0</v>
      </c>
      <c r="V31" s="105">
        <v>0</v>
      </c>
      <c r="W31" s="105">
        <v>0</v>
      </c>
      <c r="X31" s="105">
        <v>0</v>
      </c>
      <c r="Y31" s="105">
        <v>0</v>
      </c>
      <c r="Z31" s="105">
        <v>0</v>
      </c>
      <c r="AA31" s="105">
        <v>0</v>
      </c>
      <c r="AB31" s="105">
        <v>0</v>
      </c>
      <c r="AC31" s="105">
        <v>0</v>
      </c>
      <c r="AD31" s="105">
        <v>0</v>
      </c>
      <c r="AE31" s="105">
        <v>0</v>
      </c>
      <c r="AF31" s="105">
        <v>0</v>
      </c>
      <c r="AG31" s="126">
        <v>12</v>
      </c>
      <c r="AH31" s="20">
        <f t="shared" si="2"/>
        <v>0</v>
      </c>
      <c r="AI31" s="19">
        <f t="shared" si="3"/>
        <v>0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2</v>
      </c>
      <c r="C32" s="105">
        <v>2</v>
      </c>
      <c r="D32" s="105"/>
      <c r="E32" s="105">
        <v>2</v>
      </c>
      <c r="F32" s="105">
        <v>2</v>
      </c>
      <c r="G32" s="105">
        <v>2</v>
      </c>
      <c r="H32" s="105">
        <v>2</v>
      </c>
      <c r="I32" s="105">
        <v>2</v>
      </c>
      <c r="J32" s="105">
        <v>2</v>
      </c>
      <c r="K32" s="105">
        <v>2</v>
      </c>
      <c r="L32" s="105">
        <v>2</v>
      </c>
      <c r="M32" s="105">
        <v>2</v>
      </c>
      <c r="N32" s="105">
        <v>2</v>
      </c>
      <c r="O32" s="105">
        <v>2</v>
      </c>
      <c r="P32" s="105">
        <v>2</v>
      </c>
      <c r="Q32" s="105">
        <v>2</v>
      </c>
      <c r="R32" s="105">
        <v>2</v>
      </c>
      <c r="S32" s="105">
        <v>2</v>
      </c>
      <c r="T32" s="105">
        <v>2</v>
      </c>
      <c r="U32" s="105">
        <v>2</v>
      </c>
      <c r="V32" s="105">
        <v>2</v>
      </c>
      <c r="W32" s="105">
        <v>2</v>
      </c>
      <c r="X32" s="105">
        <v>2</v>
      </c>
      <c r="Y32" s="105">
        <v>2</v>
      </c>
      <c r="Z32" s="105">
        <v>2</v>
      </c>
      <c r="AA32" s="105">
        <v>2</v>
      </c>
      <c r="AB32" s="105">
        <v>2</v>
      </c>
      <c r="AC32" s="105">
        <v>2</v>
      </c>
      <c r="AD32" s="105">
        <v>2</v>
      </c>
      <c r="AE32" s="105">
        <v>2</v>
      </c>
      <c r="AF32" s="105">
        <v>2</v>
      </c>
      <c r="AG32" s="126">
        <v>12</v>
      </c>
      <c r="AH32" s="20">
        <f t="shared" si="2"/>
        <v>2</v>
      </c>
      <c r="AI32" s="19">
        <f t="shared" si="3"/>
        <v>2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0</v>
      </c>
      <c r="C33" s="105">
        <v>0</v>
      </c>
      <c r="D33" s="105"/>
      <c r="E33" s="105">
        <v>0</v>
      </c>
      <c r="F33" s="105">
        <v>0</v>
      </c>
      <c r="G33" s="105">
        <v>0</v>
      </c>
      <c r="H33" s="105">
        <v>0</v>
      </c>
      <c r="I33" s="105">
        <v>0</v>
      </c>
      <c r="J33" s="105">
        <v>0</v>
      </c>
      <c r="K33" s="105">
        <v>0</v>
      </c>
      <c r="L33" s="105">
        <v>0</v>
      </c>
      <c r="M33" s="105">
        <v>0</v>
      </c>
      <c r="N33" s="105">
        <v>0</v>
      </c>
      <c r="O33" s="105">
        <v>0</v>
      </c>
      <c r="P33" s="105">
        <v>0</v>
      </c>
      <c r="Q33" s="105">
        <v>0</v>
      </c>
      <c r="R33" s="105">
        <v>0</v>
      </c>
      <c r="S33" s="105">
        <v>0</v>
      </c>
      <c r="T33" s="105">
        <v>0</v>
      </c>
      <c r="U33" s="105">
        <v>0</v>
      </c>
      <c r="V33" s="105">
        <v>0</v>
      </c>
      <c r="W33" s="105">
        <v>0</v>
      </c>
      <c r="X33" s="105">
        <v>0</v>
      </c>
      <c r="Y33" s="105">
        <v>0</v>
      </c>
      <c r="Z33" s="105">
        <v>0</v>
      </c>
      <c r="AA33" s="105">
        <v>0</v>
      </c>
      <c r="AB33" s="105">
        <v>8</v>
      </c>
      <c r="AC33" s="105">
        <v>8</v>
      </c>
      <c r="AD33" s="105">
        <v>8</v>
      </c>
      <c r="AE33" s="105">
        <v>8</v>
      </c>
      <c r="AF33" s="105">
        <v>8</v>
      </c>
      <c r="AG33" s="125">
        <v>22</v>
      </c>
      <c r="AH33" s="20">
        <f t="shared" si="2"/>
        <v>8</v>
      </c>
      <c r="AI33" s="19">
        <f t="shared" si="3"/>
        <v>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11</v>
      </c>
      <c r="C34" s="105">
        <v>11</v>
      </c>
      <c r="D34" s="105"/>
      <c r="E34" s="105">
        <v>11</v>
      </c>
      <c r="F34" s="105">
        <v>11</v>
      </c>
      <c r="G34" s="105">
        <v>11</v>
      </c>
      <c r="H34" s="105">
        <v>11</v>
      </c>
      <c r="I34" s="105">
        <v>11</v>
      </c>
      <c r="J34" s="105">
        <v>11</v>
      </c>
      <c r="K34" s="105">
        <v>11</v>
      </c>
      <c r="L34" s="105">
        <v>11</v>
      </c>
      <c r="M34" s="105">
        <v>11</v>
      </c>
      <c r="N34" s="105">
        <v>11</v>
      </c>
      <c r="O34" s="105">
        <v>11</v>
      </c>
      <c r="P34" s="105">
        <v>11</v>
      </c>
      <c r="Q34" s="105">
        <v>11</v>
      </c>
      <c r="R34" s="105">
        <v>11</v>
      </c>
      <c r="S34" s="105">
        <v>11</v>
      </c>
      <c r="T34" s="105">
        <v>11</v>
      </c>
      <c r="U34" s="105">
        <v>11</v>
      </c>
      <c r="V34" s="105">
        <v>11</v>
      </c>
      <c r="W34" s="105">
        <v>11</v>
      </c>
      <c r="X34" s="105">
        <v>11</v>
      </c>
      <c r="Y34" s="105">
        <v>11</v>
      </c>
      <c r="Z34" s="105">
        <v>11</v>
      </c>
      <c r="AA34" s="105">
        <v>11</v>
      </c>
      <c r="AB34" s="105">
        <v>11</v>
      </c>
      <c r="AC34" s="105">
        <v>11</v>
      </c>
      <c r="AD34" s="105">
        <v>11</v>
      </c>
      <c r="AE34" s="105">
        <v>11</v>
      </c>
      <c r="AF34" s="105">
        <v>11</v>
      </c>
      <c r="AG34" s="96">
        <v>11.88</v>
      </c>
      <c r="AH34" s="20">
        <f t="shared" si="2"/>
        <v>11</v>
      </c>
      <c r="AI34" s="19">
        <f t="shared" si="3"/>
        <v>11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/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>
        <v>11</v>
      </c>
      <c r="AG35" s="94">
        <v>11</v>
      </c>
      <c r="AH35" s="20">
        <f t="shared" si="2"/>
        <v>11</v>
      </c>
      <c r="AI35" s="19">
        <f t="shared" si="3"/>
        <v>11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/>
      <c r="E36" s="105">
        <v>9</v>
      </c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>
        <v>9</v>
      </c>
      <c r="N36" s="105">
        <v>9</v>
      </c>
      <c r="O36" s="105">
        <v>9</v>
      </c>
      <c r="P36" s="105">
        <v>9</v>
      </c>
      <c r="Q36" s="105">
        <v>9</v>
      </c>
      <c r="R36" s="105">
        <v>9</v>
      </c>
      <c r="S36" s="105">
        <v>9</v>
      </c>
      <c r="T36" s="105">
        <v>9</v>
      </c>
      <c r="U36" s="105">
        <v>9</v>
      </c>
      <c r="V36" s="105">
        <v>9</v>
      </c>
      <c r="W36" s="105">
        <v>9</v>
      </c>
      <c r="X36" s="105">
        <v>9</v>
      </c>
      <c r="Y36" s="105">
        <v>9</v>
      </c>
      <c r="Z36" s="105">
        <v>9</v>
      </c>
      <c r="AA36" s="105">
        <v>9</v>
      </c>
      <c r="AB36" s="105">
        <v>9</v>
      </c>
      <c r="AC36" s="105">
        <v>9</v>
      </c>
      <c r="AD36" s="105">
        <v>9</v>
      </c>
      <c r="AE36" s="105">
        <v>9</v>
      </c>
      <c r="AF36" s="105">
        <v>9</v>
      </c>
      <c r="AG36" s="94">
        <v>10</v>
      </c>
      <c r="AH36" s="20">
        <f t="shared" si="2"/>
        <v>9</v>
      </c>
      <c r="AI36" s="19">
        <f t="shared" si="3"/>
        <v>9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/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2</v>
      </c>
      <c r="N37" s="105">
        <v>2</v>
      </c>
      <c r="O37" s="105">
        <v>2</v>
      </c>
      <c r="P37" s="105">
        <v>2</v>
      </c>
      <c r="Q37" s="105">
        <v>2</v>
      </c>
      <c r="R37" s="105">
        <v>2</v>
      </c>
      <c r="S37" s="105">
        <v>2</v>
      </c>
      <c r="T37" s="105">
        <v>2</v>
      </c>
      <c r="U37" s="105">
        <v>2</v>
      </c>
      <c r="V37" s="105">
        <v>0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2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280</v>
      </c>
      <c r="C38" s="113">
        <v>280</v>
      </c>
      <c r="D38" s="113">
        <v>280</v>
      </c>
      <c r="E38" s="113">
        <v>280</v>
      </c>
      <c r="F38" s="113">
        <v>280</v>
      </c>
      <c r="G38" s="113">
        <v>280</v>
      </c>
      <c r="H38" s="113">
        <v>280</v>
      </c>
      <c r="I38" s="113">
        <v>280</v>
      </c>
      <c r="J38" s="113">
        <v>280</v>
      </c>
      <c r="K38" s="113">
        <v>280</v>
      </c>
      <c r="L38" s="113">
        <v>280</v>
      </c>
      <c r="M38" s="113">
        <v>280</v>
      </c>
      <c r="N38" s="113">
        <v>280</v>
      </c>
      <c r="O38" s="113">
        <v>280</v>
      </c>
      <c r="P38" s="113">
        <v>280</v>
      </c>
      <c r="Q38" s="113">
        <v>280</v>
      </c>
      <c r="R38" s="113">
        <v>280</v>
      </c>
      <c r="S38" s="113">
        <v>280</v>
      </c>
      <c r="T38" s="113">
        <v>280</v>
      </c>
      <c r="U38" s="113">
        <v>280</v>
      </c>
      <c r="V38" s="113">
        <v>280</v>
      </c>
      <c r="W38" s="113">
        <v>280</v>
      </c>
      <c r="X38" s="113">
        <v>280</v>
      </c>
      <c r="Y38" s="113">
        <v>280</v>
      </c>
      <c r="Z38" s="113">
        <v>280</v>
      </c>
      <c r="AA38" s="113">
        <v>280</v>
      </c>
      <c r="AB38" s="113">
        <v>280</v>
      </c>
      <c r="AC38" s="113">
        <v>280</v>
      </c>
      <c r="AD38" s="113">
        <v>280</v>
      </c>
      <c r="AE38" s="113">
        <v>280</v>
      </c>
      <c r="AF38" s="113">
        <v>280</v>
      </c>
      <c r="AG38" s="94">
        <v>85</v>
      </c>
      <c r="AH38" s="20">
        <f t="shared" si="2"/>
        <v>280</v>
      </c>
      <c r="AI38" s="19">
        <f t="shared" si="3"/>
        <v>280</v>
      </c>
      <c r="AK38" s="41"/>
    </row>
    <row r="39" spans="1:88" ht="15.75" thickBot="1" x14ac:dyDescent="0.3">
      <c r="A39" s="120" t="s">
        <v>196</v>
      </c>
      <c r="B39" s="119">
        <v>153.69999999999999</v>
      </c>
      <c r="C39" s="119">
        <v>156</v>
      </c>
      <c r="D39" s="119"/>
      <c r="E39" s="119">
        <f>69.6+68.3</f>
        <v>137.89999999999998</v>
      </c>
      <c r="F39" s="119">
        <f>64.1+75.2</f>
        <v>139.30000000000001</v>
      </c>
      <c r="G39" s="119">
        <f>63.7+75.6</f>
        <v>139.30000000000001</v>
      </c>
      <c r="H39" s="119">
        <f>66.9+76</f>
        <v>142.9</v>
      </c>
      <c r="I39" s="119">
        <f>67+75</f>
        <v>142</v>
      </c>
      <c r="J39" s="119">
        <f>68.5+76.5</f>
        <v>145</v>
      </c>
      <c r="K39" s="119">
        <f>68.8+76</f>
        <v>144.80000000000001</v>
      </c>
      <c r="L39" s="113">
        <f>70.4+75.6</f>
        <v>146</v>
      </c>
      <c r="M39" s="113">
        <v>160</v>
      </c>
      <c r="N39" s="113">
        <v>160</v>
      </c>
      <c r="O39" s="113">
        <v>161</v>
      </c>
      <c r="P39" s="113">
        <f>86.8+76.2</f>
        <v>163</v>
      </c>
      <c r="Q39" s="113">
        <f>83.5+76.3</f>
        <v>159.80000000000001</v>
      </c>
      <c r="R39" s="113">
        <f>81.7+40</f>
        <v>121.7</v>
      </c>
      <c r="S39" s="119">
        <f>61.3+83.4</f>
        <v>144.69999999999999</v>
      </c>
      <c r="T39" s="119">
        <f>67.5+83.4</f>
        <v>150.9</v>
      </c>
      <c r="U39" s="119">
        <f>67.5+83.4</f>
        <v>150.9</v>
      </c>
      <c r="V39" s="119">
        <f>83.8+71.5</f>
        <v>155.30000000000001</v>
      </c>
      <c r="W39" s="119">
        <f>71.2+82.3</f>
        <v>153.5</v>
      </c>
      <c r="X39" s="119">
        <f>71.2+82.3</f>
        <v>153.5</v>
      </c>
      <c r="Y39" s="119">
        <f>71.2+82.3</f>
        <v>153.5</v>
      </c>
      <c r="Z39" s="119">
        <f>71.2+82.3</f>
        <v>153.5</v>
      </c>
      <c r="AA39" s="119">
        <f>71.2+82.3</f>
        <v>153.5</v>
      </c>
      <c r="AB39" s="119">
        <f>83.1+72.3</f>
        <v>155.39999999999998</v>
      </c>
      <c r="AC39" s="119">
        <f>72.2+83.6</f>
        <v>155.80000000000001</v>
      </c>
      <c r="AD39" s="119">
        <f>72.5+83.8</f>
        <v>156.30000000000001</v>
      </c>
      <c r="AE39" s="119">
        <f>72.5+84.8</f>
        <v>157.30000000000001</v>
      </c>
      <c r="AF39" s="119">
        <f>73.1+85.4</f>
        <v>158.5</v>
      </c>
      <c r="AG39" s="94">
        <v>240</v>
      </c>
      <c r="AH39" s="20">
        <f t="shared" si="2"/>
        <v>163</v>
      </c>
      <c r="AI39" s="19">
        <f t="shared" si="3"/>
        <v>121.7</v>
      </c>
      <c r="AK39" s="41"/>
    </row>
    <row r="40" spans="1:88" ht="15.75" thickBot="1" x14ac:dyDescent="0.3">
      <c r="A40" s="118" t="s">
        <v>195</v>
      </c>
      <c r="B40" s="86">
        <f t="shared" ref="B40:AG40" si="4">SUM(B11:B38)</f>
        <v>695.09999999999991</v>
      </c>
      <c r="C40" s="86">
        <f t="shared" si="4"/>
        <v>687</v>
      </c>
      <c r="D40" s="86">
        <f t="shared" si="4"/>
        <v>280</v>
      </c>
      <c r="E40" s="86">
        <f t="shared" si="4"/>
        <v>683.3</v>
      </c>
      <c r="F40" s="86">
        <f t="shared" si="4"/>
        <v>680.4</v>
      </c>
      <c r="G40" s="86">
        <f t="shared" si="4"/>
        <v>688.3</v>
      </c>
      <c r="H40" s="86">
        <f t="shared" si="4"/>
        <v>688.3</v>
      </c>
      <c r="I40" s="86">
        <f t="shared" si="4"/>
        <v>688.7</v>
      </c>
      <c r="J40" s="86">
        <f t="shared" si="4"/>
        <v>683.7</v>
      </c>
      <c r="K40" s="86">
        <f t="shared" si="4"/>
        <v>687.7</v>
      </c>
      <c r="L40" s="86">
        <f t="shared" si="4"/>
        <v>687.59999999999991</v>
      </c>
      <c r="M40" s="86">
        <f t="shared" si="4"/>
        <v>696.59999999999991</v>
      </c>
      <c r="N40" s="86">
        <f t="shared" si="4"/>
        <v>676.59999999999991</v>
      </c>
      <c r="O40" s="86">
        <f t="shared" si="4"/>
        <v>669.59999999999991</v>
      </c>
      <c r="P40" s="86">
        <f t="shared" si="4"/>
        <v>669.59999999999991</v>
      </c>
      <c r="Q40" s="86">
        <f t="shared" si="4"/>
        <v>656.5</v>
      </c>
      <c r="R40" s="86">
        <f t="shared" si="4"/>
        <v>628.59999999999991</v>
      </c>
      <c r="S40" s="86">
        <f t="shared" si="4"/>
        <v>596.6</v>
      </c>
      <c r="T40" s="86">
        <f t="shared" si="4"/>
        <v>646.59999999999991</v>
      </c>
      <c r="U40" s="86">
        <f t="shared" si="4"/>
        <v>644.59999999999991</v>
      </c>
      <c r="V40" s="86">
        <f t="shared" si="4"/>
        <v>622.59999999999991</v>
      </c>
      <c r="W40" s="86">
        <f t="shared" si="4"/>
        <v>629.09999999999991</v>
      </c>
      <c r="X40" s="86">
        <f t="shared" si="4"/>
        <v>629.09999999999991</v>
      </c>
      <c r="Y40" s="86">
        <f t="shared" si="4"/>
        <v>629.09999999999991</v>
      </c>
      <c r="Z40" s="86">
        <f t="shared" si="4"/>
        <v>634.09999999999991</v>
      </c>
      <c r="AA40" s="86">
        <f t="shared" si="4"/>
        <v>634.09999999999991</v>
      </c>
      <c r="AB40" s="86">
        <f t="shared" si="4"/>
        <v>722.5</v>
      </c>
      <c r="AC40" s="86">
        <f t="shared" ref="AC40" si="5">SUM(AC11:AC38)</f>
        <v>737.90000000000009</v>
      </c>
      <c r="AD40" s="86">
        <f t="shared" si="4"/>
        <v>708.6</v>
      </c>
      <c r="AE40" s="86">
        <f t="shared" si="4"/>
        <v>698</v>
      </c>
      <c r="AF40" s="86">
        <f t="shared" si="4"/>
        <v>684.4</v>
      </c>
      <c r="AG40" s="101">
        <f t="shared" si="4"/>
        <v>707.78000000000009</v>
      </c>
      <c r="AH40" s="20">
        <f t="shared" si="2"/>
        <v>737.90000000000009</v>
      </c>
      <c r="AI40" s="19">
        <f t="shared" si="3"/>
        <v>280</v>
      </c>
      <c r="AK40" s="41"/>
    </row>
    <row r="41" spans="1:88" x14ac:dyDescent="0.25">
      <c r="A41" s="117" t="s">
        <v>194</v>
      </c>
      <c r="B41" s="105">
        <v>290</v>
      </c>
      <c r="C41" s="105">
        <v>290</v>
      </c>
      <c r="D41" s="105"/>
      <c r="E41" s="105">
        <v>300</v>
      </c>
      <c r="F41" s="105">
        <v>360</v>
      </c>
      <c r="G41" s="105">
        <v>350</v>
      </c>
      <c r="H41" s="105">
        <v>350</v>
      </c>
      <c r="I41" s="105">
        <v>330</v>
      </c>
      <c r="J41" s="105">
        <v>330</v>
      </c>
      <c r="K41" s="105">
        <v>330</v>
      </c>
      <c r="L41" s="105">
        <v>330</v>
      </c>
      <c r="M41" s="105">
        <v>350</v>
      </c>
      <c r="N41" s="105">
        <v>350</v>
      </c>
      <c r="O41" s="105">
        <v>350</v>
      </c>
      <c r="P41" s="105">
        <v>310</v>
      </c>
      <c r="Q41" s="105">
        <v>310</v>
      </c>
      <c r="R41" s="105">
        <v>310</v>
      </c>
      <c r="S41" s="105">
        <v>310</v>
      </c>
      <c r="T41" s="105">
        <v>310</v>
      </c>
      <c r="U41" s="105">
        <v>310</v>
      </c>
      <c r="V41" s="105">
        <v>310</v>
      </c>
      <c r="W41" s="105">
        <v>280</v>
      </c>
      <c r="X41" s="105">
        <v>377</v>
      </c>
      <c r="Y41" s="105">
        <v>401</v>
      </c>
      <c r="Z41" s="105">
        <v>371</v>
      </c>
      <c r="AA41" s="105">
        <v>371</v>
      </c>
      <c r="AB41" s="105">
        <v>380</v>
      </c>
      <c r="AC41" s="105">
        <v>360</v>
      </c>
      <c r="AD41" s="105">
        <v>370</v>
      </c>
      <c r="AE41" s="105">
        <v>330</v>
      </c>
      <c r="AF41" s="105">
        <v>310</v>
      </c>
      <c r="AG41" s="96">
        <v>456</v>
      </c>
      <c r="AH41" s="20">
        <f t="shared" si="2"/>
        <v>401</v>
      </c>
      <c r="AI41" s="19">
        <f t="shared" si="3"/>
        <v>280</v>
      </c>
      <c r="AK41" s="41"/>
    </row>
    <row r="42" spans="1:88" x14ac:dyDescent="0.25">
      <c r="A42" s="116" t="s">
        <v>193</v>
      </c>
      <c r="B42" s="80">
        <v>40</v>
      </c>
      <c r="C42" s="80">
        <v>40</v>
      </c>
      <c r="D42" s="80"/>
      <c r="E42" s="80">
        <v>30</v>
      </c>
      <c r="F42" s="80">
        <v>30</v>
      </c>
      <c r="G42" s="80">
        <v>55</v>
      </c>
      <c r="H42" s="80">
        <v>55</v>
      </c>
      <c r="I42" s="80">
        <v>50</v>
      </c>
      <c r="J42" s="80">
        <v>50</v>
      </c>
      <c r="K42" s="80">
        <v>50</v>
      </c>
      <c r="L42" s="80">
        <v>30</v>
      </c>
      <c r="M42" s="80">
        <v>30</v>
      </c>
      <c r="N42" s="80">
        <v>30</v>
      </c>
      <c r="O42" s="80">
        <v>30</v>
      </c>
      <c r="P42" s="80">
        <v>30</v>
      </c>
      <c r="Q42" s="80">
        <v>30</v>
      </c>
      <c r="R42" s="80">
        <v>30</v>
      </c>
      <c r="S42" s="80">
        <v>30</v>
      </c>
      <c r="T42" s="80">
        <v>30</v>
      </c>
      <c r="U42" s="80">
        <v>30</v>
      </c>
      <c r="V42" s="80">
        <v>30</v>
      </c>
      <c r="W42" s="80">
        <v>50</v>
      </c>
      <c r="X42" s="80">
        <v>50</v>
      </c>
      <c r="Y42" s="80">
        <v>51.3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30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/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>
        <v>15</v>
      </c>
      <c r="S43" s="107">
        <v>15</v>
      </c>
      <c r="T43" s="107">
        <v>15</v>
      </c>
      <c r="U43" s="107">
        <v>15</v>
      </c>
      <c r="V43" s="107">
        <v>15</v>
      </c>
      <c r="W43" s="107">
        <v>16.3</v>
      </c>
      <c r="X43" s="107">
        <v>22</v>
      </c>
      <c r="Y43" s="107">
        <v>22</v>
      </c>
      <c r="Z43" s="107">
        <v>23.3</v>
      </c>
      <c r="AA43" s="107">
        <v>23.3</v>
      </c>
      <c r="AB43" s="107">
        <v>20</v>
      </c>
      <c r="AC43" s="107">
        <v>20</v>
      </c>
      <c r="AD43" s="107">
        <v>20</v>
      </c>
      <c r="AE43" s="107">
        <v>20</v>
      </c>
      <c r="AF43" s="107">
        <v>20</v>
      </c>
      <c r="AG43" s="106">
        <v>22.1</v>
      </c>
      <c r="AH43" s="20">
        <f t="shared" si="2"/>
        <v>23.3</v>
      </c>
      <c r="AI43" s="19">
        <f t="shared" si="3"/>
        <v>15</v>
      </c>
      <c r="AK43" s="41"/>
    </row>
    <row r="44" spans="1:88" ht="15.75" thickBot="1" x14ac:dyDescent="0.3">
      <c r="A44" s="114" t="s">
        <v>191</v>
      </c>
      <c r="B44" s="86">
        <f t="shared" ref="B44:AG44" si="6">SUM(B41:B43)</f>
        <v>352</v>
      </c>
      <c r="C44" s="86">
        <f t="shared" si="6"/>
        <v>352</v>
      </c>
      <c r="D44" s="86">
        <f t="shared" si="6"/>
        <v>0</v>
      </c>
      <c r="E44" s="86">
        <f t="shared" si="6"/>
        <v>352</v>
      </c>
      <c r="F44" s="86">
        <f t="shared" si="6"/>
        <v>412</v>
      </c>
      <c r="G44" s="86">
        <f t="shared" si="6"/>
        <v>427</v>
      </c>
      <c r="H44" s="86">
        <f t="shared" si="6"/>
        <v>427</v>
      </c>
      <c r="I44" s="86">
        <f t="shared" si="6"/>
        <v>402</v>
      </c>
      <c r="J44" s="86">
        <f t="shared" si="6"/>
        <v>402</v>
      </c>
      <c r="K44" s="86">
        <f t="shared" si="6"/>
        <v>402</v>
      </c>
      <c r="L44" s="86">
        <f t="shared" si="6"/>
        <v>382</v>
      </c>
      <c r="M44" s="86">
        <f t="shared" si="6"/>
        <v>402</v>
      </c>
      <c r="N44" s="86">
        <f t="shared" si="6"/>
        <v>402</v>
      </c>
      <c r="O44" s="86">
        <f t="shared" si="6"/>
        <v>402</v>
      </c>
      <c r="P44" s="86">
        <f t="shared" si="6"/>
        <v>362</v>
      </c>
      <c r="Q44" s="86">
        <f t="shared" si="6"/>
        <v>362</v>
      </c>
      <c r="R44" s="86">
        <f t="shared" si="6"/>
        <v>355</v>
      </c>
      <c r="S44" s="86">
        <f t="shared" si="6"/>
        <v>355</v>
      </c>
      <c r="T44" s="86">
        <f t="shared" si="6"/>
        <v>355</v>
      </c>
      <c r="U44" s="86">
        <f t="shared" si="6"/>
        <v>355</v>
      </c>
      <c r="V44" s="86">
        <f t="shared" si="6"/>
        <v>355</v>
      </c>
      <c r="W44" s="86">
        <f t="shared" si="6"/>
        <v>346.3</v>
      </c>
      <c r="X44" s="86">
        <f t="shared" si="6"/>
        <v>449</v>
      </c>
      <c r="Y44" s="86">
        <f t="shared" si="6"/>
        <v>474.3</v>
      </c>
      <c r="Z44" s="86">
        <f t="shared" si="6"/>
        <v>454.3</v>
      </c>
      <c r="AA44" s="86">
        <f t="shared" si="6"/>
        <v>454.3</v>
      </c>
      <c r="AB44" s="86">
        <f t="shared" si="6"/>
        <v>460</v>
      </c>
      <c r="AC44" s="86">
        <f t="shared" si="6"/>
        <v>440</v>
      </c>
      <c r="AD44" s="86">
        <f t="shared" si="6"/>
        <v>450</v>
      </c>
      <c r="AE44" s="86">
        <f t="shared" si="6"/>
        <v>410</v>
      </c>
      <c r="AF44" s="86">
        <f t="shared" si="6"/>
        <v>390</v>
      </c>
      <c r="AG44" s="101">
        <f t="shared" si="6"/>
        <v>538.1</v>
      </c>
      <c r="AH44" s="20">
        <f t="shared" si="2"/>
        <v>474.3</v>
      </c>
      <c r="AI44" s="19">
        <f t="shared" si="3"/>
        <v>0</v>
      </c>
      <c r="AK44" s="41"/>
    </row>
    <row r="45" spans="1:88" x14ac:dyDescent="0.25">
      <c r="A45" s="97" t="s">
        <v>190</v>
      </c>
      <c r="B45" s="105">
        <v>0</v>
      </c>
      <c r="C45" s="105">
        <v>0</v>
      </c>
      <c r="D45" s="105"/>
      <c r="E45" s="105">
        <v>0</v>
      </c>
      <c r="F45" s="105">
        <v>0</v>
      </c>
      <c r="G45" s="105">
        <v>0</v>
      </c>
      <c r="H45" s="105">
        <v>0</v>
      </c>
      <c r="I45" s="105">
        <v>0</v>
      </c>
      <c r="J45" s="105">
        <v>0</v>
      </c>
      <c r="K45" s="105">
        <v>0</v>
      </c>
      <c r="L45" s="105">
        <v>0</v>
      </c>
      <c r="M45" s="105">
        <v>0</v>
      </c>
      <c r="N45" s="105">
        <v>0</v>
      </c>
      <c r="O45" s="105">
        <v>0</v>
      </c>
      <c r="P45" s="105">
        <v>0</v>
      </c>
      <c r="Q45" s="105">
        <v>0</v>
      </c>
      <c r="R45" s="105">
        <v>0</v>
      </c>
      <c r="S45" s="105">
        <v>0</v>
      </c>
      <c r="T45" s="105">
        <v>0</v>
      </c>
      <c r="U45" s="105">
        <v>0</v>
      </c>
      <c r="V45" s="105">
        <v>0</v>
      </c>
      <c r="W45" s="105">
        <v>0</v>
      </c>
      <c r="X45" s="105">
        <v>0</v>
      </c>
      <c r="Y45" s="105">
        <v>0</v>
      </c>
      <c r="Z45" s="105">
        <v>0</v>
      </c>
      <c r="AA45" s="105">
        <v>0</v>
      </c>
      <c r="AB45" s="105">
        <v>0</v>
      </c>
      <c r="AC45" s="105">
        <v>0</v>
      </c>
      <c r="AD45" s="105">
        <v>0</v>
      </c>
      <c r="AE45" s="105">
        <v>0</v>
      </c>
      <c r="AF45" s="105">
        <v>0</v>
      </c>
      <c r="AG45" s="96">
        <v>144</v>
      </c>
      <c r="AH45" s="20">
        <f t="shared" si="2"/>
        <v>0</v>
      </c>
      <c r="AI45" s="19">
        <f t="shared" si="3"/>
        <v>0</v>
      </c>
      <c r="AK45" s="41"/>
    </row>
    <row r="46" spans="1:88" x14ac:dyDescent="0.25">
      <c r="A46" s="95" t="s">
        <v>189</v>
      </c>
      <c r="B46" s="80">
        <v>51</v>
      </c>
      <c r="C46" s="80">
        <v>51</v>
      </c>
      <c r="D46" s="80"/>
      <c r="E46" s="80">
        <v>23.9</v>
      </c>
      <c r="F46" s="80">
        <v>23.8</v>
      </c>
      <c r="G46" s="80">
        <v>24.7</v>
      </c>
      <c r="H46" s="80">
        <v>24.7</v>
      </c>
      <c r="I46" s="80">
        <v>47</v>
      </c>
      <c r="J46" s="80">
        <v>47.7</v>
      </c>
      <c r="K46" s="80">
        <v>47.7</v>
      </c>
      <c r="L46" s="80">
        <v>48.7</v>
      </c>
      <c r="M46" s="80">
        <v>48.7</v>
      </c>
      <c r="N46" s="105">
        <v>50</v>
      </c>
      <c r="O46" s="105">
        <v>50</v>
      </c>
      <c r="P46" s="105">
        <v>51.3</v>
      </c>
      <c r="Q46" s="105">
        <v>51.3</v>
      </c>
      <c r="R46" s="105">
        <v>51.3</v>
      </c>
      <c r="S46" s="105">
        <v>51.3</v>
      </c>
      <c r="T46" s="105">
        <v>51.3</v>
      </c>
      <c r="U46" s="105">
        <v>51.3</v>
      </c>
      <c r="V46" s="105">
        <v>51.3</v>
      </c>
      <c r="W46" s="105">
        <v>55.5</v>
      </c>
      <c r="X46" s="105">
        <v>71</v>
      </c>
      <c r="Y46" s="105">
        <v>71</v>
      </c>
      <c r="Z46" s="105">
        <v>71</v>
      </c>
      <c r="AA46" s="105">
        <v>71</v>
      </c>
      <c r="AB46" s="105">
        <v>72.599999999999994</v>
      </c>
      <c r="AC46" s="80">
        <v>72.599999999999994</v>
      </c>
      <c r="AD46" s="80">
        <v>72.599999999999994</v>
      </c>
      <c r="AE46" s="80">
        <v>70</v>
      </c>
      <c r="AF46" s="80">
        <v>70</v>
      </c>
      <c r="AG46" s="94">
        <v>70</v>
      </c>
      <c r="AH46" s="20">
        <f t="shared" si="2"/>
        <v>72.599999999999994</v>
      </c>
      <c r="AI46" s="19">
        <f t="shared" si="3"/>
        <v>23.8</v>
      </c>
      <c r="AK46" s="41"/>
    </row>
    <row r="47" spans="1:88" x14ac:dyDescent="0.25">
      <c r="A47" s="95" t="s">
        <v>188</v>
      </c>
      <c r="B47" s="80">
        <v>35</v>
      </c>
      <c r="C47" s="80">
        <v>35</v>
      </c>
      <c r="D47" s="80"/>
      <c r="E47" s="80">
        <v>36.200000000000003</v>
      </c>
      <c r="F47" s="80">
        <v>36.1</v>
      </c>
      <c r="G47" s="80">
        <v>36.299999999999997</v>
      </c>
      <c r="H47" s="80">
        <v>36.299999999999997</v>
      </c>
      <c r="I47" s="80">
        <v>32.299999999999997</v>
      </c>
      <c r="J47" s="80">
        <v>33.200000000000003</v>
      </c>
      <c r="K47" s="80">
        <v>33.200000000000003</v>
      </c>
      <c r="L47" s="80">
        <v>30.6</v>
      </c>
      <c r="M47" s="80">
        <v>30.6</v>
      </c>
      <c r="N47" s="105">
        <v>33.6</v>
      </c>
      <c r="O47" s="105">
        <v>33.6</v>
      </c>
      <c r="P47" s="105">
        <v>33.9</v>
      </c>
      <c r="Q47" s="105">
        <v>33.9</v>
      </c>
      <c r="R47" s="105">
        <v>33.9</v>
      </c>
      <c r="S47" s="105">
        <v>33.9</v>
      </c>
      <c r="T47" s="105">
        <v>33.9</v>
      </c>
      <c r="U47" s="105">
        <v>33.9</v>
      </c>
      <c r="V47" s="105">
        <v>33.9</v>
      </c>
      <c r="W47" s="105">
        <v>45.6</v>
      </c>
      <c r="X47" s="105">
        <v>44.7</v>
      </c>
      <c r="Y47" s="105">
        <v>44.7</v>
      </c>
      <c r="Z47" s="105">
        <v>44.7</v>
      </c>
      <c r="AA47" s="105">
        <v>44.7</v>
      </c>
      <c r="AB47" s="105">
        <v>44.8</v>
      </c>
      <c r="AC47" s="80">
        <v>45.2</v>
      </c>
      <c r="AD47" s="80">
        <v>45.3</v>
      </c>
      <c r="AE47" s="80">
        <v>44.9</v>
      </c>
      <c r="AF47" s="80">
        <v>35.6</v>
      </c>
      <c r="AG47" s="94">
        <v>69</v>
      </c>
      <c r="AH47" s="20">
        <f t="shared" si="2"/>
        <v>45.6</v>
      </c>
      <c r="AI47" s="19">
        <f t="shared" si="3"/>
        <v>30.6</v>
      </c>
      <c r="AK47" s="41"/>
    </row>
    <row r="48" spans="1:88" x14ac:dyDescent="0.25">
      <c r="A48" s="95" t="s">
        <v>187</v>
      </c>
      <c r="B48" s="113">
        <v>30</v>
      </c>
      <c r="C48" s="113">
        <v>30</v>
      </c>
      <c r="D48" s="113"/>
      <c r="E48" s="113">
        <v>10</v>
      </c>
      <c r="F48" s="113">
        <v>10</v>
      </c>
      <c r="G48" s="113">
        <v>10</v>
      </c>
      <c r="H48" s="113">
        <v>25</v>
      </c>
      <c r="I48" s="113">
        <v>26.2</v>
      </c>
      <c r="J48" s="113">
        <v>26</v>
      </c>
      <c r="K48" s="113">
        <v>26</v>
      </c>
      <c r="L48" s="113">
        <v>25.2</v>
      </c>
      <c r="M48" s="113">
        <v>25.2</v>
      </c>
      <c r="N48" s="105">
        <v>25</v>
      </c>
      <c r="O48" s="105">
        <v>25</v>
      </c>
      <c r="P48" s="105">
        <v>25</v>
      </c>
      <c r="Q48" s="105">
        <v>25</v>
      </c>
      <c r="R48" s="105">
        <v>25</v>
      </c>
      <c r="S48" s="105">
        <v>25</v>
      </c>
      <c r="T48" s="105">
        <v>25</v>
      </c>
      <c r="U48" s="105">
        <v>25</v>
      </c>
      <c r="V48" s="105">
        <v>25</v>
      </c>
      <c r="W48" s="105">
        <v>25</v>
      </c>
      <c r="X48" s="105">
        <v>60.3</v>
      </c>
      <c r="Y48" s="105">
        <v>60.3</v>
      </c>
      <c r="Z48" s="105">
        <v>60.3</v>
      </c>
      <c r="AA48" s="105">
        <v>60.3</v>
      </c>
      <c r="AB48" s="105">
        <v>60.4</v>
      </c>
      <c r="AC48" s="113">
        <v>60.4</v>
      </c>
      <c r="AD48" s="113">
        <v>60.4</v>
      </c>
      <c r="AE48" s="113">
        <v>60.7</v>
      </c>
      <c r="AF48" s="113">
        <v>60.9</v>
      </c>
      <c r="AG48" s="94">
        <v>60</v>
      </c>
      <c r="AH48" s="20">
        <f t="shared" si="2"/>
        <v>60.9</v>
      </c>
      <c r="AI48" s="19">
        <f t="shared" si="3"/>
        <v>10</v>
      </c>
      <c r="AK48" s="41"/>
    </row>
    <row r="49" spans="1:41" ht="15.75" thickBot="1" x14ac:dyDescent="0.3">
      <c r="A49" s="95" t="s">
        <v>186</v>
      </c>
      <c r="B49" s="113">
        <v>30</v>
      </c>
      <c r="C49" s="113">
        <v>30</v>
      </c>
      <c r="D49" s="113"/>
      <c r="E49" s="113">
        <v>30</v>
      </c>
      <c r="F49" s="113">
        <v>30</v>
      </c>
      <c r="G49" s="113">
        <v>30</v>
      </c>
      <c r="H49" s="113">
        <v>30</v>
      </c>
      <c r="I49" s="113">
        <v>30</v>
      </c>
      <c r="J49" s="113">
        <v>30</v>
      </c>
      <c r="K49" s="113">
        <v>30</v>
      </c>
      <c r="L49" s="113">
        <v>30</v>
      </c>
      <c r="M49" s="113">
        <v>30</v>
      </c>
      <c r="N49" s="105">
        <v>30</v>
      </c>
      <c r="O49" s="105">
        <v>30</v>
      </c>
      <c r="P49" s="105">
        <v>30</v>
      </c>
      <c r="Q49" s="105">
        <v>30</v>
      </c>
      <c r="R49" s="105">
        <v>30</v>
      </c>
      <c r="S49" s="105">
        <v>30</v>
      </c>
      <c r="T49" s="105">
        <v>30</v>
      </c>
      <c r="U49" s="105">
        <v>30</v>
      </c>
      <c r="V49" s="105">
        <v>30</v>
      </c>
      <c r="W49" s="105">
        <v>30</v>
      </c>
      <c r="X49" s="105">
        <v>30</v>
      </c>
      <c r="Y49" s="105">
        <v>30</v>
      </c>
      <c r="Z49" s="105">
        <v>29.8</v>
      </c>
      <c r="AA49" s="105">
        <v>29.8</v>
      </c>
      <c r="AB49" s="105">
        <v>29.8</v>
      </c>
      <c r="AC49" s="113">
        <v>29.8</v>
      </c>
      <c r="AD49" s="113">
        <v>29.7</v>
      </c>
      <c r="AE49" s="113">
        <v>29.7</v>
      </c>
      <c r="AF49" s="113">
        <v>29.7</v>
      </c>
      <c r="AG49" s="94">
        <v>30</v>
      </c>
      <c r="AH49" s="20">
        <f t="shared" si="2"/>
        <v>30</v>
      </c>
      <c r="AI49" s="19">
        <f t="shared" si="3"/>
        <v>29.7</v>
      </c>
      <c r="AK49" s="41"/>
    </row>
    <row r="50" spans="1:41" ht="15.75" thickBot="1" x14ac:dyDescent="0.3">
      <c r="A50" s="95" t="s">
        <v>185</v>
      </c>
      <c r="B50" s="80">
        <v>0</v>
      </c>
      <c r="C50" s="80">
        <v>0</v>
      </c>
      <c r="D50" s="80"/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6</v>
      </c>
      <c r="N50" s="80">
        <v>6</v>
      </c>
      <c r="O50" s="80">
        <v>6</v>
      </c>
      <c r="P50" s="80">
        <v>6</v>
      </c>
      <c r="Q50" s="80">
        <v>6</v>
      </c>
      <c r="R50" s="80">
        <v>6</v>
      </c>
      <c r="S50" s="80">
        <v>6</v>
      </c>
      <c r="T50" s="80">
        <v>6</v>
      </c>
      <c r="U50" s="80">
        <v>6</v>
      </c>
      <c r="V50" s="80">
        <v>0</v>
      </c>
      <c r="W50" s="80">
        <v>0</v>
      </c>
      <c r="X50" s="80">
        <v>0</v>
      </c>
      <c r="Y50" s="80">
        <v>0</v>
      </c>
      <c r="Z50" s="80">
        <v>0</v>
      </c>
      <c r="AA50" s="80">
        <v>0</v>
      </c>
      <c r="AB50" s="80">
        <v>0</v>
      </c>
      <c r="AC50" s="80">
        <v>0</v>
      </c>
      <c r="AD50" s="80">
        <v>0</v>
      </c>
      <c r="AE50" s="80">
        <v>0</v>
      </c>
      <c r="AF50" s="80">
        <v>0</v>
      </c>
      <c r="AG50" s="94">
        <v>25</v>
      </c>
      <c r="AH50" s="20">
        <f t="shared" si="2"/>
        <v>6</v>
      </c>
      <c r="AI50" s="19">
        <f t="shared" si="3"/>
        <v>0</v>
      </c>
      <c r="AK50" s="86">
        <f>(550-144-22)</f>
        <v>384</v>
      </c>
    </row>
    <row r="51" spans="1:41" x14ac:dyDescent="0.25">
      <c r="A51" s="95" t="s">
        <v>184</v>
      </c>
      <c r="B51" s="80">
        <v>14.2</v>
      </c>
      <c r="C51" s="80">
        <v>10</v>
      </c>
      <c r="D51" s="80"/>
      <c r="E51" s="80">
        <v>10</v>
      </c>
      <c r="F51" s="80">
        <v>9.3000000000000007</v>
      </c>
      <c r="G51" s="80">
        <v>9.3000000000000007</v>
      </c>
      <c r="H51" s="80">
        <v>9.3000000000000007</v>
      </c>
      <c r="I51" s="80">
        <v>9.6</v>
      </c>
      <c r="J51" s="80">
        <v>9.6</v>
      </c>
      <c r="K51" s="80">
        <v>9.6</v>
      </c>
      <c r="L51" s="80">
        <v>9.6</v>
      </c>
      <c r="M51" s="80">
        <v>9.6</v>
      </c>
      <c r="N51" s="80">
        <v>9.9</v>
      </c>
      <c r="O51" s="80">
        <v>9.9</v>
      </c>
      <c r="P51" s="80">
        <v>9.9</v>
      </c>
      <c r="Q51" s="80">
        <v>9.9</v>
      </c>
      <c r="R51" s="80">
        <v>9.9</v>
      </c>
      <c r="S51" s="80">
        <v>9.9</v>
      </c>
      <c r="T51" s="80">
        <v>9.9</v>
      </c>
      <c r="U51" s="80">
        <v>9.9</v>
      </c>
      <c r="V51" s="80">
        <v>9.9</v>
      </c>
      <c r="W51" s="80">
        <v>9.9</v>
      </c>
      <c r="X51" s="80">
        <v>9.9</v>
      </c>
      <c r="Y51" s="80">
        <v>9.9</v>
      </c>
      <c r="Z51" s="80">
        <v>9.9</v>
      </c>
      <c r="AA51" s="80">
        <v>9.9</v>
      </c>
      <c r="AB51" s="80">
        <v>9.9</v>
      </c>
      <c r="AC51" s="80">
        <v>14.1</v>
      </c>
      <c r="AD51" s="80">
        <v>14.1</v>
      </c>
      <c r="AE51" s="80">
        <v>14.3</v>
      </c>
      <c r="AF51" s="80">
        <v>14.3</v>
      </c>
      <c r="AG51" s="94">
        <v>24</v>
      </c>
      <c r="AH51" s="20">
        <f t="shared" si="2"/>
        <v>14.3</v>
      </c>
      <c r="AI51" s="19">
        <f t="shared" si="3"/>
        <v>9.3000000000000007</v>
      </c>
      <c r="AK51" s="41"/>
    </row>
    <row r="52" spans="1:41" x14ac:dyDescent="0.25">
      <c r="A52" s="95" t="s">
        <v>183</v>
      </c>
      <c r="B52" s="80">
        <v>3.5</v>
      </c>
      <c r="C52" s="80">
        <v>3.5</v>
      </c>
      <c r="D52" s="80"/>
      <c r="E52" s="80">
        <v>3.5</v>
      </c>
      <c r="F52" s="80">
        <v>3.5</v>
      </c>
      <c r="G52" s="80">
        <v>3.5</v>
      </c>
      <c r="H52" s="80">
        <v>3.5</v>
      </c>
      <c r="I52" s="80">
        <v>3.5</v>
      </c>
      <c r="J52" s="80">
        <v>3.5</v>
      </c>
      <c r="K52" s="80">
        <v>3.5</v>
      </c>
      <c r="L52" s="80">
        <v>3.5</v>
      </c>
      <c r="M52" s="80">
        <v>3.5</v>
      </c>
      <c r="N52" s="80">
        <v>3.5</v>
      </c>
      <c r="O52" s="80">
        <v>3.5</v>
      </c>
      <c r="P52" s="80">
        <v>3.5</v>
      </c>
      <c r="Q52" s="80">
        <v>3.5</v>
      </c>
      <c r="R52" s="80">
        <v>3.5</v>
      </c>
      <c r="S52" s="80">
        <v>3.5</v>
      </c>
      <c r="T52" s="80">
        <v>3.5</v>
      </c>
      <c r="U52" s="80">
        <v>3.5</v>
      </c>
      <c r="V52" s="80">
        <v>3.5</v>
      </c>
      <c r="W52" s="80">
        <v>3.5</v>
      </c>
      <c r="X52" s="80">
        <v>3.5</v>
      </c>
      <c r="Y52" s="80">
        <v>3.5</v>
      </c>
      <c r="Z52" s="80">
        <v>3.5</v>
      </c>
      <c r="AA52" s="80">
        <v>3.5</v>
      </c>
      <c r="AB52" s="80">
        <v>3.5</v>
      </c>
      <c r="AC52" s="80">
        <v>3.5</v>
      </c>
      <c r="AD52" s="80">
        <v>3.5</v>
      </c>
      <c r="AE52" s="80">
        <v>3.5</v>
      </c>
      <c r="AF52" s="80">
        <v>3.5</v>
      </c>
      <c r="AG52" s="94">
        <v>15</v>
      </c>
      <c r="AH52" s="20">
        <f t="shared" si="2"/>
        <v>3.5</v>
      </c>
      <c r="AI52" s="19">
        <f t="shared" si="3"/>
        <v>3.5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11</v>
      </c>
      <c r="C53" s="80">
        <v>8.4</v>
      </c>
      <c r="D53" s="80"/>
      <c r="E53" s="80">
        <v>8.4</v>
      </c>
      <c r="F53" s="80">
        <v>10</v>
      </c>
      <c r="G53" s="80">
        <v>10</v>
      </c>
      <c r="H53" s="80">
        <v>10</v>
      </c>
      <c r="I53" s="80">
        <v>9.6999999999999993</v>
      </c>
      <c r="J53" s="80">
        <v>9.6999999999999993</v>
      </c>
      <c r="K53" s="80">
        <v>8.9</v>
      </c>
      <c r="L53" s="80">
        <v>8.9</v>
      </c>
      <c r="M53" s="80">
        <v>8.9</v>
      </c>
      <c r="N53" s="80">
        <v>8.9</v>
      </c>
      <c r="O53" s="80">
        <v>8.9</v>
      </c>
      <c r="P53" s="80">
        <v>8.9</v>
      </c>
      <c r="Q53" s="80">
        <v>8.9</v>
      </c>
      <c r="R53" s="80">
        <v>8.9</v>
      </c>
      <c r="S53" s="80">
        <v>8.9</v>
      </c>
      <c r="T53" s="80">
        <v>8.9</v>
      </c>
      <c r="U53" s="80">
        <v>8.9</v>
      </c>
      <c r="V53" s="80">
        <v>8.9</v>
      </c>
      <c r="W53" s="80">
        <v>8.9</v>
      </c>
      <c r="X53" s="80">
        <v>8.9</v>
      </c>
      <c r="Y53" s="80">
        <v>8.9</v>
      </c>
      <c r="Z53" s="80">
        <v>8.9</v>
      </c>
      <c r="AA53" s="80">
        <v>8.9</v>
      </c>
      <c r="AB53" s="80">
        <v>8.9</v>
      </c>
      <c r="AC53" s="80">
        <v>10.1</v>
      </c>
      <c r="AD53" s="80">
        <v>10.5</v>
      </c>
      <c r="AE53" s="80">
        <v>11</v>
      </c>
      <c r="AF53" s="80">
        <v>11.3</v>
      </c>
      <c r="AG53" s="94">
        <v>14.1</v>
      </c>
      <c r="AH53" s="20">
        <f t="shared" si="2"/>
        <v>11.3</v>
      </c>
      <c r="AI53" s="19">
        <f t="shared" si="3"/>
        <v>8.4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8</v>
      </c>
      <c r="C54" s="80">
        <v>2</v>
      </c>
      <c r="D54" s="80"/>
      <c r="E54" s="80">
        <v>2</v>
      </c>
      <c r="F54" s="80">
        <v>6.3</v>
      </c>
      <c r="G54" s="80">
        <v>6</v>
      </c>
      <c r="H54" s="80">
        <v>7.2</v>
      </c>
      <c r="I54" s="80">
        <v>7.2</v>
      </c>
      <c r="J54" s="80">
        <v>7.2</v>
      </c>
      <c r="K54" s="80">
        <v>7.2</v>
      </c>
      <c r="L54" s="80">
        <v>7.2</v>
      </c>
      <c r="M54" s="80">
        <v>7.2</v>
      </c>
      <c r="N54" s="80">
        <v>7.2</v>
      </c>
      <c r="O54" s="80">
        <v>7.2</v>
      </c>
      <c r="P54" s="80">
        <v>7.2</v>
      </c>
      <c r="Q54" s="80">
        <v>7.2</v>
      </c>
      <c r="R54" s="80">
        <v>7.2</v>
      </c>
      <c r="S54" s="80">
        <v>0</v>
      </c>
      <c r="T54" s="80">
        <v>0</v>
      </c>
      <c r="U54" s="80">
        <v>0</v>
      </c>
      <c r="V54" s="80">
        <v>0</v>
      </c>
      <c r="W54" s="80">
        <v>0</v>
      </c>
      <c r="X54" s="80">
        <v>0</v>
      </c>
      <c r="Y54" s="80">
        <v>0</v>
      </c>
      <c r="Z54" s="80">
        <v>0</v>
      </c>
      <c r="AA54" s="80">
        <v>0</v>
      </c>
      <c r="AB54" s="80">
        <v>0</v>
      </c>
      <c r="AC54" s="80">
        <v>5.4</v>
      </c>
      <c r="AD54" s="80">
        <v>5.4</v>
      </c>
      <c r="AE54" s="80">
        <v>5.5</v>
      </c>
      <c r="AF54" s="80">
        <v>5.5</v>
      </c>
      <c r="AG54" s="94">
        <v>14</v>
      </c>
      <c r="AH54" s="20">
        <f t="shared" si="2"/>
        <v>8</v>
      </c>
      <c r="AI54" s="19">
        <f t="shared" si="3"/>
        <v>0</v>
      </c>
      <c r="AK54" s="41"/>
    </row>
    <row r="55" spans="1:41" x14ac:dyDescent="0.25">
      <c r="A55" s="95" t="s">
        <v>180</v>
      </c>
      <c r="B55" s="80">
        <v>9</v>
      </c>
      <c r="C55" s="80">
        <v>9</v>
      </c>
      <c r="D55" s="80"/>
      <c r="E55" s="80">
        <v>9</v>
      </c>
      <c r="F55" s="80">
        <v>9</v>
      </c>
      <c r="G55" s="80">
        <v>9</v>
      </c>
      <c r="H55" s="80">
        <v>9</v>
      </c>
      <c r="I55" s="80">
        <v>9</v>
      </c>
      <c r="J55" s="80">
        <v>9</v>
      </c>
      <c r="K55" s="80">
        <v>9</v>
      </c>
      <c r="L55" s="80">
        <v>9</v>
      </c>
      <c r="M55" s="80">
        <v>9</v>
      </c>
      <c r="N55" s="80">
        <v>9</v>
      </c>
      <c r="O55" s="80">
        <v>9</v>
      </c>
      <c r="P55" s="80">
        <v>9</v>
      </c>
      <c r="Q55" s="80">
        <v>9</v>
      </c>
      <c r="R55" s="80">
        <v>9</v>
      </c>
      <c r="S55" s="80">
        <v>9</v>
      </c>
      <c r="T55" s="80">
        <v>9</v>
      </c>
      <c r="U55" s="80">
        <v>9</v>
      </c>
      <c r="V55" s="80">
        <v>9</v>
      </c>
      <c r="W55" s="80">
        <v>9</v>
      </c>
      <c r="X55" s="80">
        <v>9</v>
      </c>
      <c r="Y55" s="80">
        <v>9</v>
      </c>
      <c r="Z55" s="80">
        <v>9</v>
      </c>
      <c r="AA55" s="80">
        <v>9</v>
      </c>
      <c r="AB55" s="80">
        <v>9</v>
      </c>
      <c r="AC55" s="80">
        <v>9</v>
      </c>
      <c r="AD55" s="80">
        <v>9</v>
      </c>
      <c r="AE55" s="80">
        <v>9</v>
      </c>
      <c r="AF55" s="80">
        <v>9</v>
      </c>
      <c r="AG55" s="94">
        <v>10.050000000000001</v>
      </c>
      <c r="AH55" s="20">
        <f t="shared" si="2"/>
        <v>9</v>
      </c>
      <c r="AI55" s="19">
        <f t="shared" si="3"/>
        <v>9</v>
      </c>
      <c r="AK55" s="41"/>
    </row>
    <row r="56" spans="1:41" x14ac:dyDescent="0.25">
      <c r="A56" s="95" t="s">
        <v>179</v>
      </c>
      <c r="B56" s="80">
        <v>3</v>
      </c>
      <c r="C56" s="80">
        <v>3</v>
      </c>
      <c r="D56" s="80"/>
      <c r="E56" s="80">
        <v>3</v>
      </c>
      <c r="F56" s="80">
        <v>3</v>
      </c>
      <c r="G56" s="80">
        <v>3</v>
      </c>
      <c r="H56" s="80">
        <v>3</v>
      </c>
      <c r="I56" s="80">
        <v>3</v>
      </c>
      <c r="J56" s="80">
        <v>3</v>
      </c>
      <c r="K56" s="80">
        <v>3</v>
      </c>
      <c r="L56" s="80">
        <v>3</v>
      </c>
      <c r="M56" s="80">
        <v>3</v>
      </c>
      <c r="N56" s="80">
        <v>3</v>
      </c>
      <c r="O56" s="80">
        <v>3</v>
      </c>
      <c r="P56" s="80">
        <v>3</v>
      </c>
      <c r="Q56" s="80">
        <v>3</v>
      </c>
      <c r="R56" s="80">
        <v>3</v>
      </c>
      <c r="S56" s="80">
        <v>3</v>
      </c>
      <c r="T56" s="80">
        <v>3</v>
      </c>
      <c r="U56" s="80">
        <v>3</v>
      </c>
      <c r="V56" s="80">
        <v>3</v>
      </c>
      <c r="W56" s="80">
        <v>3</v>
      </c>
      <c r="X56" s="80">
        <v>3</v>
      </c>
      <c r="Y56" s="80">
        <v>3</v>
      </c>
      <c r="Z56" s="80">
        <v>3</v>
      </c>
      <c r="AA56" s="80">
        <v>3</v>
      </c>
      <c r="AB56" s="80">
        <v>3</v>
      </c>
      <c r="AC56" s="80">
        <v>3</v>
      </c>
      <c r="AD56" s="80">
        <v>3</v>
      </c>
      <c r="AE56" s="80">
        <v>3</v>
      </c>
      <c r="AF56" s="80">
        <v>3</v>
      </c>
      <c r="AG56" s="94">
        <v>6.2</v>
      </c>
      <c r="AH56" s="20">
        <f t="shared" si="2"/>
        <v>3</v>
      </c>
      <c r="AI56" s="19">
        <f t="shared" si="3"/>
        <v>3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7">SUM(B45:B57)</f>
        <v>198.23999999999998</v>
      </c>
      <c r="C58" s="86">
        <f t="shared" si="7"/>
        <v>185.44</v>
      </c>
      <c r="D58" s="86">
        <f t="shared" si="7"/>
        <v>3.54</v>
      </c>
      <c r="E58" s="86">
        <f t="shared" si="7"/>
        <v>139.54</v>
      </c>
      <c r="F58" s="86">
        <f t="shared" si="7"/>
        <v>144.54</v>
      </c>
      <c r="G58" s="86">
        <f t="shared" si="7"/>
        <v>145.34</v>
      </c>
      <c r="H58" s="86">
        <f t="shared" si="7"/>
        <v>161.54</v>
      </c>
      <c r="I58" s="86">
        <f t="shared" si="7"/>
        <v>181.03999999999996</v>
      </c>
      <c r="J58" s="86">
        <f t="shared" si="7"/>
        <v>182.43999999999997</v>
      </c>
      <c r="K58" s="86">
        <f t="shared" si="7"/>
        <v>181.64</v>
      </c>
      <c r="L58" s="86">
        <f t="shared" si="7"/>
        <v>179.23999999999998</v>
      </c>
      <c r="M58" s="86">
        <f t="shared" si="7"/>
        <v>185.23999999999998</v>
      </c>
      <c r="N58" s="86">
        <f t="shared" si="7"/>
        <v>189.64</v>
      </c>
      <c r="O58" s="86">
        <f t="shared" si="7"/>
        <v>189.64</v>
      </c>
      <c r="P58" s="86">
        <f t="shared" si="7"/>
        <v>191.23999999999998</v>
      </c>
      <c r="Q58" s="86">
        <f t="shared" si="7"/>
        <v>191.23999999999998</v>
      </c>
      <c r="R58" s="86">
        <f t="shared" si="7"/>
        <v>191.23999999999998</v>
      </c>
      <c r="S58" s="86">
        <f t="shared" si="7"/>
        <v>184.04</v>
      </c>
      <c r="T58" s="86">
        <f t="shared" si="7"/>
        <v>184.04</v>
      </c>
      <c r="U58" s="86">
        <f t="shared" si="7"/>
        <v>184.04</v>
      </c>
      <c r="V58" s="86">
        <f t="shared" si="7"/>
        <v>178.04</v>
      </c>
      <c r="W58" s="86">
        <f t="shared" si="7"/>
        <v>193.94</v>
      </c>
      <c r="X58" s="86">
        <f t="shared" si="7"/>
        <v>243.84</v>
      </c>
      <c r="Y58" s="86">
        <f t="shared" si="7"/>
        <v>243.84</v>
      </c>
      <c r="Z58" s="86">
        <f t="shared" si="7"/>
        <v>243.64000000000001</v>
      </c>
      <c r="AA58" s="86">
        <f t="shared" si="7"/>
        <v>243.64000000000001</v>
      </c>
      <c r="AB58" s="86">
        <f t="shared" si="7"/>
        <v>245.44</v>
      </c>
      <c r="AC58" s="86">
        <f t="shared" si="7"/>
        <v>256.64</v>
      </c>
      <c r="AD58" s="86">
        <f t="shared" si="7"/>
        <v>257.03999999999996</v>
      </c>
      <c r="AE58" s="86">
        <f t="shared" si="7"/>
        <v>255.14000000000001</v>
      </c>
      <c r="AF58" s="86">
        <f t="shared" si="7"/>
        <v>246.34</v>
      </c>
      <c r="AG58" s="101">
        <f t="shared" si="7"/>
        <v>489.91</v>
      </c>
      <c r="AH58" s="20">
        <f t="shared" si="2"/>
        <v>257.03999999999996</v>
      </c>
      <c r="AI58" s="19">
        <f t="shared" si="3"/>
        <v>3.54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8">SUM(B59:B61)</f>
        <v>0</v>
      </c>
      <c r="C62" s="86">
        <f t="shared" si="8"/>
        <v>0</v>
      </c>
      <c r="D62" s="86">
        <f t="shared" si="8"/>
        <v>0</v>
      </c>
      <c r="E62" s="86">
        <f t="shared" si="8"/>
        <v>0</v>
      </c>
      <c r="F62" s="86">
        <f t="shared" si="8"/>
        <v>0</v>
      </c>
      <c r="G62" s="86">
        <f t="shared" si="8"/>
        <v>0</v>
      </c>
      <c r="H62" s="86">
        <f t="shared" si="8"/>
        <v>0</v>
      </c>
      <c r="I62" s="86">
        <f t="shared" si="8"/>
        <v>0</v>
      </c>
      <c r="J62" s="86">
        <f t="shared" si="8"/>
        <v>0</v>
      </c>
      <c r="K62" s="86">
        <f t="shared" si="8"/>
        <v>0</v>
      </c>
      <c r="L62" s="86">
        <f t="shared" si="8"/>
        <v>0</v>
      </c>
      <c r="M62" s="86">
        <f t="shared" si="8"/>
        <v>0</v>
      </c>
      <c r="N62" s="86">
        <f t="shared" si="8"/>
        <v>0</v>
      </c>
      <c r="O62" s="86">
        <f t="shared" si="8"/>
        <v>0</v>
      </c>
      <c r="P62" s="86">
        <f t="shared" si="8"/>
        <v>0</v>
      </c>
      <c r="Q62" s="86">
        <f t="shared" si="8"/>
        <v>0</v>
      </c>
      <c r="R62" s="86">
        <f t="shared" si="8"/>
        <v>0</v>
      </c>
      <c r="S62" s="86">
        <f t="shared" si="8"/>
        <v>0</v>
      </c>
      <c r="T62" s="86">
        <f t="shared" si="8"/>
        <v>0</v>
      </c>
      <c r="U62" s="86">
        <f t="shared" si="8"/>
        <v>0</v>
      </c>
      <c r="V62" s="86">
        <f t="shared" si="8"/>
        <v>0</v>
      </c>
      <c r="W62" s="86">
        <f t="shared" si="8"/>
        <v>0</v>
      </c>
      <c r="X62" s="86">
        <f t="shared" si="8"/>
        <v>0</v>
      </c>
      <c r="Y62" s="86">
        <f t="shared" si="8"/>
        <v>0</v>
      </c>
      <c r="Z62" s="86">
        <f t="shared" si="8"/>
        <v>0</v>
      </c>
      <c r="AA62" s="86">
        <f t="shared" si="8"/>
        <v>0</v>
      </c>
      <c r="AB62" s="86">
        <f t="shared" si="8"/>
        <v>0</v>
      </c>
      <c r="AC62" s="86">
        <f t="shared" si="8"/>
        <v>0</v>
      </c>
      <c r="AD62" s="86">
        <f t="shared" si="8"/>
        <v>0</v>
      </c>
      <c r="AE62" s="86">
        <f t="shared" si="8"/>
        <v>0</v>
      </c>
      <c r="AF62" s="86">
        <f t="shared" si="8"/>
        <v>0</v>
      </c>
      <c r="AG62" s="101">
        <f t="shared" si="8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12</v>
      </c>
      <c r="C63" s="105">
        <v>4</v>
      </c>
      <c r="D63" s="105"/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>
        <v>0</v>
      </c>
      <c r="S63" s="105">
        <v>0</v>
      </c>
      <c r="T63" s="105">
        <v>0</v>
      </c>
      <c r="U63" s="105">
        <v>0</v>
      </c>
      <c r="V63" s="105">
        <v>0</v>
      </c>
      <c r="W63" s="105">
        <v>0</v>
      </c>
      <c r="X63" s="105">
        <v>0</v>
      </c>
      <c r="Y63" s="105">
        <v>0</v>
      </c>
      <c r="Z63" s="105">
        <v>8</v>
      </c>
      <c r="AA63" s="105">
        <v>8</v>
      </c>
      <c r="AB63" s="105">
        <v>0</v>
      </c>
      <c r="AC63" s="105">
        <v>0</v>
      </c>
      <c r="AD63" s="105">
        <v>0</v>
      </c>
      <c r="AE63" s="105">
        <v>0</v>
      </c>
      <c r="AF63" s="105">
        <v>0</v>
      </c>
      <c r="AG63" s="96"/>
      <c r="AH63" s="20">
        <f t="shared" si="2"/>
        <v>12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/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-428</v>
      </c>
      <c r="C65" s="80">
        <v>-423</v>
      </c>
      <c r="D65" s="80"/>
      <c r="E65" s="80">
        <v>-370</v>
      </c>
      <c r="F65" s="80">
        <v>-425.6</v>
      </c>
      <c r="G65" s="80">
        <v>-417</v>
      </c>
      <c r="H65" s="80">
        <v>-425</v>
      </c>
      <c r="I65" s="80">
        <v>-420.8</v>
      </c>
      <c r="J65" s="80">
        <v>-375</v>
      </c>
      <c r="K65" s="80">
        <v>-428</v>
      </c>
      <c r="L65" s="80">
        <v>-415</v>
      </c>
      <c r="M65" s="80">
        <v>-415</v>
      </c>
      <c r="N65" s="80">
        <v>-405</v>
      </c>
      <c r="O65" s="80">
        <v>-394</v>
      </c>
      <c r="P65" s="80">
        <v>-400</v>
      </c>
      <c r="Q65" s="80">
        <v>-420</v>
      </c>
      <c r="R65" s="80">
        <v>-400</v>
      </c>
      <c r="S65" s="80">
        <v>-383</v>
      </c>
      <c r="T65" s="80">
        <v>-426</v>
      </c>
      <c r="U65" s="80">
        <v>-444.3</v>
      </c>
      <c r="V65" s="80">
        <v>-406</v>
      </c>
      <c r="W65" s="80">
        <v>-354</v>
      </c>
      <c r="X65" s="80">
        <v>-393</v>
      </c>
      <c r="Y65" s="80">
        <v>-367</v>
      </c>
      <c r="Z65" s="80">
        <v>-402</v>
      </c>
      <c r="AA65" s="80">
        <v>-422</v>
      </c>
      <c r="AB65" s="80">
        <v>-406</v>
      </c>
      <c r="AC65" s="80">
        <v>-410</v>
      </c>
      <c r="AD65" s="80">
        <v>-406.8</v>
      </c>
      <c r="AE65" s="80">
        <v>-405.1</v>
      </c>
      <c r="AF65" s="80">
        <v>-406.9</v>
      </c>
      <c r="AG65" s="102"/>
      <c r="AH65" s="20">
        <f t="shared" si="2"/>
        <v>-354</v>
      </c>
      <c r="AI65" s="19">
        <f t="shared" si="3"/>
        <v>-444.3</v>
      </c>
      <c r="AK65" s="41"/>
    </row>
    <row r="66" spans="1:37" x14ac:dyDescent="0.25">
      <c r="A66" s="95" t="s">
        <v>156</v>
      </c>
      <c r="B66" s="93">
        <v>0</v>
      </c>
      <c r="C66" s="93">
        <v>6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6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/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4</v>
      </c>
      <c r="C68" s="103">
        <v>4</v>
      </c>
      <c r="D68" s="103"/>
      <c r="E68" s="103">
        <v>4</v>
      </c>
      <c r="F68" s="103">
        <v>4</v>
      </c>
      <c r="G68" s="103">
        <v>4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>
        <v>0</v>
      </c>
      <c r="AG68" s="102"/>
      <c r="AH68" s="20">
        <f t="shared" si="2"/>
        <v>4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/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/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/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/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/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9">SUMIF(B63:B73,"&gt;0")</f>
        <v>16</v>
      </c>
      <c r="C74" s="86">
        <f t="shared" si="9"/>
        <v>14</v>
      </c>
      <c r="D74" s="86">
        <f t="shared" si="9"/>
        <v>0</v>
      </c>
      <c r="E74" s="86">
        <f t="shared" si="9"/>
        <v>4</v>
      </c>
      <c r="F74" s="86">
        <f t="shared" si="9"/>
        <v>4</v>
      </c>
      <c r="G74" s="86">
        <f t="shared" si="9"/>
        <v>4</v>
      </c>
      <c r="H74" s="86">
        <f t="shared" si="9"/>
        <v>0</v>
      </c>
      <c r="I74" s="86">
        <f t="shared" si="9"/>
        <v>0</v>
      </c>
      <c r="J74" s="86">
        <f t="shared" si="9"/>
        <v>0</v>
      </c>
      <c r="K74" s="86">
        <f t="shared" si="9"/>
        <v>0</v>
      </c>
      <c r="L74" s="86">
        <f t="shared" si="9"/>
        <v>0</v>
      </c>
      <c r="M74" s="86">
        <f t="shared" si="9"/>
        <v>0</v>
      </c>
      <c r="N74" s="86">
        <f t="shared" si="9"/>
        <v>0</v>
      </c>
      <c r="O74" s="86">
        <f t="shared" si="9"/>
        <v>0</v>
      </c>
      <c r="P74" s="86">
        <f t="shared" si="9"/>
        <v>0</v>
      </c>
      <c r="Q74" s="86">
        <f t="shared" si="9"/>
        <v>0</v>
      </c>
      <c r="R74" s="86">
        <f t="shared" si="9"/>
        <v>0</v>
      </c>
      <c r="S74" s="86">
        <f t="shared" si="9"/>
        <v>0</v>
      </c>
      <c r="T74" s="86">
        <f t="shared" si="9"/>
        <v>0</v>
      </c>
      <c r="U74" s="86">
        <f t="shared" si="9"/>
        <v>0</v>
      </c>
      <c r="V74" s="86">
        <f t="shared" si="9"/>
        <v>0</v>
      </c>
      <c r="W74" s="86">
        <f t="shared" si="9"/>
        <v>0</v>
      </c>
      <c r="X74" s="86">
        <f t="shared" si="9"/>
        <v>0</v>
      </c>
      <c r="Y74" s="86">
        <f t="shared" si="9"/>
        <v>0</v>
      </c>
      <c r="Z74" s="86">
        <f t="shared" si="9"/>
        <v>8</v>
      </c>
      <c r="AA74" s="86">
        <f t="shared" si="9"/>
        <v>8</v>
      </c>
      <c r="AB74" s="86">
        <f t="shared" si="9"/>
        <v>0</v>
      </c>
      <c r="AC74" s="86">
        <f t="shared" si="9"/>
        <v>0</v>
      </c>
      <c r="AD74" s="86">
        <f t="shared" si="9"/>
        <v>0</v>
      </c>
      <c r="AE74" s="86">
        <f t="shared" si="9"/>
        <v>0</v>
      </c>
      <c r="AF74" s="86">
        <f t="shared" si="9"/>
        <v>0</v>
      </c>
      <c r="AG74" s="85">
        <f>SUM(AG63:AG73)</f>
        <v>0</v>
      </c>
      <c r="AH74" s="20">
        <f t="shared" si="2"/>
        <v>16</v>
      </c>
      <c r="AI74" s="19">
        <f t="shared" si="3"/>
        <v>0</v>
      </c>
      <c r="AK74" s="41"/>
    </row>
    <row r="75" spans="1:37" x14ac:dyDescent="0.25">
      <c r="A75" s="97" t="s">
        <v>164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2">
        <v>14.4</v>
      </c>
      <c r="AH76" s="20">
        <f t="shared" ref="AH76:AH109" si="10">MAX(B76:AF76)</f>
        <v>0</v>
      </c>
      <c r="AI76" s="19">
        <f t="shared" ref="AI76:AI109" si="11">MIN(B76:AF76)</f>
        <v>0</v>
      </c>
      <c r="AK76" s="41"/>
    </row>
    <row r="77" spans="1:37" ht="15.75" thickBot="1" x14ac:dyDescent="0.3">
      <c r="A77" s="91" t="s">
        <v>162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89">
        <v>2</v>
      </c>
      <c r="AH77" s="20">
        <f t="shared" si="10"/>
        <v>0</v>
      </c>
      <c r="AI77" s="19">
        <f t="shared" si="11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10"/>
        <v>0</v>
      </c>
      <c r="AI78" s="19">
        <f t="shared" si="11"/>
        <v>0</v>
      </c>
    </row>
    <row r="79" spans="1:37" ht="15.75" thickBot="1" x14ac:dyDescent="0.3">
      <c r="A79" s="87" t="s">
        <v>160</v>
      </c>
      <c r="B79" s="98">
        <f t="shared" ref="B79:AG79" si="12">B40+B44+B62+B58+B74+B78</f>
        <v>1261.3399999999999</v>
      </c>
      <c r="C79" s="98">
        <f t="shared" si="12"/>
        <v>1238.44</v>
      </c>
      <c r="D79" s="98">
        <f t="shared" si="12"/>
        <v>283.54000000000002</v>
      </c>
      <c r="E79" s="98">
        <f t="shared" si="12"/>
        <v>1178.8399999999999</v>
      </c>
      <c r="F79" s="98">
        <f t="shared" si="12"/>
        <v>1240.94</v>
      </c>
      <c r="G79" s="98">
        <f t="shared" si="12"/>
        <v>1264.6399999999999</v>
      </c>
      <c r="H79" s="98">
        <f t="shared" si="12"/>
        <v>1276.8399999999999</v>
      </c>
      <c r="I79" s="98">
        <f t="shared" si="12"/>
        <v>1271.74</v>
      </c>
      <c r="J79" s="98">
        <f t="shared" si="12"/>
        <v>1268.1400000000001</v>
      </c>
      <c r="K79" s="98">
        <f t="shared" si="12"/>
        <v>1271.3400000000001</v>
      </c>
      <c r="L79" s="98">
        <f t="shared" si="12"/>
        <v>1248.8399999999999</v>
      </c>
      <c r="M79" s="98">
        <f t="shared" si="12"/>
        <v>1283.8399999999999</v>
      </c>
      <c r="N79" s="98">
        <f t="shared" si="12"/>
        <v>1268.2399999999998</v>
      </c>
      <c r="O79" s="98">
        <f t="shared" si="12"/>
        <v>1261.2399999999998</v>
      </c>
      <c r="P79" s="98">
        <f t="shared" si="12"/>
        <v>1222.8399999999999</v>
      </c>
      <c r="Q79" s="98">
        <f t="shared" si="12"/>
        <v>1209.74</v>
      </c>
      <c r="R79" s="98">
        <f t="shared" si="12"/>
        <v>1174.8399999999999</v>
      </c>
      <c r="S79" s="98">
        <f t="shared" si="12"/>
        <v>1135.6400000000001</v>
      </c>
      <c r="T79" s="98">
        <f t="shared" si="12"/>
        <v>1185.6399999999999</v>
      </c>
      <c r="U79" s="98">
        <f t="shared" si="12"/>
        <v>1183.6399999999999</v>
      </c>
      <c r="V79" s="98">
        <f t="shared" si="12"/>
        <v>1155.6399999999999</v>
      </c>
      <c r="W79" s="98">
        <f t="shared" si="12"/>
        <v>1169.3399999999999</v>
      </c>
      <c r="X79" s="98">
        <f t="shared" si="12"/>
        <v>1321.9399999999998</v>
      </c>
      <c r="Y79" s="98">
        <f t="shared" si="12"/>
        <v>1347.2399999999998</v>
      </c>
      <c r="Z79" s="98">
        <f t="shared" si="12"/>
        <v>1340.04</v>
      </c>
      <c r="AA79" s="98">
        <f t="shared" si="12"/>
        <v>1340.04</v>
      </c>
      <c r="AB79" s="98">
        <f t="shared" si="12"/>
        <v>1427.94</v>
      </c>
      <c r="AC79" s="98">
        <f t="shared" si="12"/>
        <v>1434.54</v>
      </c>
      <c r="AD79" s="98">
        <f t="shared" si="12"/>
        <v>1415.6399999999999</v>
      </c>
      <c r="AE79" s="98">
        <f t="shared" si="12"/>
        <v>1363.14</v>
      </c>
      <c r="AF79" s="98">
        <f t="shared" si="12"/>
        <v>1320.74</v>
      </c>
      <c r="AG79" s="101">
        <f t="shared" si="12"/>
        <v>1897.1900000000003</v>
      </c>
      <c r="AH79" s="20">
        <f t="shared" si="10"/>
        <v>1434.54</v>
      </c>
      <c r="AI79" s="19">
        <f t="shared" si="11"/>
        <v>283.54000000000002</v>
      </c>
    </row>
    <row r="80" spans="1:37" ht="15.75" thickBot="1" x14ac:dyDescent="0.3">
      <c r="A80" s="100" t="s">
        <v>159</v>
      </c>
      <c r="B80" s="99"/>
      <c r="C80" s="99"/>
      <c r="D80" s="99">
        <v>900</v>
      </c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10"/>
        <v>900</v>
      </c>
      <c r="AI80" s="19">
        <f t="shared" si="11"/>
        <v>900</v>
      </c>
    </row>
    <row r="81" spans="1:37" ht="15.75" thickBot="1" x14ac:dyDescent="0.3">
      <c r="A81" s="87" t="s">
        <v>158</v>
      </c>
      <c r="B81" s="98">
        <f t="shared" ref="B81:AF81" si="13">B79+B80</f>
        <v>1261.3399999999999</v>
      </c>
      <c r="C81" s="98">
        <f t="shared" si="13"/>
        <v>1238.44</v>
      </c>
      <c r="D81" s="98">
        <f t="shared" si="13"/>
        <v>1183.54</v>
      </c>
      <c r="E81" s="98">
        <f t="shared" si="13"/>
        <v>1178.8399999999999</v>
      </c>
      <c r="F81" s="98">
        <f t="shared" si="13"/>
        <v>1240.94</v>
      </c>
      <c r="G81" s="98">
        <f t="shared" si="13"/>
        <v>1264.6399999999999</v>
      </c>
      <c r="H81" s="98">
        <f t="shared" si="13"/>
        <v>1276.8399999999999</v>
      </c>
      <c r="I81" s="98">
        <f t="shared" si="13"/>
        <v>1271.74</v>
      </c>
      <c r="J81" s="98">
        <f t="shared" si="13"/>
        <v>1268.1400000000001</v>
      </c>
      <c r="K81" s="98">
        <f t="shared" si="13"/>
        <v>1271.3400000000001</v>
      </c>
      <c r="L81" s="98">
        <f t="shared" si="13"/>
        <v>1248.8399999999999</v>
      </c>
      <c r="M81" s="98">
        <f t="shared" si="13"/>
        <v>1283.8399999999999</v>
      </c>
      <c r="N81" s="98">
        <f t="shared" si="13"/>
        <v>1268.2399999999998</v>
      </c>
      <c r="O81" s="98">
        <f t="shared" si="13"/>
        <v>1261.2399999999998</v>
      </c>
      <c r="P81" s="98">
        <f t="shared" si="13"/>
        <v>1222.8399999999999</v>
      </c>
      <c r="Q81" s="98">
        <f t="shared" si="13"/>
        <v>1209.74</v>
      </c>
      <c r="R81" s="98">
        <f t="shared" si="13"/>
        <v>1174.8399999999999</v>
      </c>
      <c r="S81" s="98">
        <f t="shared" si="13"/>
        <v>1135.6400000000001</v>
      </c>
      <c r="T81" s="98">
        <f t="shared" si="13"/>
        <v>1185.6399999999999</v>
      </c>
      <c r="U81" s="98">
        <f t="shared" si="13"/>
        <v>1183.6399999999999</v>
      </c>
      <c r="V81" s="98">
        <f t="shared" si="13"/>
        <v>1155.6399999999999</v>
      </c>
      <c r="W81" s="98">
        <f t="shared" si="13"/>
        <v>1169.3399999999999</v>
      </c>
      <c r="X81" s="98">
        <f t="shared" si="13"/>
        <v>1321.9399999999998</v>
      </c>
      <c r="Y81" s="98">
        <f t="shared" si="13"/>
        <v>1347.2399999999998</v>
      </c>
      <c r="Z81" s="98">
        <f t="shared" si="13"/>
        <v>1340.04</v>
      </c>
      <c r="AA81" s="98">
        <f t="shared" si="13"/>
        <v>1340.04</v>
      </c>
      <c r="AB81" s="98">
        <f t="shared" si="13"/>
        <v>1427.94</v>
      </c>
      <c r="AC81" s="98">
        <f t="shared" si="13"/>
        <v>1434.54</v>
      </c>
      <c r="AD81" s="98">
        <f t="shared" si="13"/>
        <v>1415.6399999999999</v>
      </c>
      <c r="AE81" s="98">
        <f t="shared" si="13"/>
        <v>1363.14</v>
      </c>
      <c r="AF81" s="98">
        <f t="shared" si="13"/>
        <v>1320.74</v>
      </c>
      <c r="AG81" s="85">
        <f>AG78+AG74+AG62+AG58+AG40+AG80</f>
        <v>1359.0900000000001</v>
      </c>
      <c r="AH81" s="20">
        <f t="shared" si="10"/>
        <v>1434.54</v>
      </c>
      <c r="AI81" s="19">
        <f t="shared" si="11"/>
        <v>1135.6400000000001</v>
      </c>
    </row>
    <row r="82" spans="1:37" ht="15.75" thickBot="1" x14ac:dyDescent="0.3">
      <c r="A82" s="87" t="s">
        <v>157</v>
      </c>
      <c r="B82" s="98">
        <f t="shared" ref="B82:AF82" si="14">B81-B89</f>
        <v>833.33999999999992</v>
      </c>
      <c r="C82" s="98">
        <f t="shared" si="14"/>
        <v>815.44</v>
      </c>
      <c r="D82" s="98">
        <f t="shared" si="14"/>
        <v>1183.54</v>
      </c>
      <c r="E82" s="98">
        <f t="shared" si="14"/>
        <v>808.83999999999992</v>
      </c>
      <c r="F82" s="98">
        <f t="shared" si="14"/>
        <v>815.34</v>
      </c>
      <c r="G82" s="98">
        <f t="shared" si="14"/>
        <v>847.63999999999987</v>
      </c>
      <c r="H82" s="98">
        <f t="shared" si="14"/>
        <v>851.83999999999992</v>
      </c>
      <c r="I82" s="98">
        <f t="shared" si="14"/>
        <v>850.94</v>
      </c>
      <c r="J82" s="98">
        <f t="shared" si="14"/>
        <v>893.1400000000001</v>
      </c>
      <c r="K82" s="98">
        <f t="shared" si="14"/>
        <v>843.34000000000015</v>
      </c>
      <c r="L82" s="98">
        <f t="shared" si="14"/>
        <v>833.83999999999992</v>
      </c>
      <c r="M82" s="98">
        <f t="shared" si="14"/>
        <v>868.83999999999992</v>
      </c>
      <c r="N82" s="98">
        <f t="shared" si="14"/>
        <v>863.23999999999978</v>
      </c>
      <c r="O82" s="98">
        <f t="shared" si="14"/>
        <v>867.23999999999978</v>
      </c>
      <c r="P82" s="98">
        <f t="shared" si="14"/>
        <v>822.83999999999992</v>
      </c>
      <c r="Q82" s="98">
        <f t="shared" si="14"/>
        <v>789.74</v>
      </c>
      <c r="R82" s="98">
        <f t="shared" si="14"/>
        <v>774.83999999999992</v>
      </c>
      <c r="S82" s="98">
        <f t="shared" si="14"/>
        <v>752.6400000000001</v>
      </c>
      <c r="T82" s="98">
        <f t="shared" si="14"/>
        <v>759.63999999999987</v>
      </c>
      <c r="U82" s="98">
        <f t="shared" si="14"/>
        <v>739.33999999999992</v>
      </c>
      <c r="V82" s="98">
        <f t="shared" si="14"/>
        <v>749.63999999999987</v>
      </c>
      <c r="W82" s="98">
        <f t="shared" si="14"/>
        <v>815.33999999999992</v>
      </c>
      <c r="X82" s="98">
        <f t="shared" si="14"/>
        <v>928.93999999999983</v>
      </c>
      <c r="Y82" s="98">
        <f t="shared" si="14"/>
        <v>980.23999999999978</v>
      </c>
      <c r="Z82" s="98">
        <f t="shared" si="14"/>
        <v>938.04</v>
      </c>
      <c r="AA82" s="98">
        <f t="shared" si="14"/>
        <v>918.04</v>
      </c>
      <c r="AB82" s="98">
        <f t="shared" si="14"/>
        <v>1021.94</v>
      </c>
      <c r="AC82" s="98">
        <f t="shared" si="14"/>
        <v>1024.54</v>
      </c>
      <c r="AD82" s="98">
        <f t="shared" si="14"/>
        <v>1008.8399999999999</v>
      </c>
      <c r="AE82" s="98">
        <f t="shared" si="14"/>
        <v>958.04000000000008</v>
      </c>
      <c r="AF82" s="98">
        <f t="shared" si="14"/>
        <v>913.84</v>
      </c>
      <c r="AG82" s="85"/>
      <c r="AH82" s="20">
        <f t="shared" si="10"/>
        <v>1183.54</v>
      </c>
      <c r="AI82" s="19">
        <f t="shared" si="11"/>
        <v>739.33999999999992</v>
      </c>
    </row>
    <row r="83" spans="1:37" x14ac:dyDescent="0.25">
      <c r="A83" s="97" t="s">
        <v>156</v>
      </c>
      <c r="B83" s="93">
        <f t="shared" ref="B83:AF83" si="15">IF(B66&lt;0,B66*-1,0)</f>
        <v>0</v>
      </c>
      <c r="C83" s="93">
        <f t="shared" si="15"/>
        <v>0</v>
      </c>
      <c r="D83" s="93">
        <f t="shared" si="15"/>
        <v>0</v>
      </c>
      <c r="E83" s="93">
        <f t="shared" si="15"/>
        <v>0</v>
      </c>
      <c r="F83" s="93">
        <f t="shared" si="15"/>
        <v>0</v>
      </c>
      <c r="G83" s="93">
        <f t="shared" si="15"/>
        <v>0</v>
      </c>
      <c r="H83" s="93">
        <f t="shared" si="15"/>
        <v>0</v>
      </c>
      <c r="I83" s="93">
        <f t="shared" si="15"/>
        <v>0</v>
      </c>
      <c r="J83" s="93">
        <f t="shared" si="15"/>
        <v>0</v>
      </c>
      <c r="K83" s="93">
        <f t="shared" si="15"/>
        <v>0</v>
      </c>
      <c r="L83" s="93">
        <f t="shared" si="15"/>
        <v>0</v>
      </c>
      <c r="M83" s="93">
        <f t="shared" si="15"/>
        <v>0</v>
      </c>
      <c r="N83" s="93">
        <f t="shared" si="15"/>
        <v>0</v>
      </c>
      <c r="O83" s="93">
        <f t="shared" si="15"/>
        <v>0</v>
      </c>
      <c r="P83" s="93">
        <f t="shared" si="15"/>
        <v>0</v>
      </c>
      <c r="Q83" s="93">
        <f t="shared" si="15"/>
        <v>0</v>
      </c>
      <c r="R83" s="93">
        <f t="shared" si="15"/>
        <v>0</v>
      </c>
      <c r="S83" s="93">
        <f t="shared" si="15"/>
        <v>0</v>
      </c>
      <c r="T83" s="93">
        <f t="shared" si="15"/>
        <v>0</v>
      </c>
      <c r="U83" s="93">
        <f t="shared" si="15"/>
        <v>0</v>
      </c>
      <c r="V83" s="93">
        <f t="shared" si="15"/>
        <v>0</v>
      </c>
      <c r="W83" s="93">
        <f t="shared" si="15"/>
        <v>0</v>
      </c>
      <c r="X83" s="93">
        <f t="shared" si="15"/>
        <v>0</v>
      </c>
      <c r="Y83" s="93">
        <f t="shared" si="15"/>
        <v>0</v>
      </c>
      <c r="Z83" s="93">
        <f t="shared" si="15"/>
        <v>0</v>
      </c>
      <c r="AA83" s="93">
        <f t="shared" si="15"/>
        <v>0</v>
      </c>
      <c r="AB83" s="93">
        <f t="shared" si="15"/>
        <v>0</v>
      </c>
      <c r="AC83" s="93">
        <f t="shared" si="15"/>
        <v>0</v>
      </c>
      <c r="AD83" s="93">
        <f t="shared" si="15"/>
        <v>0</v>
      </c>
      <c r="AE83" s="93">
        <f t="shared" si="15"/>
        <v>0</v>
      </c>
      <c r="AF83" s="93">
        <f t="shared" si="15"/>
        <v>0</v>
      </c>
      <c r="AG83" s="96"/>
      <c r="AH83" s="20">
        <f t="shared" si="10"/>
        <v>0</v>
      </c>
      <c r="AI83" s="19">
        <f t="shared" si="11"/>
        <v>0</v>
      </c>
    </row>
    <row r="84" spans="1:37" x14ac:dyDescent="0.25">
      <c r="A84" s="95" t="s">
        <v>155</v>
      </c>
      <c r="B84" s="93">
        <f t="shared" ref="B84:AF84" si="16">IF(B64&lt;0,B64*-1,0)</f>
        <v>0</v>
      </c>
      <c r="C84" s="93">
        <f t="shared" si="16"/>
        <v>0</v>
      </c>
      <c r="D84" s="93">
        <f t="shared" si="16"/>
        <v>0</v>
      </c>
      <c r="E84" s="93">
        <f t="shared" si="16"/>
        <v>0</v>
      </c>
      <c r="F84" s="93">
        <f t="shared" si="16"/>
        <v>0</v>
      </c>
      <c r="G84" s="93">
        <f t="shared" si="16"/>
        <v>0</v>
      </c>
      <c r="H84" s="93">
        <f t="shared" si="16"/>
        <v>0</v>
      </c>
      <c r="I84" s="93">
        <f t="shared" si="16"/>
        <v>0</v>
      </c>
      <c r="J84" s="93">
        <f t="shared" si="16"/>
        <v>0</v>
      </c>
      <c r="K84" s="93">
        <f t="shared" si="16"/>
        <v>0</v>
      </c>
      <c r="L84" s="93">
        <f t="shared" si="16"/>
        <v>0</v>
      </c>
      <c r="M84" s="93">
        <f t="shared" si="16"/>
        <v>0</v>
      </c>
      <c r="N84" s="93">
        <f t="shared" si="16"/>
        <v>0</v>
      </c>
      <c r="O84" s="93">
        <f t="shared" si="16"/>
        <v>0</v>
      </c>
      <c r="P84" s="93">
        <f t="shared" si="16"/>
        <v>0</v>
      </c>
      <c r="Q84" s="93">
        <f t="shared" si="16"/>
        <v>0</v>
      </c>
      <c r="R84" s="93">
        <f t="shared" si="16"/>
        <v>0</v>
      </c>
      <c r="S84" s="93">
        <f t="shared" si="16"/>
        <v>0</v>
      </c>
      <c r="T84" s="93">
        <f t="shared" si="16"/>
        <v>0</v>
      </c>
      <c r="U84" s="93">
        <f t="shared" si="16"/>
        <v>0</v>
      </c>
      <c r="V84" s="93">
        <f t="shared" si="16"/>
        <v>0</v>
      </c>
      <c r="W84" s="93">
        <f t="shared" si="16"/>
        <v>0</v>
      </c>
      <c r="X84" s="93">
        <f t="shared" si="16"/>
        <v>0</v>
      </c>
      <c r="Y84" s="93">
        <f t="shared" si="16"/>
        <v>0</v>
      </c>
      <c r="Z84" s="93">
        <f t="shared" si="16"/>
        <v>0</v>
      </c>
      <c r="AA84" s="93">
        <f t="shared" si="16"/>
        <v>0</v>
      </c>
      <c r="AB84" s="93">
        <f t="shared" si="16"/>
        <v>0</v>
      </c>
      <c r="AC84" s="93">
        <f t="shared" si="16"/>
        <v>0</v>
      </c>
      <c r="AD84" s="93">
        <f t="shared" si="16"/>
        <v>0</v>
      </c>
      <c r="AE84" s="93">
        <f t="shared" si="16"/>
        <v>0</v>
      </c>
      <c r="AF84" s="93">
        <f t="shared" si="16"/>
        <v>0</v>
      </c>
      <c r="AG84" s="94"/>
      <c r="AH84" s="20">
        <f t="shared" si="10"/>
        <v>0</v>
      </c>
      <c r="AI84" s="19">
        <f t="shared" si="11"/>
        <v>0</v>
      </c>
    </row>
    <row r="85" spans="1:37" x14ac:dyDescent="0.25">
      <c r="A85" s="91" t="s">
        <v>154</v>
      </c>
      <c r="B85" s="93">
        <f t="shared" ref="B85:AF85" si="17">IF(B67&lt;0,B67*-1,0)</f>
        <v>0</v>
      </c>
      <c r="C85" s="93">
        <f t="shared" si="17"/>
        <v>0</v>
      </c>
      <c r="D85" s="93">
        <f t="shared" si="17"/>
        <v>0</v>
      </c>
      <c r="E85" s="93">
        <f t="shared" si="17"/>
        <v>0</v>
      </c>
      <c r="F85" s="93">
        <f t="shared" si="17"/>
        <v>0</v>
      </c>
      <c r="G85" s="93">
        <f t="shared" si="17"/>
        <v>0</v>
      </c>
      <c r="H85" s="93">
        <f t="shared" si="17"/>
        <v>0</v>
      </c>
      <c r="I85" s="93">
        <f t="shared" si="17"/>
        <v>0</v>
      </c>
      <c r="J85" s="93">
        <f t="shared" si="17"/>
        <v>0</v>
      </c>
      <c r="K85" s="93">
        <f t="shared" si="17"/>
        <v>0</v>
      </c>
      <c r="L85" s="93">
        <f t="shared" si="17"/>
        <v>0</v>
      </c>
      <c r="M85" s="93">
        <f t="shared" si="17"/>
        <v>0</v>
      </c>
      <c r="N85" s="93">
        <f t="shared" si="17"/>
        <v>0</v>
      </c>
      <c r="O85" s="93">
        <f t="shared" si="17"/>
        <v>0</v>
      </c>
      <c r="P85" s="93">
        <f t="shared" si="17"/>
        <v>0</v>
      </c>
      <c r="Q85" s="93">
        <f t="shared" si="17"/>
        <v>0</v>
      </c>
      <c r="R85" s="93">
        <f t="shared" si="17"/>
        <v>0</v>
      </c>
      <c r="S85" s="93">
        <f t="shared" si="17"/>
        <v>0</v>
      </c>
      <c r="T85" s="93">
        <f t="shared" si="17"/>
        <v>0</v>
      </c>
      <c r="U85" s="93">
        <f t="shared" si="17"/>
        <v>0</v>
      </c>
      <c r="V85" s="93">
        <f t="shared" si="17"/>
        <v>0</v>
      </c>
      <c r="W85" s="93">
        <f t="shared" si="17"/>
        <v>0</v>
      </c>
      <c r="X85" s="93">
        <f t="shared" si="17"/>
        <v>0</v>
      </c>
      <c r="Y85" s="93">
        <f t="shared" si="17"/>
        <v>0</v>
      </c>
      <c r="Z85" s="93">
        <f t="shared" si="17"/>
        <v>0</v>
      </c>
      <c r="AA85" s="93">
        <f t="shared" si="17"/>
        <v>0</v>
      </c>
      <c r="AB85" s="93">
        <f t="shared" si="17"/>
        <v>0</v>
      </c>
      <c r="AC85" s="93">
        <f t="shared" si="17"/>
        <v>0</v>
      </c>
      <c r="AD85" s="93">
        <f t="shared" si="17"/>
        <v>0</v>
      </c>
      <c r="AE85" s="93">
        <f t="shared" si="17"/>
        <v>0</v>
      </c>
      <c r="AF85" s="93">
        <f t="shared" si="17"/>
        <v>0</v>
      </c>
      <c r="AG85" s="92"/>
      <c r="AH85" s="20">
        <f t="shared" si="10"/>
        <v>0</v>
      </c>
      <c r="AI85" s="19">
        <f t="shared" si="11"/>
        <v>0</v>
      </c>
    </row>
    <row r="86" spans="1:37" x14ac:dyDescent="0.25">
      <c r="A86" s="91" t="s">
        <v>153</v>
      </c>
      <c r="B86" s="93">
        <f t="shared" ref="B86:AF86" si="18">IF(B65&lt;0,B65*-1,0)</f>
        <v>428</v>
      </c>
      <c r="C86" s="93">
        <f t="shared" si="18"/>
        <v>423</v>
      </c>
      <c r="D86" s="93">
        <f t="shared" si="18"/>
        <v>0</v>
      </c>
      <c r="E86" s="93">
        <f t="shared" si="18"/>
        <v>370</v>
      </c>
      <c r="F86" s="93">
        <f t="shared" si="18"/>
        <v>425.6</v>
      </c>
      <c r="G86" s="93">
        <f t="shared" si="18"/>
        <v>417</v>
      </c>
      <c r="H86" s="93">
        <f t="shared" si="18"/>
        <v>425</v>
      </c>
      <c r="I86" s="93">
        <f t="shared" si="18"/>
        <v>420.8</v>
      </c>
      <c r="J86" s="93">
        <f t="shared" si="18"/>
        <v>375</v>
      </c>
      <c r="K86" s="93">
        <f t="shared" si="18"/>
        <v>428</v>
      </c>
      <c r="L86" s="93">
        <f t="shared" si="18"/>
        <v>415</v>
      </c>
      <c r="M86" s="93">
        <f t="shared" si="18"/>
        <v>415</v>
      </c>
      <c r="N86" s="93">
        <f t="shared" si="18"/>
        <v>405</v>
      </c>
      <c r="O86" s="93">
        <f t="shared" si="18"/>
        <v>394</v>
      </c>
      <c r="P86" s="93">
        <f t="shared" si="18"/>
        <v>400</v>
      </c>
      <c r="Q86" s="93">
        <f t="shared" si="18"/>
        <v>420</v>
      </c>
      <c r="R86" s="93">
        <f t="shared" si="18"/>
        <v>400</v>
      </c>
      <c r="S86" s="93">
        <f t="shared" si="18"/>
        <v>383</v>
      </c>
      <c r="T86" s="93">
        <f t="shared" si="18"/>
        <v>426</v>
      </c>
      <c r="U86" s="93">
        <f t="shared" si="18"/>
        <v>444.3</v>
      </c>
      <c r="V86" s="93">
        <f t="shared" si="18"/>
        <v>406</v>
      </c>
      <c r="W86" s="93">
        <f t="shared" si="18"/>
        <v>354</v>
      </c>
      <c r="X86" s="93">
        <f t="shared" si="18"/>
        <v>393</v>
      </c>
      <c r="Y86" s="93">
        <f t="shared" si="18"/>
        <v>367</v>
      </c>
      <c r="Z86" s="93">
        <f t="shared" si="18"/>
        <v>402</v>
      </c>
      <c r="AA86" s="93">
        <f t="shared" si="18"/>
        <v>422</v>
      </c>
      <c r="AB86" s="93">
        <f t="shared" si="18"/>
        <v>406</v>
      </c>
      <c r="AC86" s="93">
        <f t="shared" si="18"/>
        <v>410</v>
      </c>
      <c r="AD86" s="93">
        <f t="shared" si="18"/>
        <v>406.8</v>
      </c>
      <c r="AE86" s="93">
        <f t="shared" si="18"/>
        <v>405.1</v>
      </c>
      <c r="AF86" s="93">
        <f t="shared" si="18"/>
        <v>406.9</v>
      </c>
      <c r="AG86" s="92"/>
      <c r="AH86" s="20">
        <f t="shared" si="10"/>
        <v>444.3</v>
      </c>
      <c r="AI86" s="19">
        <f t="shared" si="11"/>
        <v>0</v>
      </c>
    </row>
    <row r="87" spans="1:37" x14ac:dyDescent="0.25">
      <c r="A87" s="91" t="s">
        <v>152</v>
      </c>
      <c r="B87" s="93">
        <f t="shared" ref="B87:AF87" si="19">IF(B63&lt;0,B63*-1,0)</f>
        <v>0</v>
      </c>
      <c r="C87" s="93">
        <f t="shared" si="19"/>
        <v>0</v>
      </c>
      <c r="D87" s="93">
        <f t="shared" si="19"/>
        <v>0</v>
      </c>
      <c r="E87" s="93">
        <f t="shared" si="19"/>
        <v>0</v>
      </c>
      <c r="F87" s="93">
        <f t="shared" si="19"/>
        <v>0</v>
      </c>
      <c r="G87" s="93">
        <f t="shared" si="19"/>
        <v>0</v>
      </c>
      <c r="H87" s="93">
        <f t="shared" si="19"/>
        <v>0</v>
      </c>
      <c r="I87" s="93">
        <f t="shared" si="19"/>
        <v>0</v>
      </c>
      <c r="J87" s="93">
        <f t="shared" si="19"/>
        <v>0</v>
      </c>
      <c r="K87" s="93">
        <f t="shared" si="19"/>
        <v>0</v>
      </c>
      <c r="L87" s="93">
        <f t="shared" si="19"/>
        <v>0</v>
      </c>
      <c r="M87" s="93">
        <f t="shared" si="19"/>
        <v>0</v>
      </c>
      <c r="N87" s="93">
        <f t="shared" si="19"/>
        <v>0</v>
      </c>
      <c r="O87" s="93">
        <f t="shared" si="19"/>
        <v>0</v>
      </c>
      <c r="P87" s="93">
        <f t="shared" si="19"/>
        <v>0</v>
      </c>
      <c r="Q87" s="93">
        <f t="shared" si="19"/>
        <v>0</v>
      </c>
      <c r="R87" s="93">
        <f t="shared" si="19"/>
        <v>0</v>
      </c>
      <c r="S87" s="93">
        <f t="shared" si="19"/>
        <v>0</v>
      </c>
      <c r="T87" s="93">
        <f t="shared" si="19"/>
        <v>0</v>
      </c>
      <c r="U87" s="93">
        <f t="shared" si="19"/>
        <v>0</v>
      </c>
      <c r="V87" s="93">
        <f t="shared" si="19"/>
        <v>0</v>
      </c>
      <c r="W87" s="93">
        <f t="shared" si="19"/>
        <v>0</v>
      </c>
      <c r="X87" s="93">
        <f t="shared" si="19"/>
        <v>0</v>
      </c>
      <c r="Y87" s="93">
        <f t="shared" si="19"/>
        <v>0</v>
      </c>
      <c r="Z87" s="93">
        <f t="shared" si="19"/>
        <v>0</v>
      </c>
      <c r="AA87" s="93">
        <f t="shared" si="19"/>
        <v>0</v>
      </c>
      <c r="AB87" s="93">
        <f t="shared" si="19"/>
        <v>0</v>
      </c>
      <c r="AC87" s="93">
        <f t="shared" si="19"/>
        <v>0</v>
      </c>
      <c r="AD87" s="93">
        <f t="shared" si="19"/>
        <v>0</v>
      </c>
      <c r="AE87" s="93">
        <f t="shared" si="19"/>
        <v>0</v>
      </c>
      <c r="AF87" s="93">
        <f t="shared" si="19"/>
        <v>0</v>
      </c>
      <c r="AG87" s="92"/>
      <c r="AH87" s="20">
        <f t="shared" si="10"/>
        <v>0</v>
      </c>
      <c r="AI87" s="19">
        <f t="shared" si="11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10"/>
        <v>0</v>
      </c>
      <c r="AI88" s="19">
        <f t="shared" si="11"/>
        <v>0</v>
      </c>
    </row>
    <row r="89" spans="1:37" ht="15.75" thickBot="1" x14ac:dyDescent="0.3">
      <c r="A89" s="88" t="s">
        <v>150</v>
      </c>
      <c r="B89" s="86">
        <f t="shared" ref="B89:AF89" si="20">SUM(B83:B88)</f>
        <v>428</v>
      </c>
      <c r="C89" s="86">
        <f t="shared" si="20"/>
        <v>423</v>
      </c>
      <c r="D89" s="86">
        <f t="shared" si="20"/>
        <v>0</v>
      </c>
      <c r="E89" s="86">
        <f t="shared" si="20"/>
        <v>370</v>
      </c>
      <c r="F89" s="86">
        <f t="shared" si="20"/>
        <v>425.6</v>
      </c>
      <c r="G89" s="86">
        <f t="shared" si="20"/>
        <v>417</v>
      </c>
      <c r="H89" s="86">
        <f t="shared" si="20"/>
        <v>425</v>
      </c>
      <c r="I89" s="86">
        <f t="shared" si="20"/>
        <v>420.8</v>
      </c>
      <c r="J89" s="86">
        <f t="shared" si="20"/>
        <v>375</v>
      </c>
      <c r="K89" s="86">
        <f t="shared" si="20"/>
        <v>428</v>
      </c>
      <c r="L89" s="86">
        <f t="shared" si="20"/>
        <v>415</v>
      </c>
      <c r="M89" s="86">
        <f t="shared" si="20"/>
        <v>415</v>
      </c>
      <c r="N89" s="86">
        <f t="shared" si="20"/>
        <v>405</v>
      </c>
      <c r="O89" s="86">
        <f t="shared" si="20"/>
        <v>394</v>
      </c>
      <c r="P89" s="86">
        <f t="shared" si="20"/>
        <v>400</v>
      </c>
      <c r="Q89" s="86">
        <f t="shared" si="20"/>
        <v>420</v>
      </c>
      <c r="R89" s="86">
        <f t="shared" si="20"/>
        <v>400</v>
      </c>
      <c r="S89" s="86">
        <f t="shared" si="20"/>
        <v>383</v>
      </c>
      <c r="T89" s="86">
        <f t="shared" si="20"/>
        <v>426</v>
      </c>
      <c r="U89" s="86">
        <f t="shared" si="20"/>
        <v>444.3</v>
      </c>
      <c r="V89" s="86">
        <f t="shared" si="20"/>
        <v>406</v>
      </c>
      <c r="W89" s="86">
        <f t="shared" si="20"/>
        <v>354</v>
      </c>
      <c r="X89" s="86">
        <f t="shared" si="20"/>
        <v>393</v>
      </c>
      <c r="Y89" s="86">
        <f t="shared" si="20"/>
        <v>367</v>
      </c>
      <c r="Z89" s="86">
        <f t="shared" si="20"/>
        <v>402</v>
      </c>
      <c r="AA89" s="86">
        <f t="shared" si="20"/>
        <v>422</v>
      </c>
      <c r="AB89" s="86">
        <f t="shared" si="20"/>
        <v>406</v>
      </c>
      <c r="AC89" s="86">
        <f t="shared" si="20"/>
        <v>410</v>
      </c>
      <c r="AD89" s="86">
        <f t="shared" si="20"/>
        <v>406.8</v>
      </c>
      <c r="AE89" s="86">
        <f t="shared" si="20"/>
        <v>405.1</v>
      </c>
      <c r="AF89" s="86">
        <f t="shared" si="20"/>
        <v>406.9</v>
      </c>
      <c r="AG89" s="85"/>
      <c r="AH89" s="20">
        <f t="shared" si="10"/>
        <v>444.3</v>
      </c>
      <c r="AI89" s="19">
        <f t="shared" si="11"/>
        <v>0</v>
      </c>
      <c r="AK89" s="41"/>
    </row>
    <row r="90" spans="1:37" ht="15.75" thickBot="1" x14ac:dyDescent="0.3">
      <c r="A90" s="87" t="s">
        <v>149</v>
      </c>
      <c r="B90" s="86">
        <f t="shared" ref="B90:AF90" si="21">B74-B89</f>
        <v>-412</v>
      </c>
      <c r="C90" s="86">
        <f t="shared" si="21"/>
        <v>-409</v>
      </c>
      <c r="D90" s="86">
        <f t="shared" si="21"/>
        <v>0</v>
      </c>
      <c r="E90" s="86">
        <f t="shared" si="21"/>
        <v>-366</v>
      </c>
      <c r="F90" s="86">
        <f t="shared" si="21"/>
        <v>-421.6</v>
      </c>
      <c r="G90" s="86">
        <f t="shared" si="21"/>
        <v>-413</v>
      </c>
      <c r="H90" s="86">
        <f t="shared" si="21"/>
        <v>-425</v>
      </c>
      <c r="I90" s="86">
        <f t="shared" si="21"/>
        <v>-420.8</v>
      </c>
      <c r="J90" s="86">
        <f t="shared" si="21"/>
        <v>-375</v>
      </c>
      <c r="K90" s="86">
        <f t="shared" si="21"/>
        <v>-428</v>
      </c>
      <c r="L90" s="86">
        <f t="shared" si="21"/>
        <v>-415</v>
      </c>
      <c r="M90" s="86">
        <f t="shared" si="21"/>
        <v>-415</v>
      </c>
      <c r="N90" s="86">
        <f t="shared" si="21"/>
        <v>-405</v>
      </c>
      <c r="O90" s="86">
        <f t="shared" si="21"/>
        <v>-394</v>
      </c>
      <c r="P90" s="86">
        <f t="shared" si="21"/>
        <v>-400</v>
      </c>
      <c r="Q90" s="86">
        <f t="shared" si="21"/>
        <v>-420</v>
      </c>
      <c r="R90" s="86">
        <f t="shared" si="21"/>
        <v>-400</v>
      </c>
      <c r="S90" s="86">
        <f t="shared" si="21"/>
        <v>-383</v>
      </c>
      <c r="T90" s="86">
        <f t="shared" si="21"/>
        <v>-426</v>
      </c>
      <c r="U90" s="86">
        <f t="shared" si="21"/>
        <v>-444.3</v>
      </c>
      <c r="V90" s="86">
        <f t="shared" si="21"/>
        <v>-406</v>
      </c>
      <c r="W90" s="86">
        <f t="shared" si="21"/>
        <v>-354</v>
      </c>
      <c r="X90" s="86">
        <f t="shared" si="21"/>
        <v>-393</v>
      </c>
      <c r="Y90" s="86">
        <f t="shared" si="21"/>
        <v>-367</v>
      </c>
      <c r="Z90" s="86">
        <f t="shared" si="21"/>
        <v>-394</v>
      </c>
      <c r="AA90" s="86">
        <f t="shared" si="21"/>
        <v>-414</v>
      </c>
      <c r="AB90" s="86">
        <f t="shared" si="21"/>
        <v>-406</v>
      </c>
      <c r="AC90" s="86">
        <f t="shared" si="21"/>
        <v>-410</v>
      </c>
      <c r="AD90" s="86">
        <f t="shared" si="21"/>
        <v>-406.8</v>
      </c>
      <c r="AE90" s="86">
        <f t="shared" si="21"/>
        <v>-405.1</v>
      </c>
      <c r="AF90" s="86">
        <f t="shared" si="21"/>
        <v>-406.9</v>
      </c>
      <c r="AG90" s="85"/>
      <c r="AH90" s="20">
        <f t="shared" si="10"/>
        <v>0</v>
      </c>
      <c r="AI90" s="19">
        <f t="shared" si="11"/>
        <v>-444.3</v>
      </c>
    </row>
    <row r="91" spans="1:37" x14ac:dyDescent="0.25">
      <c r="A91" s="47" t="s">
        <v>148</v>
      </c>
      <c r="B91" s="84">
        <v>50</v>
      </c>
      <c r="C91" s="84">
        <v>49.97</v>
      </c>
      <c r="D91" s="84"/>
      <c r="E91" s="84">
        <v>50.006999999999998</v>
      </c>
      <c r="F91" s="84">
        <v>50.021000000000001</v>
      </c>
      <c r="G91" s="84">
        <v>49.954999999999998</v>
      </c>
      <c r="H91" s="84">
        <v>50.064999999999998</v>
      </c>
      <c r="I91" s="84">
        <v>49.99</v>
      </c>
      <c r="J91" s="84">
        <v>50.01</v>
      </c>
      <c r="K91" s="84">
        <v>50.02</v>
      </c>
      <c r="L91" s="84">
        <v>50.027999999999999</v>
      </c>
      <c r="M91" s="84">
        <v>50.05</v>
      </c>
      <c r="N91" s="84">
        <v>50.05</v>
      </c>
      <c r="O91" s="84">
        <v>50.02</v>
      </c>
      <c r="P91" s="84">
        <v>49.96</v>
      </c>
      <c r="Q91" s="84">
        <v>49.954000000000001</v>
      </c>
      <c r="R91" s="84">
        <v>49.893000000000001</v>
      </c>
      <c r="S91" s="84">
        <v>49.98</v>
      </c>
      <c r="T91" s="84">
        <v>49.972999999999999</v>
      </c>
      <c r="U91" s="84">
        <v>49.884999999999998</v>
      </c>
      <c r="V91" s="84">
        <v>50.006999999999998</v>
      </c>
      <c r="W91" s="84">
        <v>50.03</v>
      </c>
      <c r="X91" s="84">
        <v>50.03</v>
      </c>
      <c r="Y91" s="84">
        <v>50.02</v>
      </c>
      <c r="Z91" s="84">
        <v>50.01</v>
      </c>
      <c r="AA91" s="84">
        <v>49.987000000000002</v>
      </c>
      <c r="AB91" s="84">
        <v>49.914000000000001</v>
      </c>
      <c r="AC91" s="84">
        <v>49.96</v>
      </c>
      <c r="AD91" s="84">
        <v>49.838999999999999</v>
      </c>
      <c r="AE91" s="84">
        <v>49.98</v>
      </c>
      <c r="AF91" s="84">
        <v>50.03</v>
      </c>
      <c r="AG91" s="83"/>
      <c r="AH91" s="20">
        <f t="shared" si="10"/>
        <v>50.064999999999998</v>
      </c>
      <c r="AI91" s="19">
        <f t="shared" si="11"/>
        <v>49.838999999999999</v>
      </c>
    </row>
    <row r="92" spans="1:37" x14ac:dyDescent="0.25">
      <c r="A92" s="44" t="s">
        <v>147</v>
      </c>
      <c r="B92" s="80">
        <v>129</v>
      </c>
      <c r="C92" s="80">
        <v>130</v>
      </c>
      <c r="D92" s="80"/>
      <c r="E92" s="80">
        <v>130.30000000000001</v>
      </c>
      <c r="F92" s="80">
        <v>130.6</v>
      </c>
      <c r="G92" s="80">
        <v>130.19999999999999</v>
      </c>
      <c r="H92" s="80">
        <v>129.80000000000001</v>
      </c>
      <c r="I92" s="80">
        <v>129.4</v>
      </c>
      <c r="J92" s="80">
        <v>128.5</v>
      </c>
      <c r="K92" s="80">
        <v>128.5</v>
      </c>
      <c r="L92" s="80">
        <v>127.5</v>
      </c>
      <c r="M92" s="80">
        <v>127</v>
      </c>
      <c r="N92" s="80">
        <v>127</v>
      </c>
      <c r="O92" s="80">
        <v>129</v>
      </c>
      <c r="P92" s="80">
        <v>129.30000000000001</v>
      </c>
      <c r="Q92" s="80">
        <v>129.19999999999999</v>
      </c>
      <c r="R92" s="80">
        <v>129.6</v>
      </c>
      <c r="S92" s="80">
        <v>129.4</v>
      </c>
      <c r="T92" s="80">
        <v>129</v>
      </c>
      <c r="U92" s="80">
        <v>129</v>
      </c>
      <c r="V92" s="80">
        <v>129.69999999999999</v>
      </c>
      <c r="W92" s="80">
        <v>129.5</v>
      </c>
      <c r="X92" s="80">
        <v>129.5</v>
      </c>
      <c r="Y92" s="80">
        <v>127.7</v>
      </c>
      <c r="Z92" s="80">
        <v>127.7</v>
      </c>
      <c r="AA92" s="80">
        <v>127.8</v>
      </c>
      <c r="AB92" s="80">
        <v>127.5</v>
      </c>
      <c r="AC92" s="80">
        <v>127.5</v>
      </c>
      <c r="AD92" s="80">
        <v>127.7</v>
      </c>
      <c r="AE92" s="80">
        <v>128.1</v>
      </c>
      <c r="AF92" s="80">
        <v>128.69999999999999</v>
      </c>
      <c r="AG92" s="79"/>
      <c r="AH92" s="20">
        <f t="shared" si="10"/>
        <v>130.6</v>
      </c>
      <c r="AI92" s="19">
        <f t="shared" si="11"/>
        <v>127</v>
      </c>
    </row>
    <row r="93" spans="1:37" x14ac:dyDescent="0.25">
      <c r="A93" s="44" t="s">
        <v>146</v>
      </c>
      <c r="B93" s="80">
        <v>132.5</v>
      </c>
      <c r="C93" s="80">
        <v>133</v>
      </c>
      <c r="D93" s="80"/>
      <c r="E93" s="80">
        <v>134</v>
      </c>
      <c r="F93" s="80">
        <v>134.1</v>
      </c>
      <c r="G93" s="80">
        <v>133.80000000000001</v>
      </c>
      <c r="H93" s="80">
        <v>133.1</v>
      </c>
      <c r="I93" s="80">
        <v>132.9</v>
      </c>
      <c r="J93" s="80">
        <v>131.6</v>
      </c>
      <c r="K93" s="80">
        <v>131.9</v>
      </c>
      <c r="L93" s="80">
        <v>129.9</v>
      </c>
      <c r="M93" s="80">
        <v>130</v>
      </c>
      <c r="N93" s="80">
        <v>130</v>
      </c>
      <c r="O93" s="80">
        <v>131</v>
      </c>
      <c r="P93" s="80">
        <v>131.6</v>
      </c>
      <c r="Q93" s="80">
        <v>131.69999999999999</v>
      </c>
      <c r="R93" s="80">
        <v>132.30000000000001</v>
      </c>
      <c r="S93" s="80">
        <v>132.1</v>
      </c>
      <c r="T93" s="80">
        <v>132</v>
      </c>
      <c r="U93" s="80">
        <v>131.80000000000001</v>
      </c>
      <c r="V93" s="80">
        <v>132.30000000000001</v>
      </c>
      <c r="W93" s="80">
        <v>131.9</v>
      </c>
      <c r="X93" s="80">
        <v>131.9</v>
      </c>
      <c r="Y93" s="80">
        <v>130.6</v>
      </c>
      <c r="Z93" s="80">
        <v>130.6</v>
      </c>
      <c r="AA93" s="80">
        <v>130.80000000000001</v>
      </c>
      <c r="AB93" s="80">
        <v>130.6</v>
      </c>
      <c r="AC93" s="80">
        <v>130.9</v>
      </c>
      <c r="AD93" s="80">
        <v>131.19999999999999</v>
      </c>
      <c r="AE93" s="80">
        <v>132</v>
      </c>
      <c r="AF93" s="80">
        <v>132.30000000000001</v>
      </c>
      <c r="AG93" s="79"/>
      <c r="AH93" s="20">
        <f t="shared" si="10"/>
        <v>134.1</v>
      </c>
      <c r="AI93" s="19">
        <f t="shared" si="11"/>
        <v>129.9</v>
      </c>
    </row>
    <row r="94" spans="1:37" x14ac:dyDescent="0.25">
      <c r="A94" s="44" t="s">
        <v>145</v>
      </c>
      <c r="B94" s="80">
        <v>132</v>
      </c>
      <c r="C94" s="80">
        <v>132</v>
      </c>
      <c r="D94" s="80"/>
      <c r="E94" s="80">
        <v>135</v>
      </c>
      <c r="F94" s="80">
        <v>134.5</v>
      </c>
      <c r="G94" s="80">
        <v>133.30000000000001</v>
      </c>
      <c r="H94" s="80">
        <v>133.30000000000001</v>
      </c>
      <c r="I94" s="80">
        <v>133.1</v>
      </c>
      <c r="J94" s="80">
        <v>132.30000000000001</v>
      </c>
      <c r="K94" s="80">
        <v>131.9</v>
      </c>
      <c r="L94" s="80">
        <v>131.9</v>
      </c>
      <c r="M94" s="80">
        <v>131</v>
      </c>
      <c r="N94" s="80">
        <v>131</v>
      </c>
      <c r="O94" s="80">
        <v>131</v>
      </c>
      <c r="P94" s="80">
        <v>130.19999999999999</v>
      </c>
      <c r="Q94" s="80">
        <v>129.69999999999999</v>
      </c>
      <c r="R94" s="80">
        <v>131.9</v>
      </c>
      <c r="S94" s="80">
        <v>130.19999999999999</v>
      </c>
      <c r="T94" s="80">
        <v>129.6</v>
      </c>
      <c r="U94" s="80">
        <v>130</v>
      </c>
      <c r="V94" s="80">
        <v>130.69999999999999</v>
      </c>
      <c r="W94" s="80">
        <v>131.9</v>
      </c>
      <c r="X94" s="80">
        <v>131.9</v>
      </c>
      <c r="Y94" s="80">
        <v>131.9</v>
      </c>
      <c r="Z94" s="80">
        <v>131.4</v>
      </c>
      <c r="AA94" s="80">
        <v>131.9</v>
      </c>
      <c r="AB94" s="80">
        <v>131.69999999999999</v>
      </c>
      <c r="AC94" s="80">
        <v>132.30000000000001</v>
      </c>
      <c r="AD94" s="80">
        <v>131.9</v>
      </c>
      <c r="AE94" s="80">
        <v>131.9</v>
      </c>
      <c r="AF94" s="80">
        <v>129.80000000000001</v>
      </c>
      <c r="AG94" s="79"/>
      <c r="AH94" s="20">
        <f t="shared" si="10"/>
        <v>135</v>
      </c>
      <c r="AI94" s="19">
        <f t="shared" si="11"/>
        <v>129.6</v>
      </c>
    </row>
    <row r="95" spans="1:37" x14ac:dyDescent="0.25">
      <c r="A95" s="82" t="s">
        <v>144</v>
      </c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79"/>
      <c r="AH95" s="20">
        <f t="shared" si="10"/>
        <v>0</v>
      </c>
      <c r="AI95" s="19">
        <f t="shared" si="11"/>
        <v>0</v>
      </c>
    </row>
    <row r="96" spans="1:37" x14ac:dyDescent="0.25">
      <c r="A96" s="82" t="s">
        <v>143</v>
      </c>
      <c r="B96" s="66">
        <v>130</v>
      </c>
      <c r="C96" s="66">
        <v>131</v>
      </c>
      <c r="D96" s="66"/>
      <c r="E96" s="66">
        <v>129.19999999999999</v>
      </c>
      <c r="F96" s="66">
        <v>130.4</v>
      </c>
      <c r="G96" s="66">
        <v>128.4</v>
      </c>
      <c r="H96" s="66">
        <v>128.30000000000001</v>
      </c>
      <c r="I96" s="66">
        <v>129.19999999999999</v>
      </c>
      <c r="J96" s="66">
        <v>128.5</v>
      </c>
      <c r="K96" s="66">
        <v>129.19999999999999</v>
      </c>
      <c r="L96" s="66">
        <v>127.1</v>
      </c>
      <c r="M96" s="66">
        <v>131.6</v>
      </c>
      <c r="N96" s="66">
        <v>131.6</v>
      </c>
      <c r="O96" s="66">
        <v>130.30000000000001</v>
      </c>
      <c r="P96" s="66">
        <v>132.6</v>
      </c>
      <c r="Q96" s="66">
        <v>132.6</v>
      </c>
      <c r="R96" s="66">
        <v>133.80000000000001</v>
      </c>
      <c r="S96" s="66">
        <v>134.19999999999999</v>
      </c>
      <c r="T96" s="66">
        <v>133.69999999999999</v>
      </c>
      <c r="U96" s="66">
        <v>132.80000000000001</v>
      </c>
      <c r="V96" s="66">
        <v>132.6</v>
      </c>
      <c r="W96" s="66">
        <v>130.9</v>
      </c>
      <c r="X96" s="66">
        <v>130.9</v>
      </c>
      <c r="Y96" s="66">
        <v>128.1</v>
      </c>
      <c r="Z96" s="66">
        <v>129.69999999999999</v>
      </c>
      <c r="AA96" s="66">
        <v>129.5</v>
      </c>
      <c r="AB96" s="66">
        <v>130.1</v>
      </c>
      <c r="AC96" s="66">
        <v>131.4</v>
      </c>
      <c r="AD96" s="66">
        <v>131.19999999999999</v>
      </c>
      <c r="AE96" s="66">
        <v>131.19999999999999</v>
      </c>
      <c r="AF96" s="66">
        <v>134.5</v>
      </c>
      <c r="AG96" s="81"/>
      <c r="AH96" s="20">
        <f t="shared" si="10"/>
        <v>134.5</v>
      </c>
      <c r="AI96" s="19">
        <f t="shared" si="11"/>
        <v>127.1</v>
      </c>
    </row>
    <row r="97" spans="1:37" x14ac:dyDescent="0.25">
      <c r="A97" s="44" t="s">
        <v>142</v>
      </c>
      <c r="B97" s="80">
        <v>133</v>
      </c>
      <c r="C97" s="80">
        <v>133</v>
      </c>
      <c r="D97" s="80"/>
      <c r="E97" s="80">
        <v>132</v>
      </c>
      <c r="F97" s="80">
        <v>133.1</v>
      </c>
      <c r="G97" s="80">
        <v>127.7</v>
      </c>
      <c r="H97" s="80">
        <v>127.9</v>
      </c>
      <c r="I97" s="80">
        <v>130.1</v>
      </c>
      <c r="J97" s="80">
        <v>130.19999999999999</v>
      </c>
      <c r="K97" s="80">
        <v>131</v>
      </c>
      <c r="L97" s="80">
        <v>128.6</v>
      </c>
      <c r="M97" s="80">
        <v>132</v>
      </c>
      <c r="N97" s="80">
        <v>132</v>
      </c>
      <c r="O97" s="80">
        <v>133</v>
      </c>
      <c r="P97" s="80">
        <v>134.6</v>
      </c>
      <c r="Q97" s="80">
        <v>134.19999999999999</v>
      </c>
      <c r="R97" s="80">
        <v>135.5</v>
      </c>
      <c r="S97" s="80">
        <v>136.30000000000001</v>
      </c>
      <c r="T97" s="80">
        <v>135.6</v>
      </c>
      <c r="U97" s="80">
        <v>134.80000000000001</v>
      </c>
      <c r="V97" s="80">
        <v>134.69999999999999</v>
      </c>
      <c r="W97" s="80">
        <v>132.80000000000001</v>
      </c>
      <c r="X97" s="80">
        <v>132.80000000000001</v>
      </c>
      <c r="Y97" s="80">
        <v>132.80000000000001</v>
      </c>
      <c r="Z97" s="80">
        <v>132.4</v>
      </c>
      <c r="AA97" s="80">
        <v>131.1</v>
      </c>
      <c r="AB97" s="80">
        <v>131.30000000000001</v>
      </c>
      <c r="AC97" s="80">
        <v>133</v>
      </c>
      <c r="AD97" s="80">
        <v>132.9</v>
      </c>
      <c r="AE97" s="80">
        <v>132.9</v>
      </c>
      <c r="AF97" s="80">
        <v>136.19999999999999</v>
      </c>
      <c r="AG97" s="79"/>
      <c r="AH97" s="20">
        <f t="shared" si="10"/>
        <v>136.30000000000001</v>
      </c>
      <c r="AI97" s="19">
        <f t="shared" si="11"/>
        <v>127.7</v>
      </c>
    </row>
    <row r="98" spans="1:37" ht="15.75" thickBot="1" x14ac:dyDescent="0.3">
      <c r="A98" s="44" t="s">
        <v>141</v>
      </c>
      <c r="B98" s="77">
        <v>66.900000000000006</v>
      </c>
      <c r="C98" s="77">
        <v>67</v>
      </c>
      <c r="D98" s="77"/>
      <c r="E98" s="77">
        <v>67.599999999999994</v>
      </c>
      <c r="F98" s="77">
        <v>67.5</v>
      </c>
      <c r="G98" s="77">
        <v>67</v>
      </c>
      <c r="H98" s="77">
        <v>37.1</v>
      </c>
      <c r="I98" s="77">
        <v>66.900000000000006</v>
      </c>
      <c r="J98" s="77">
        <v>66.3</v>
      </c>
      <c r="K98" s="77">
        <v>66.400000000000006</v>
      </c>
      <c r="L98" s="77">
        <v>65.099999999999994</v>
      </c>
      <c r="M98" s="77">
        <v>65.8</v>
      </c>
      <c r="N98" s="77">
        <v>65.8</v>
      </c>
      <c r="O98" s="77">
        <v>66.400000000000006</v>
      </c>
      <c r="P98" s="77">
        <v>66.2</v>
      </c>
      <c r="Q98" s="77">
        <v>66.400000000000006</v>
      </c>
      <c r="R98" s="77">
        <v>66.599999999999994</v>
      </c>
      <c r="S98" s="77">
        <v>66.599999999999994</v>
      </c>
      <c r="T98" s="77">
        <v>66.599999999999994</v>
      </c>
      <c r="U98" s="77">
        <v>66.599999999999994</v>
      </c>
      <c r="V98" s="77">
        <v>67</v>
      </c>
      <c r="W98" s="77">
        <v>66.7</v>
      </c>
      <c r="X98" s="77">
        <v>66.2</v>
      </c>
      <c r="Y98" s="77">
        <v>65.2</v>
      </c>
      <c r="Z98" s="77">
        <v>66</v>
      </c>
      <c r="AA98" s="77">
        <v>66.099999999999994</v>
      </c>
      <c r="AB98" s="77">
        <v>66.099999999999994</v>
      </c>
      <c r="AC98" s="77">
        <v>66.2</v>
      </c>
      <c r="AD98" s="77">
        <v>66.3</v>
      </c>
      <c r="AE98" s="77">
        <v>66.3</v>
      </c>
      <c r="AF98" s="77">
        <v>66.599999999999994</v>
      </c>
      <c r="AG98" s="76"/>
      <c r="AH98" s="20">
        <f t="shared" si="10"/>
        <v>67.599999999999994</v>
      </c>
      <c r="AI98" s="19">
        <f t="shared" si="11"/>
        <v>37.1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10"/>
        <v>0</v>
      </c>
      <c r="AI99" s="19">
        <f t="shared" si="11"/>
        <v>0</v>
      </c>
    </row>
    <row r="100" spans="1:37" ht="15.75" thickBot="1" x14ac:dyDescent="0.3">
      <c r="A100" s="75" t="s">
        <v>140</v>
      </c>
      <c r="B100" s="74">
        <f t="shared" ref="B100:AF100" si="22">SUM(B15,B20,B22:B23,B48,B50:B51,B53,B55,B101:B105,B127,B133,B139,B148,B150,B162,B169,B172:B173,B180,B182,B184,B188:B190,B192:B194,B199,B205:B206,B208:B210,B218,B223)</f>
        <v>21.200000000000003</v>
      </c>
      <c r="C100" s="74">
        <f t="shared" si="22"/>
        <v>19.340000000000007</v>
      </c>
      <c r="D100" s="74">
        <f t="shared" si="22"/>
        <v>0.94</v>
      </c>
      <c r="E100" s="74">
        <f t="shared" si="22"/>
        <v>28.640000000000011</v>
      </c>
      <c r="F100" s="74">
        <f t="shared" si="22"/>
        <v>16.240000000000009</v>
      </c>
      <c r="G100" s="74">
        <f t="shared" si="22"/>
        <v>18.939999999999987</v>
      </c>
      <c r="H100" s="74">
        <f t="shared" si="22"/>
        <v>43.339999999999996</v>
      </c>
      <c r="I100" s="74">
        <f t="shared" si="22"/>
        <v>71.539999999999992</v>
      </c>
      <c r="J100" s="74">
        <f t="shared" si="22"/>
        <v>70.64</v>
      </c>
      <c r="K100" s="74">
        <f t="shared" si="22"/>
        <v>94.14</v>
      </c>
      <c r="L100" s="74">
        <f t="shared" si="22"/>
        <v>113.53999999999999</v>
      </c>
      <c r="M100" s="74">
        <f t="shared" si="22"/>
        <v>121.63999999999999</v>
      </c>
      <c r="N100" s="74">
        <f t="shared" si="22"/>
        <v>121.74000000000001</v>
      </c>
      <c r="O100" s="74">
        <f t="shared" si="22"/>
        <v>190.34</v>
      </c>
      <c r="P100" s="74">
        <f t="shared" si="22"/>
        <v>79.940000000000012</v>
      </c>
      <c r="Q100" s="74">
        <f t="shared" si="22"/>
        <v>65.400000000000006</v>
      </c>
      <c r="R100" s="74">
        <f t="shared" si="22"/>
        <v>47.000000000000014</v>
      </c>
      <c r="S100" s="74">
        <f t="shared" si="22"/>
        <v>53.000000000000007</v>
      </c>
      <c r="T100" s="74">
        <f t="shared" si="22"/>
        <v>49.700000000000017</v>
      </c>
      <c r="U100" s="74">
        <f t="shared" si="22"/>
        <v>58.000000000000007</v>
      </c>
      <c r="V100" s="74">
        <f t="shared" si="22"/>
        <v>61.800000000000011</v>
      </c>
      <c r="W100" s="74">
        <f t="shared" si="22"/>
        <v>72.900000000000006</v>
      </c>
      <c r="X100" s="74">
        <f t="shared" si="22"/>
        <v>120.60000000000001</v>
      </c>
      <c r="Y100" s="74">
        <f t="shared" si="22"/>
        <v>119.00000000000001</v>
      </c>
      <c r="Z100" s="74">
        <f t="shared" si="22"/>
        <v>114.60000000000001</v>
      </c>
      <c r="AA100" s="74">
        <f t="shared" si="22"/>
        <v>98.200000000000031</v>
      </c>
      <c r="AB100" s="74">
        <f t="shared" si="22"/>
        <v>116.69999999999999</v>
      </c>
      <c r="AC100" s="74">
        <f t="shared" si="22"/>
        <v>120.69999999999997</v>
      </c>
      <c r="AD100" s="74">
        <f t="shared" si="22"/>
        <v>94.6</v>
      </c>
      <c r="AE100" s="74">
        <f t="shared" si="22"/>
        <v>77.8</v>
      </c>
      <c r="AF100" s="74">
        <f t="shared" si="22"/>
        <v>54.500000000000028</v>
      </c>
      <c r="AG100" s="73"/>
      <c r="AH100" s="20">
        <f t="shared" si="10"/>
        <v>190.34</v>
      </c>
      <c r="AI100" s="19">
        <f t="shared" si="11"/>
        <v>0.94</v>
      </c>
    </row>
    <row r="101" spans="1:37" x14ac:dyDescent="0.25">
      <c r="A101" s="47" t="s">
        <v>139</v>
      </c>
      <c r="B101" s="72">
        <v>-2</v>
      </c>
      <c r="C101" s="72">
        <v>-3</v>
      </c>
      <c r="D101" s="72"/>
      <c r="E101" s="72">
        <v>-1.6</v>
      </c>
      <c r="F101" s="72">
        <v>-1.1000000000000001</v>
      </c>
      <c r="G101" s="72">
        <v>-1.2</v>
      </c>
      <c r="H101" s="72">
        <v>-1.8</v>
      </c>
      <c r="I101" s="72">
        <v>5.6</v>
      </c>
      <c r="J101" s="72">
        <v>4.5999999999999996</v>
      </c>
      <c r="K101" s="72">
        <v>11.6</v>
      </c>
      <c r="L101" s="72">
        <v>14</v>
      </c>
      <c r="M101" s="72">
        <v>17</v>
      </c>
      <c r="N101" s="72">
        <v>16</v>
      </c>
      <c r="O101" s="72">
        <v>16</v>
      </c>
      <c r="P101" s="72">
        <v>11.4</v>
      </c>
      <c r="Q101" s="72">
        <v>11.1</v>
      </c>
      <c r="R101" s="72">
        <v>10</v>
      </c>
      <c r="S101" s="72">
        <v>12.4</v>
      </c>
      <c r="T101" s="72">
        <v>10.1</v>
      </c>
      <c r="U101" s="72">
        <v>11</v>
      </c>
      <c r="V101" s="72">
        <v>5.8</v>
      </c>
      <c r="W101" s="72">
        <v>7.3</v>
      </c>
      <c r="X101" s="72">
        <v>10.199999999999999</v>
      </c>
      <c r="Y101" s="72">
        <v>21</v>
      </c>
      <c r="Z101" s="72">
        <v>16.7</v>
      </c>
      <c r="AA101" s="72">
        <v>17.5</v>
      </c>
      <c r="AB101" s="72">
        <v>19.2</v>
      </c>
      <c r="AC101" s="72">
        <v>21.5</v>
      </c>
      <c r="AD101" s="72">
        <v>15.5</v>
      </c>
      <c r="AE101" s="72">
        <v>11</v>
      </c>
      <c r="AF101" s="72">
        <v>7.4</v>
      </c>
      <c r="AG101" s="70">
        <v>75</v>
      </c>
      <c r="AH101" s="20">
        <f t="shared" si="10"/>
        <v>21.5</v>
      </c>
      <c r="AI101" s="19">
        <f t="shared" si="11"/>
        <v>-3</v>
      </c>
    </row>
    <row r="102" spans="1:37" x14ac:dyDescent="0.25">
      <c r="A102" s="44" t="s">
        <v>138</v>
      </c>
      <c r="B102" s="71">
        <v>10</v>
      </c>
      <c r="C102" s="71">
        <v>9</v>
      </c>
      <c r="D102" s="71"/>
      <c r="E102" s="71">
        <v>5.3</v>
      </c>
      <c r="F102" s="71">
        <v>6</v>
      </c>
      <c r="G102" s="71">
        <v>5.0999999999999996</v>
      </c>
      <c r="H102" s="71">
        <v>4.3</v>
      </c>
      <c r="I102" s="71">
        <v>14.9</v>
      </c>
      <c r="J102" s="71">
        <v>12.9</v>
      </c>
      <c r="K102" s="71">
        <v>21.9</v>
      </c>
      <c r="L102" s="71">
        <v>23.8</v>
      </c>
      <c r="M102" s="71">
        <v>30</v>
      </c>
      <c r="N102" s="71">
        <v>28</v>
      </c>
      <c r="O102" s="71">
        <v>16</v>
      </c>
      <c r="P102" s="71">
        <v>23</v>
      </c>
      <c r="Q102" s="71">
        <v>24</v>
      </c>
      <c r="R102" s="71">
        <v>20</v>
      </c>
      <c r="S102" s="71">
        <v>24.5</v>
      </c>
      <c r="T102" s="71">
        <v>21.8</v>
      </c>
      <c r="U102" s="71">
        <v>22.6</v>
      </c>
      <c r="V102" s="71">
        <v>14</v>
      </c>
      <c r="W102" s="71">
        <v>13.9</v>
      </c>
      <c r="X102" s="71">
        <v>29.5</v>
      </c>
      <c r="Y102" s="71">
        <v>35.700000000000003</v>
      </c>
      <c r="Z102" s="71">
        <v>29.7</v>
      </c>
      <c r="AA102" s="71">
        <v>30.8</v>
      </c>
      <c r="AB102" s="71">
        <v>33.799999999999997</v>
      </c>
      <c r="AC102" s="71">
        <v>35.299999999999997</v>
      </c>
      <c r="AD102" s="71">
        <v>26.6</v>
      </c>
      <c r="AE102" s="71">
        <v>23.5</v>
      </c>
      <c r="AF102" s="71">
        <v>21.2</v>
      </c>
      <c r="AG102" s="70">
        <v>240</v>
      </c>
      <c r="AH102" s="20">
        <f t="shared" si="10"/>
        <v>35.700000000000003</v>
      </c>
      <c r="AI102" s="19">
        <f t="shared" si="11"/>
        <v>4.3</v>
      </c>
    </row>
    <row r="103" spans="1:37" x14ac:dyDescent="0.25">
      <c r="A103" s="44" t="s">
        <v>137</v>
      </c>
      <c r="B103" s="71">
        <v>-105</v>
      </c>
      <c r="C103" s="71">
        <v>-100</v>
      </c>
      <c r="D103" s="71"/>
      <c r="E103" s="71">
        <f>-30-32.9</f>
        <v>-62.9</v>
      </c>
      <c r="F103" s="71">
        <v>-62.3</v>
      </c>
      <c r="G103" s="71">
        <v>-63.2</v>
      </c>
      <c r="H103" s="71">
        <v>-64.5</v>
      </c>
      <c r="I103" s="71">
        <f>-25-30</f>
        <v>-55</v>
      </c>
      <c r="J103" s="71">
        <f>-26-29</f>
        <v>-55</v>
      </c>
      <c r="K103" s="71">
        <v>-52.3</v>
      </c>
      <c r="L103" s="71">
        <v>-42.4</v>
      </c>
      <c r="M103" s="71">
        <v>-50</v>
      </c>
      <c r="N103" s="71">
        <v>-54</v>
      </c>
      <c r="O103" s="71">
        <v>28.6</v>
      </c>
      <c r="P103" s="71">
        <v>-73</v>
      </c>
      <c r="Q103" s="71">
        <v>-85</v>
      </c>
      <c r="R103" s="71">
        <v>-95</v>
      </c>
      <c r="S103" s="71">
        <f>-47.6-50.7</f>
        <v>-98.300000000000011</v>
      </c>
      <c r="T103" s="71">
        <f>-46.7-50</f>
        <v>-96.7</v>
      </c>
      <c r="U103" s="71">
        <f>-44-47</f>
        <v>-91</v>
      </c>
      <c r="V103" s="71">
        <f>-32.4-35.1</f>
        <v>-67.5</v>
      </c>
      <c r="W103" s="71">
        <f>-28.1-30.3</f>
        <v>-58.400000000000006</v>
      </c>
      <c r="X103" s="71">
        <f>-32.7-31.8</f>
        <v>-64.5</v>
      </c>
      <c r="Y103" s="71">
        <f>-43.8-40.7</f>
        <v>-84.5</v>
      </c>
      <c r="Z103" s="71">
        <f>-37.5-40.6</f>
        <v>-78.099999999999994</v>
      </c>
      <c r="AA103" s="71">
        <f>-45-49</f>
        <v>-94</v>
      </c>
      <c r="AB103" s="71">
        <f>-51-53</f>
        <v>-104</v>
      </c>
      <c r="AC103" s="71">
        <f>-49-54</f>
        <v>-103</v>
      </c>
      <c r="AD103" s="71">
        <f>-52.9-56.1</f>
        <v>-109</v>
      </c>
      <c r="AE103" s="71">
        <f>-55-61</f>
        <v>-116</v>
      </c>
      <c r="AF103" s="71">
        <f>-64-67.6</f>
        <v>-131.6</v>
      </c>
      <c r="AG103" s="70">
        <v>240</v>
      </c>
      <c r="AH103" s="20">
        <f t="shared" si="10"/>
        <v>28.6</v>
      </c>
      <c r="AI103" s="19">
        <f t="shared" si="11"/>
        <v>-131.6</v>
      </c>
    </row>
    <row r="104" spans="1:37" x14ac:dyDescent="0.25">
      <c r="A104" s="44" t="s">
        <v>136</v>
      </c>
      <c r="B104" s="71">
        <v>1</v>
      </c>
      <c r="C104" s="71">
        <v>2</v>
      </c>
      <c r="D104" s="71"/>
      <c r="E104" s="71">
        <v>3.9</v>
      </c>
      <c r="F104" s="71">
        <v>6.1</v>
      </c>
      <c r="G104" s="71">
        <v>6</v>
      </c>
      <c r="H104" s="71">
        <v>6.1</v>
      </c>
      <c r="I104" s="71">
        <v>7.6</v>
      </c>
      <c r="J104" s="71">
        <v>11.9</v>
      </c>
      <c r="K104" s="71">
        <v>14</v>
      </c>
      <c r="L104" s="71"/>
      <c r="M104" s="71">
        <v>-2</v>
      </c>
      <c r="N104" s="71">
        <v>1</v>
      </c>
      <c r="O104" s="71">
        <v>1</v>
      </c>
      <c r="P104" s="71">
        <v>-3.2</v>
      </c>
      <c r="Q104" s="71">
        <v>-5.5</v>
      </c>
      <c r="R104" s="71">
        <v>5.2</v>
      </c>
      <c r="S104" s="71">
        <v>7.6</v>
      </c>
      <c r="T104" s="71">
        <v>7.7</v>
      </c>
      <c r="U104" s="71">
        <v>8.6</v>
      </c>
      <c r="V104" s="71">
        <v>8.6999999999999993</v>
      </c>
      <c r="W104" s="71">
        <v>9.3000000000000007</v>
      </c>
      <c r="X104" s="71">
        <v>9.3000000000000007</v>
      </c>
      <c r="Y104" s="71">
        <v>10.7</v>
      </c>
      <c r="Z104" s="71">
        <v>10.199999999999999</v>
      </c>
      <c r="AA104" s="71">
        <v>7.8</v>
      </c>
      <c r="AB104" s="71">
        <v>6.5</v>
      </c>
      <c r="AC104" s="71">
        <v>6.3</v>
      </c>
      <c r="AD104" s="71">
        <v>5.5</v>
      </c>
      <c r="AE104" s="71">
        <v>2.2999999999999998</v>
      </c>
      <c r="AF104" s="71">
        <v>0</v>
      </c>
      <c r="AG104" s="70">
        <v>60</v>
      </c>
      <c r="AH104" s="20">
        <f t="shared" si="10"/>
        <v>14</v>
      </c>
      <c r="AI104" s="19">
        <f t="shared" si="11"/>
        <v>-5.5</v>
      </c>
    </row>
    <row r="105" spans="1:37" x14ac:dyDescent="0.25">
      <c r="A105" s="40" t="s">
        <v>135</v>
      </c>
      <c r="B105" s="68">
        <v>0</v>
      </c>
      <c r="C105" s="68">
        <v>0</v>
      </c>
      <c r="D105" s="68"/>
      <c r="E105" s="68">
        <v>-9.4</v>
      </c>
      <c r="F105" s="68">
        <v>-26.7</v>
      </c>
      <c r="G105" s="68">
        <v>-22</v>
      </c>
      <c r="H105" s="68">
        <v>-10</v>
      </c>
      <c r="I105" s="68">
        <v>-12</v>
      </c>
      <c r="J105" s="68">
        <v>-14</v>
      </c>
      <c r="K105" s="68">
        <v>-10.5</v>
      </c>
      <c r="L105" s="68">
        <v>9.5</v>
      </c>
      <c r="M105" s="68">
        <v>5</v>
      </c>
      <c r="N105" s="68">
        <v>9</v>
      </c>
      <c r="O105" s="68">
        <v>7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9">
        <v>120</v>
      </c>
      <c r="AH105" s="20">
        <f t="shared" si="10"/>
        <v>9.5</v>
      </c>
      <c r="AI105" s="19">
        <f t="shared" si="11"/>
        <v>-26.7</v>
      </c>
    </row>
    <row r="106" spans="1:37" x14ac:dyDescent="0.25">
      <c r="A106" s="40" t="s">
        <v>134</v>
      </c>
      <c r="B106" s="68">
        <v>-19</v>
      </c>
      <c r="C106" s="68">
        <v>-12</v>
      </c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>
        <v>-11</v>
      </c>
      <c r="R106" s="68">
        <v>-20</v>
      </c>
      <c r="S106" s="68">
        <v>-27.4</v>
      </c>
      <c r="T106" s="68">
        <v>-18.600000000000001</v>
      </c>
      <c r="U106" s="68">
        <v>-18</v>
      </c>
      <c r="V106" s="68">
        <v>4.7</v>
      </c>
      <c r="W106" s="68">
        <v>17.2</v>
      </c>
      <c r="X106" s="68">
        <v>15.6</v>
      </c>
      <c r="Y106" s="68">
        <v>6.2</v>
      </c>
      <c r="Z106" s="68">
        <v>15.4</v>
      </c>
      <c r="AA106" s="68">
        <v>6.7</v>
      </c>
      <c r="AB106" s="68">
        <v>-1.6</v>
      </c>
      <c r="AC106" s="68">
        <v>7.3</v>
      </c>
      <c r="AD106" s="68">
        <v>-1.8</v>
      </c>
      <c r="AE106" s="68">
        <v>-11.2</v>
      </c>
      <c r="AF106" s="68">
        <v>-17</v>
      </c>
      <c r="AG106" s="69"/>
      <c r="AH106" s="20">
        <f t="shared" si="10"/>
        <v>17.2</v>
      </c>
      <c r="AI106" s="19">
        <f t="shared" si="11"/>
        <v>-27.4</v>
      </c>
    </row>
    <row r="107" spans="1:37" x14ac:dyDescent="0.25">
      <c r="A107" s="40" t="s">
        <v>133</v>
      </c>
      <c r="B107" s="68">
        <v>85</v>
      </c>
      <c r="C107" s="68">
        <v>85</v>
      </c>
      <c r="D107" s="68"/>
      <c r="E107" s="68">
        <v>54</v>
      </c>
      <c r="F107" s="68">
        <v>61.9</v>
      </c>
      <c r="G107" s="68">
        <v>68.900000000000006</v>
      </c>
      <c r="H107" s="68">
        <v>69.8</v>
      </c>
      <c r="I107" s="68">
        <v>34.299999999999997</v>
      </c>
      <c r="J107" s="68">
        <v>70</v>
      </c>
      <c r="K107" s="68">
        <v>54.3</v>
      </c>
      <c r="L107" s="68">
        <v>39.700000000000003</v>
      </c>
      <c r="M107" s="68">
        <v>24</v>
      </c>
      <c r="N107" s="68">
        <v>32</v>
      </c>
      <c r="O107" s="68">
        <v>31</v>
      </c>
      <c r="P107" s="68">
        <v>41</v>
      </c>
      <c r="Q107" s="68">
        <v>39</v>
      </c>
      <c r="R107" s="68">
        <v>52</v>
      </c>
      <c r="S107" s="68">
        <v>31.1</v>
      </c>
      <c r="T107" s="68">
        <v>46.3</v>
      </c>
      <c r="U107" s="68">
        <v>45</v>
      </c>
      <c r="V107" s="68">
        <v>69.3</v>
      </c>
      <c r="W107" s="68">
        <v>83</v>
      </c>
      <c r="X107" s="68">
        <v>77.5</v>
      </c>
      <c r="Y107" s="68">
        <v>72.5</v>
      </c>
      <c r="Z107" s="68">
        <v>13.3</v>
      </c>
      <c r="AA107" s="68">
        <v>72.099999999999994</v>
      </c>
      <c r="AB107" s="68">
        <v>55.5</v>
      </c>
      <c r="AC107" s="68">
        <v>42.6</v>
      </c>
      <c r="AD107" s="68">
        <v>46.8</v>
      </c>
      <c r="AE107" s="68">
        <v>42.1</v>
      </c>
      <c r="AF107" s="68">
        <v>31.3</v>
      </c>
      <c r="AG107" s="48"/>
      <c r="AH107" s="20">
        <f t="shared" si="10"/>
        <v>85</v>
      </c>
      <c r="AI107" s="19">
        <f t="shared" si="11"/>
        <v>13.3</v>
      </c>
    </row>
    <row r="108" spans="1:37" x14ac:dyDescent="0.25">
      <c r="A108" s="67" t="s">
        <v>132</v>
      </c>
      <c r="B108" s="66">
        <v>115</v>
      </c>
      <c r="C108" s="66">
        <v>116</v>
      </c>
      <c r="D108" s="66"/>
      <c r="E108" s="66">
        <v>99.5</v>
      </c>
      <c r="F108" s="66">
        <v>101.4</v>
      </c>
      <c r="G108" s="66">
        <v>103.8</v>
      </c>
      <c r="H108" s="66">
        <v>101.7</v>
      </c>
      <c r="I108" s="66">
        <v>99.1</v>
      </c>
      <c r="J108" s="66">
        <v>101</v>
      </c>
      <c r="K108" s="66">
        <v>101</v>
      </c>
      <c r="L108" s="66">
        <v>98.9</v>
      </c>
      <c r="M108" s="66">
        <v>115</v>
      </c>
      <c r="N108" s="66">
        <v>115</v>
      </c>
      <c r="O108" s="66">
        <v>115</v>
      </c>
      <c r="P108" s="66">
        <v>118</v>
      </c>
      <c r="Q108" s="66">
        <v>116</v>
      </c>
      <c r="R108" s="66">
        <v>80</v>
      </c>
      <c r="S108" s="66">
        <v>100.7</v>
      </c>
      <c r="T108" s="66">
        <v>106</v>
      </c>
      <c r="U108" s="66">
        <v>108.3</v>
      </c>
      <c r="V108" s="66">
        <v>110</v>
      </c>
      <c r="W108" s="66">
        <v>100.9</v>
      </c>
      <c r="X108" s="66">
        <v>89.8</v>
      </c>
      <c r="Y108" s="66">
        <v>90.1</v>
      </c>
      <c r="Z108" s="66">
        <v>91.8</v>
      </c>
      <c r="AA108" s="66">
        <v>92.4</v>
      </c>
      <c r="AB108" s="66">
        <v>94</v>
      </c>
      <c r="AC108" s="66">
        <v>92.7</v>
      </c>
      <c r="AD108" s="66">
        <v>93.9</v>
      </c>
      <c r="AE108" s="66">
        <v>96.5</v>
      </c>
      <c r="AF108" s="66">
        <v>104.2</v>
      </c>
      <c r="AG108" s="48"/>
      <c r="AH108" s="20">
        <f t="shared" si="10"/>
        <v>118</v>
      </c>
      <c r="AI108" s="19">
        <f t="shared" si="11"/>
        <v>80</v>
      </c>
    </row>
    <row r="109" spans="1:37" ht="15.75" thickBot="1" x14ac:dyDescent="0.3">
      <c r="A109" s="67" t="s">
        <v>131</v>
      </c>
      <c r="B109" s="66">
        <v>58</v>
      </c>
      <c r="C109" s="66">
        <v>56</v>
      </c>
      <c r="D109" s="66"/>
      <c r="E109" s="66">
        <v>33.4</v>
      </c>
      <c r="F109" s="66">
        <v>32.200000000000003</v>
      </c>
      <c r="G109" s="66">
        <v>31.9</v>
      </c>
      <c r="H109" s="66">
        <v>31.9</v>
      </c>
      <c r="I109" s="66">
        <v>31.3</v>
      </c>
      <c r="J109" s="66">
        <v>29.5</v>
      </c>
      <c r="K109" s="66">
        <v>29.1</v>
      </c>
      <c r="L109" s="66">
        <v>28.7</v>
      </c>
      <c r="M109" s="66">
        <v>29</v>
      </c>
      <c r="N109" s="66">
        <v>30</v>
      </c>
      <c r="O109" s="66">
        <v>31</v>
      </c>
      <c r="P109" s="66">
        <v>39</v>
      </c>
      <c r="Q109" s="66">
        <v>51</v>
      </c>
      <c r="R109" s="66">
        <v>61</v>
      </c>
      <c r="S109" s="66">
        <v>63</v>
      </c>
      <c r="T109" s="66">
        <v>58.5</v>
      </c>
      <c r="U109" s="66">
        <v>55</v>
      </c>
      <c r="V109" s="66">
        <v>33.700000000000003</v>
      </c>
      <c r="W109" s="66">
        <v>27.2</v>
      </c>
      <c r="X109" s="66">
        <v>37.700000000000003</v>
      </c>
      <c r="Y109" s="66">
        <v>49.5</v>
      </c>
      <c r="Z109" s="66">
        <v>42.5</v>
      </c>
      <c r="AA109" s="66">
        <v>54.4</v>
      </c>
      <c r="AB109" s="66">
        <v>65</v>
      </c>
      <c r="AC109" s="66">
        <v>58</v>
      </c>
      <c r="AD109" s="66">
        <v>66.099999999999994</v>
      </c>
      <c r="AE109" s="66">
        <v>72.8</v>
      </c>
      <c r="AF109" s="66">
        <v>80.599999999999994</v>
      </c>
      <c r="AG109" s="48"/>
      <c r="AH109" s="20">
        <f t="shared" si="10"/>
        <v>80.599999999999994</v>
      </c>
      <c r="AI109" s="19">
        <f t="shared" si="11"/>
        <v>27.2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3">SUM(B111:B215)</f>
        <v>0</v>
      </c>
      <c r="C216" s="36">
        <f t="shared" si="23"/>
        <v>0</v>
      </c>
      <c r="D216" s="36">
        <f t="shared" si="23"/>
        <v>0</v>
      </c>
      <c r="E216" s="36">
        <f t="shared" si="23"/>
        <v>0</v>
      </c>
      <c r="F216" s="36">
        <f t="shared" si="23"/>
        <v>0</v>
      </c>
      <c r="G216" s="36">
        <f t="shared" si="23"/>
        <v>0</v>
      </c>
      <c r="H216" s="36">
        <f t="shared" si="23"/>
        <v>0</v>
      </c>
      <c r="I216" s="36">
        <f t="shared" si="23"/>
        <v>0</v>
      </c>
      <c r="J216" s="36">
        <f t="shared" si="23"/>
        <v>0</v>
      </c>
      <c r="K216" s="36">
        <f t="shared" si="23"/>
        <v>0</v>
      </c>
      <c r="L216" s="36">
        <f t="shared" si="23"/>
        <v>0</v>
      </c>
      <c r="M216" s="36">
        <f t="shared" si="23"/>
        <v>0</v>
      </c>
      <c r="N216" s="36">
        <f t="shared" si="23"/>
        <v>0</v>
      </c>
      <c r="O216" s="36">
        <f t="shared" si="23"/>
        <v>0</v>
      </c>
      <c r="P216" s="36">
        <f t="shared" si="23"/>
        <v>0</v>
      </c>
      <c r="Q216" s="36">
        <f t="shared" si="23"/>
        <v>0</v>
      </c>
      <c r="R216" s="36">
        <f t="shared" si="23"/>
        <v>0</v>
      </c>
      <c r="S216" s="36">
        <f t="shared" si="23"/>
        <v>0</v>
      </c>
      <c r="T216" s="36">
        <f t="shared" si="23"/>
        <v>0</v>
      </c>
      <c r="U216" s="36">
        <f t="shared" si="23"/>
        <v>0</v>
      </c>
      <c r="V216" s="36">
        <f t="shared" si="23"/>
        <v>0</v>
      </c>
      <c r="W216" s="36">
        <f t="shared" si="23"/>
        <v>0</v>
      </c>
      <c r="X216" s="36">
        <f t="shared" si="23"/>
        <v>0</v>
      </c>
      <c r="Y216" s="36">
        <f t="shared" si="23"/>
        <v>0</v>
      </c>
      <c r="Z216" s="36">
        <f t="shared" si="23"/>
        <v>0</v>
      </c>
      <c r="AA216" s="36">
        <f t="shared" si="23"/>
        <v>0</v>
      </c>
      <c r="AB216" s="36">
        <f t="shared" si="23"/>
        <v>0</v>
      </c>
      <c r="AC216" s="36">
        <f t="shared" si="23"/>
        <v>0</v>
      </c>
      <c r="AD216" s="36">
        <f t="shared" si="23"/>
        <v>0</v>
      </c>
      <c r="AE216" s="36">
        <f t="shared" si="23"/>
        <v>0</v>
      </c>
      <c r="AF216" s="51">
        <f t="shared" si="23"/>
        <v>0</v>
      </c>
      <c r="AG216" s="50">
        <f t="shared" si="23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4">AF218</f>
        <v>0</v>
      </c>
      <c r="C218" s="46">
        <v>0.3</v>
      </c>
      <c r="D218" s="46">
        <f t="shared" ref="D218:P223" si="25">C218</f>
        <v>0.3</v>
      </c>
      <c r="E218" s="46">
        <f t="shared" si="25"/>
        <v>0.3</v>
      </c>
      <c r="F218" s="46">
        <f t="shared" si="25"/>
        <v>0.3</v>
      </c>
      <c r="G218" s="46">
        <f t="shared" si="25"/>
        <v>0.3</v>
      </c>
      <c r="H218" s="46">
        <f t="shared" si="25"/>
        <v>0.3</v>
      </c>
      <c r="I218" s="46">
        <f t="shared" si="25"/>
        <v>0.3</v>
      </c>
      <c r="J218" s="46">
        <f t="shared" si="25"/>
        <v>0.3</v>
      </c>
      <c r="K218" s="46">
        <f t="shared" si="25"/>
        <v>0.3</v>
      </c>
      <c r="L218" s="46">
        <f t="shared" si="25"/>
        <v>0.3</v>
      </c>
      <c r="M218" s="46">
        <f t="shared" si="25"/>
        <v>0.3</v>
      </c>
      <c r="N218" s="46">
        <f t="shared" si="25"/>
        <v>0.3</v>
      </c>
      <c r="O218" s="46">
        <f t="shared" si="25"/>
        <v>0.3</v>
      </c>
      <c r="P218" s="46">
        <f t="shared" si="25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4"/>
        <v>0</v>
      </c>
      <c r="C219" s="43">
        <v>0.4</v>
      </c>
      <c r="D219" s="43">
        <f t="shared" si="25"/>
        <v>0.4</v>
      </c>
      <c r="E219" s="43">
        <f t="shared" si="25"/>
        <v>0.4</v>
      </c>
      <c r="F219" s="43">
        <f t="shared" si="25"/>
        <v>0.4</v>
      </c>
      <c r="G219" s="43">
        <f t="shared" si="25"/>
        <v>0.4</v>
      </c>
      <c r="H219" s="43">
        <f t="shared" si="25"/>
        <v>0.4</v>
      </c>
      <c r="I219" s="43">
        <f t="shared" si="25"/>
        <v>0.4</v>
      </c>
      <c r="J219" s="43">
        <f t="shared" si="25"/>
        <v>0.4</v>
      </c>
      <c r="K219" s="43">
        <f t="shared" si="25"/>
        <v>0.4</v>
      </c>
      <c r="L219" s="43">
        <f t="shared" si="25"/>
        <v>0.4</v>
      </c>
      <c r="M219" s="43">
        <f t="shared" si="25"/>
        <v>0.4</v>
      </c>
      <c r="N219" s="43">
        <f t="shared" si="25"/>
        <v>0.4</v>
      </c>
      <c r="O219" s="43">
        <f t="shared" si="25"/>
        <v>0.4</v>
      </c>
      <c r="P219" s="43">
        <f t="shared" si="25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4"/>
        <v>0</v>
      </c>
      <c r="C220" s="43">
        <v>1.5</v>
      </c>
      <c r="D220" s="43">
        <f t="shared" si="25"/>
        <v>1.5</v>
      </c>
      <c r="E220" s="43">
        <f t="shared" si="25"/>
        <v>1.5</v>
      </c>
      <c r="F220" s="43">
        <f t="shared" si="25"/>
        <v>1.5</v>
      </c>
      <c r="G220" s="43">
        <f t="shared" si="25"/>
        <v>1.5</v>
      </c>
      <c r="H220" s="43">
        <f t="shared" si="25"/>
        <v>1.5</v>
      </c>
      <c r="I220" s="43">
        <f t="shared" si="25"/>
        <v>1.5</v>
      </c>
      <c r="J220" s="43">
        <f t="shared" si="25"/>
        <v>1.5</v>
      </c>
      <c r="K220" s="43">
        <f t="shared" si="25"/>
        <v>1.5</v>
      </c>
      <c r="L220" s="43">
        <f t="shared" si="25"/>
        <v>1.5</v>
      </c>
      <c r="M220" s="43">
        <f t="shared" si="25"/>
        <v>1.5</v>
      </c>
      <c r="N220" s="43">
        <f t="shared" si="25"/>
        <v>1.5</v>
      </c>
      <c r="O220" s="43">
        <f t="shared" si="25"/>
        <v>1.5</v>
      </c>
      <c r="P220" s="43">
        <f t="shared" si="25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4"/>
        <v>0</v>
      </c>
      <c r="C221" s="43">
        <v>0.3</v>
      </c>
      <c r="D221" s="43">
        <f t="shared" si="25"/>
        <v>0.3</v>
      </c>
      <c r="E221" s="43">
        <f t="shared" si="25"/>
        <v>0.3</v>
      </c>
      <c r="F221" s="43">
        <f t="shared" si="25"/>
        <v>0.3</v>
      </c>
      <c r="G221" s="43">
        <f t="shared" si="25"/>
        <v>0.3</v>
      </c>
      <c r="H221" s="43">
        <f t="shared" si="25"/>
        <v>0.3</v>
      </c>
      <c r="I221" s="43">
        <f t="shared" si="25"/>
        <v>0.3</v>
      </c>
      <c r="J221" s="43">
        <f t="shared" si="25"/>
        <v>0.3</v>
      </c>
      <c r="K221" s="43">
        <f t="shared" si="25"/>
        <v>0.3</v>
      </c>
      <c r="L221" s="43">
        <f t="shared" si="25"/>
        <v>0.3</v>
      </c>
      <c r="M221" s="43">
        <f t="shared" si="25"/>
        <v>0.3</v>
      </c>
      <c r="N221" s="43">
        <f t="shared" si="25"/>
        <v>0.3</v>
      </c>
      <c r="O221" s="43">
        <f t="shared" si="25"/>
        <v>0.3</v>
      </c>
      <c r="P221" s="43">
        <f t="shared" si="25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4"/>
        <v>0</v>
      </c>
      <c r="C222" s="43">
        <v>0.4</v>
      </c>
      <c r="D222" s="43">
        <f t="shared" si="25"/>
        <v>0.4</v>
      </c>
      <c r="E222" s="43">
        <f t="shared" si="25"/>
        <v>0.4</v>
      </c>
      <c r="F222" s="43">
        <f t="shared" si="25"/>
        <v>0.4</v>
      </c>
      <c r="G222" s="43">
        <f t="shared" si="25"/>
        <v>0.4</v>
      </c>
      <c r="H222" s="43">
        <f t="shared" si="25"/>
        <v>0.4</v>
      </c>
      <c r="I222" s="43">
        <f t="shared" si="25"/>
        <v>0.4</v>
      </c>
      <c r="J222" s="43">
        <f t="shared" si="25"/>
        <v>0.4</v>
      </c>
      <c r="K222" s="43">
        <f t="shared" si="25"/>
        <v>0.4</v>
      </c>
      <c r="L222" s="43">
        <f t="shared" si="25"/>
        <v>0.4</v>
      </c>
      <c r="M222" s="43">
        <f t="shared" si="25"/>
        <v>0.4</v>
      </c>
      <c r="N222" s="43">
        <f t="shared" si="25"/>
        <v>0.4</v>
      </c>
      <c r="O222" s="43">
        <f t="shared" si="25"/>
        <v>0.4</v>
      </c>
      <c r="P222" s="43">
        <f t="shared" si="25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4"/>
        <v>0</v>
      </c>
      <c r="C223" s="39">
        <v>0.64</v>
      </c>
      <c r="D223" s="39">
        <f t="shared" si="25"/>
        <v>0.64</v>
      </c>
      <c r="E223" s="39">
        <f t="shared" si="25"/>
        <v>0.64</v>
      </c>
      <c r="F223" s="39">
        <f t="shared" si="25"/>
        <v>0.64</v>
      </c>
      <c r="G223" s="39">
        <f t="shared" si="25"/>
        <v>0.64</v>
      </c>
      <c r="H223" s="39">
        <f t="shared" si="25"/>
        <v>0.64</v>
      </c>
      <c r="I223" s="39">
        <f t="shared" si="25"/>
        <v>0.64</v>
      </c>
      <c r="J223" s="39">
        <f t="shared" si="25"/>
        <v>0.64</v>
      </c>
      <c r="K223" s="39">
        <f t="shared" si="25"/>
        <v>0.64</v>
      </c>
      <c r="L223" s="39">
        <f t="shared" si="25"/>
        <v>0.64</v>
      </c>
      <c r="M223" s="39">
        <f t="shared" si="25"/>
        <v>0.64</v>
      </c>
      <c r="N223" s="39">
        <f t="shared" si="25"/>
        <v>0.64</v>
      </c>
      <c r="O223" s="39">
        <f t="shared" si="25"/>
        <v>0.64</v>
      </c>
      <c r="P223" s="39">
        <f t="shared" si="25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6">SUM(B218:B223)</f>
        <v>0</v>
      </c>
      <c r="C224" s="36">
        <f t="shared" si="26"/>
        <v>3.54</v>
      </c>
      <c r="D224" s="36">
        <f t="shared" si="26"/>
        <v>3.54</v>
      </c>
      <c r="E224" s="36">
        <f t="shared" si="26"/>
        <v>3.54</v>
      </c>
      <c r="F224" s="36">
        <f t="shared" si="26"/>
        <v>3.54</v>
      </c>
      <c r="G224" s="36">
        <f t="shared" si="26"/>
        <v>3.54</v>
      </c>
      <c r="H224" s="36">
        <f t="shared" si="26"/>
        <v>3.54</v>
      </c>
      <c r="I224" s="36">
        <f t="shared" si="26"/>
        <v>3.54</v>
      </c>
      <c r="J224" s="36">
        <f t="shared" si="26"/>
        <v>3.54</v>
      </c>
      <c r="K224" s="36">
        <f t="shared" si="26"/>
        <v>3.54</v>
      </c>
      <c r="L224" s="36">
        <f t="shared" si="26"/>
        <v>3.54</v>
      </c>
      <c r="M224" s="36">
        <f t="shared" si="26"/>
        <v>3.54</v>
      </c>
      <c r="N224" s="36">
        <f t="shared" si="26"/>
        <v>3.54</v>
      </c>
      <c r="O224" s="36">
        <f t="shared" si="26"/>
        <v>3.54</v>
      </c>
      <c r="P224" s="36">
        <f t="shared" si="26"/>
        <v>3.54</v>
      </c>
      <c r="Q224" s="36">
        <f t="shared" si="26"/>
        <v>0</v>
      </c>
      <c r="R224" s="36">
        <f t="shared" si="26"/>
        <v>0</v>
      </c>
      <c r="S224" s="36">
        <f t="shared" si="26"/>
        <v>0</v>
      </c>
      <c r="T224" s="36">
        <f t="shared" si="26"/>
        <v>0</v>
      </c>
      <c r="U224" s="36">
        <f t="shared" si="26"/>
        <v>0</v>
      </c>
      <c r="V224" s="36">
        <f t="shared" si="26"/>
        <v>0</v>
      </c>
      <c r="W224" s="36">
        <f t="shared" si="26"/>
        <v>0</v>
      </c>
      <c r="X224" s="36">
        <f t="shared" si="26"/>
        <v>0</v>
      </c>
      <c r="Y224" s="36">
        <f t="shared" si="26"/>
        <v>0</v>
      </c>
      <c r="Z224" s="36">
        <f t="shared" si="26"/>
        <v>0</v>
      </c>
      <c r="AA224" s="36">
        <f t="shared" si="26"/>
        <v>0</v>
      </c>
      <c r="AB224" s="36">
        <f t="shared" si="26"/>
        <v>0</v>
      </c>
      <c r="AC224" s="36">
        <f t="shared" si="26"/>
        <v>0</v>
      </c>
      <c r="AD224" s="36">
        <f t="shared" si="26"/>
        <v>0</v>
      </c>
      <c r="AE224" s="36">
        <f t="shared" si="26"/>
        <v>0</v>
      </c>
      <c r="AF224" s="36">
        <f t="shared" si="26"/>
        <v>0</v>
      </c>
      <c r="AG224" s="35">
        <f t="shared" si="26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1283.8399999999999</v>
      </c>
      <c r="C233" s="16">
        <f>INDEX(G9:N9,1,MATCH(MAX(G81:N81),G81:N81,0))</f>
        <v>0.33333333333333331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19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2079/06/19)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2079/06/19)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7">B81</f>
        <v>1261.3399999999999</v>
      </c>
      <c r="U238" s="9">
        <f t="shared" si="27"/>
        <v>1238.44</v>
      </c>
      <c r="V238" s="9">
        <f t="shared" si="27"/>
        <v>1183.54</v>
      </c>
      <c r="W238" s="9">
        <f t="shared" si="27"/>
        <v>1178.8399999999999</v>
      </c>
      <c r="X238" s="9">
        <f t="shared" si="27"/>
        <v>1240.94</v>
      </c>
      <c r="Y238" s="9">
        <f t="shared" si="27"/>
        <v>1264.6399999999999</v>
      </c>
      <c r="Z238" s="9">
        <f t="shared" si="27"/>
        <v>1276.8399999999999</v>
      </c>
      <c r="AA238" s="9">
        <f t="shared" si="27"/>
        <v>1271.74</v>
      </c>
      <c r="AB238" s="9">
        <f t="shared" si="27"/>
        <v>1268.1400000000001</v>
      </c>
      <c r="AC238" s="9">
        <f t="shared" si="27"/>
        <v>1271.3400000000001</v>
      </c>
      <c r="AD238" s="9">
        <f t="shared" si="27"/>
        <v>1248.8399999999999</v>
      </c>
      <c r="AE238" s="9">
        <f t="shared" si="27"/>
        <v>1283.8399999999999</v>
      </c>
      <c r="AF238" s="9">
        <f t="shared" si="27"/>
        <v>1268.2399999999998</v>
      </c>
      <c r="AG238" s="9">
        <f t="shared" si="27"/>
        <v>1261.2399999999998</v>
      </c>
      <c r="AH238" s="9">
        <f t="shared" si="27"/>
        <v>1222.8399999999999</v>
      </c>
      <c r="AI238" s="9">
        <f t="shared" si="27"/>
        <v>1209.74</v>
      </c>
      <c r="AJ238" s="9">
        <f t="shared" si="27"/>
        <v>1174.8399999999999</v>
      </c>
      <c r="AK238" s="9">
        <f t="shared" si="27"/>
        <v>1135.6400000000001</v>
      </c>
      <c r="AL238" s="9">
        <f t="shared" si="27"/>
        <v>1185.6399999999999</v>
      </c>
      <c r="AM238" s="9">
        <f t="shared" si="27"/>
        <v>1183.6399999999999</v>
      </c>
      <c r="AN238" s="9">
        <f t="shared" si="27"/>
        <v>1155.6399999999999</v>
      </c>
      <c r="AO238" s="9">
        <f t="shared" si="27"/>
        <v>1169.3399999999999</v>
      </c>
      <c r="AP238" s="9">
        <f t="shared" si="27"/>
        <v>1321.9399999999998</v>
      </c>
      <c r="AQ238" s="9">
        <f t="shared" si="27"/>
        <v>1347.2399999999998</v>
      </c>
      <c r="AR238" s="9">
        <f t="shared" si="27"/>
        <v>1340.04</v>
      </c>
      <c r="AS238" s="9">
        <f t="shared" si="27"/>
        <v>1340.04</v>
      </c>
      <c r="AT238" s="9">
        <f t="shared" si="27"/>
        <v>1427.94</v>
      </c>
      <c r="AU238" s="9">
        <f t="shared" si="27"/>
        <v>1434.54</v>
      </c>
      <c r="AV238" s="9">
        <f t="shared" si="27"/>
        <v>1415.6399999999999</v>
      </c>
      <c r="AW238" s="9">
        <f t="shared" si="27"/>
        <v>1363.14</v>
      </c>
      <c r="AX238" s="9">
        <f t="shared" si="27"/>
        <v>1320.74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8">C223</f>
        <v>0.64</v>
      </c>
      <c r="C259" s="4">
        <f t="shared" si="28"/>
        <v>0.64</v>
      </c>
      <c r="D259" s="4">
        <f t="shared" si="28"/>
        <v>0.64</v>
      </c>
      <c r="E259" s="4">
        <f t="shared" si="28"/>
        <v>0.64</v>
      </c>
      <c r="F259" s="4">
        <f t="shared" si="28"/>
        <v>0.64</v>
      </c>
      <c r="G259" s="4">
        <f t="shared" si="28"/>
        <v>0.64</v>
      </c>
      <c r="H259" s="4">
        <f t="shared" si="28"/>
        <v>0.64</v>
      </c>
      <c r="I259" s="4">
        <f t="shared" si="28"/>
        <v>0.64</v>
      </c>
      <c r="J259" s="4">
        <f t="shared" si="28"/>
        <v>0.64</v>
      </c>
      <c r="K259" s="4">
        <f t="shared" si="28"/>
        <v>0.64</v>
      </c>
      <c r="L259" s="4">
        <f t="shared" si="28"/>
        <v>0.64</v>
      </c>
      <c r="M259" s="4">
        <f t="shared" si="28"/>
        <v>0.64</v>
      </c>
      <c r="N259" s="4">
        <f t="shared" si="28"/>
        <v>0.64</v>
      </c>
      <c r="O259" s="4">
        <f t="shared" si="28"/>
        <v>0.64</v>
      </c>
      <c r="P259" s="4">
        <f t="shared" si="28"/>
        <v>0</v>
      </c>
      <c r="Q259" s="4">
        <f t="shared" si="28"/>
        <v>0</v>
      </c>
      <c r="R259" s="4">
        <f t="shared" si="28"/>
        <v>0</v>
      </c>
      <c r="S259" s="4">
        <f t="shared" si="28"/>
        <v>0</v>
      </c>
      <c r="T259" s="4">
        <f t="shared" si="28"/>
        <v>0</v>
      </c>
      <c r="U259" s="4">
        <f t="shared" si="28"/>
        <v>0</v>
      </c>
      <c r="V259" s="4">
        <f t="shared" si="28"/>
        <v>0</v>
      </c>
      <c r="W259" s="4">
        <f t="shared" si="28"/>
        <v>0</v>
      </c>
      <c r="X259" s="4">
        <f t="shared" si="28"/>
        <v>0</v>
      </c>
      <c r="Y259" s="4">
        <f t="shared" si="28"/>
        <v>0</v>
      </c>
      <c r="Z259" s="4">
        <f t="shared" si="28"/>
        <v>0</v>
      </c>
      <c r="AA259" s="4">
        <f t="shared" si="28"/>
        <v>0</v>
      </c>
      <c r="AB259" s="4">
        <f t="shared" si="28"/>
        <v>0</v>
      </c>
      <c r="AC259" s="4">
        <f t="shared" si="28"/>
        <v>0</v>
      </c>
      <c r="AD259" s="4">
        <f t="shared" si="28"/>
        <v>0</v>
      </c>
      <c r="AE259" s="4">
        <f t="shared" si="28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29">IF(B227&lt;100,"",B227-520)</f>
        <v/>
      </c>
      <c r="C260" s="3" t="str">
        <f t="shared" si="29"/>
        <v/>
      </c>
      <c r="D260" s="3" t="str">
        <f t="shared" si="29"/>
        <v/>
      </c>
      <c r="E260" s="3" t="str">
        <f t="shared" si="29"/>
        <v/>
      </c>
      <c r="F260" s="3" t="str">
        <f t="shared" si="29"/>
        <v/>
      </c>
      <c r="G260" s="3" t="str">
        <f t="shared" si="29"/>
        <v/>
      </c>
      <c r="H260" s="3" t="str">
        <f t="shared" si="29"/>
        <v/>
      </c>
      <c r="I260" s="3" t="str">
        <f t="shared" si="29"/>
        <v/>
      </c>
      <c r="J260" s="3" t="str">
        <f t="shared" si="29"/>
        <v/>
      </c>
      <c r="K260" s="3" t="str">
        <f t="shared" si="29"/>
        <v/>
      </c>
      <c r="L260" s="3" t="str">
        <f t="shared" si="29"/>
        <v/>
      </c>
      <c r="M260" s="3" t="str">
        <f t="shared" si="29"/>
        <v/>
      </c>
      <c r="N260" s="3" t="str">
        <f t="shared" si="29"/>
        <v/>
      </c>
      <c r="O260" s="3" t="str">
        <f t="shared" si="29"/>
        <v/>
      </c>
      <c r="P260" s="3" t="str">
        <f t="shared" si="29"/>
        <v/>
      </c>
      <c r="Q260" s="3" t="str">
        <f t="shared" si="29"/>
        <v/>
      </c>
      <c r="R260" s="3" t="str">
        <f t="shared" si="29"/>
        <v/>
      </c>
      <c r="S260" s="3" t="str">
        <f t="shared" si="29"/>
        <v/>
      </c>
      <c r="T260" s="3" t="str">
        <f t="shared" si="29"/>
        <v/>
      </c>
      <c r="U260" s="3" t="str">
        <f t="shared" si="29"/>
        <v/>
      </c>
      <c r="V260" s="3" t="str">
        <f t="shared" si="29"/>
        <v/>
      </c>
      <c r="W260" s="3" t="str">
        <f t="shared" si="29"/>
        <v/>
      </c>
      <c r="X260" s="3" t="str">
        <f t="shared" si="29"/>
        <v/>
      </c>
      <c r="Y260" s="3" t="str">
        <f t="shared" si="29"/>
        <v/>
      </c>
      <c r="Z260" s="3" t="str">
        <f t="shared" si="29"/>
        <v/>
      </c>
      <c r="AA260" s="3" t="str">
        <f t="shared" si="29"/>
        <v/>
      </c>
      <c r="AB260" s="3" t="str">
        <f t="shared" si="29"/>
        <v/>
      </c>
      <c r="AC260" s="3" t="str">
        <f t="shared" si="29"/>
        <v/>
      </c>
      <c r="AD260" s="3" t="str">
        <f t="shared" si="29"/>
        <v/>
      </c>
      <c r="AE260" s="3" t="str">
        <f t="shared" si="29"/>
        <v/>
      </c>
      <c r="AF260" s="3" t="str">
        <f t="shared" si="29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30">IF(B228&lt;100,"",B228-620)</f>
        <v/>
      </c>
      <c r="C261" s="3" t="str">
        <f t="shared" si="30"/>
        <v/>
      </c>
      <c r="D261" s="3" t="str">
        <f t="shared" si="30"/>
        <v/>
      </c>
      <c r="E261" s="3" t="str">
        <f t="shared" si="30"/>
        <v/>
      </c>
      <c r="F261" s="3" t="str">
        <f t="shared" si="30"/>
        <v/>
      </c>
      <c r="G261" s="3" t="str">
        <f t="shared" si="30"/>
        <v/>
      </c>
      <c r="H261" s="3" t="str">
        <f t="shared" si="30"/>
        <v/>
      </c>
      <c r="I261" s="3" t="str">
        <f t="shared" si="30"/>
        <v/>
      </c>
      <c r="J261" s="3" t="str">
        <f t="shared" si="30"/>
        <v/>
      </c>
      <c r="K261" s="3" t="str">
        <f t="shared" si="30"/>
        <v/>
      </c>
      <c r="L261" s="3" t="str">
        <f t="shared" si="30"/>
        <v/>
      </c>
      <c r="M261" s="3" t="str">
        <f t="shared" si="30"/>
        <v/>
      </c>
      <c r="N261" s="3" t="str">
        <f t="shared" si="30"/>
        <v/>
      </c>
      <c r="O261" s="3" t="str">
        <f t="shared" si="30"/>
        <v/>
      </c>
      <c r="P261" s="3" t="str">
        <f t="shared" si="30"/>
        <v/>
      </c>
      <c r="Q261" s="3" t="str">
        <f t="shared" si="30"/>
        <v/>
      </c>
      <c r="R261" s="3" t="str">
        <f t="shared" si="30"/>
        <v/>
      </c>
      <c r="S261" s="3" t="str">
        <f t="shared" si="30"/>
        <v/>
      </c>
      <c r="T261" s="3" t="str">
        <f t="shared" si="30"/>
        <v/>
      </c>
      <c r="U261" s="3" t="str">
        <f t="shared" si="30"/>
        <v/>
      </c>
      <c r="V261" s="3" t="str">
        <f t="shared" si="30"/>
        <v/>
      </c>
      <c r="W261" s="3" t="str">
        <f t="shared" si="30"/>
        <v/>
      </c>
      <c r="X261" s="3" t="str">
        <f t="shared" si="30"/>
        <v/>
      </c>
      <c r="Y261" s="3" t="str">
        <f t="shared" si="30"/>
        <v/>
      </c>
      <c r="Z261" s="3" t="str">
        <f t="shared" si="30"/>
        <v/>
      </c>
      <c r="AA261" s="3" t="str">
        <f t="shared" si="30"/>
        <v/>
      </c>
      <c r="AB261" s="3" t="str">
        <f t="shared" si="30"/>
        <v/>
      </c>
      <c r="AC261" s="3" t="str">
        <f t="shared" si="30"/>
        <v/>
      </c>
      <c r="AD261" s="3" t="str">
        <f t="shared" si="30"/>
        <v/>
      </c>
      <c r="AE261" s="3" t="str">
        <f t="shared" si="30"/>
        <v/>
      </c>
      <c r="AF261" s="3" t="str">
        <f t="shared" si="30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1">IF(B229&lt;100,"",B229-330)</f>
        <v/>
      </c>
      <c r="C262" s="3" t="str">
        <f t="shared" si="31"/>
        <v/>
      </c>
      <c r="D262" s="3" t="str">
        <f t="shared" si="31"/>
        <v/>
      </c>
      <c r="E262" s="3" t="str">
        <f t="shared" si="31"/>
        <v/>
      </c>
      <c r="F262" s="3" t="str">
        <f t="shared" si="31"/>
        <v/>
      </c>
      <c r="G262" s="3" t="str">
        <f t="shared" si="31"/>
        <v/>
      </c>
      <c r="H262" s="3" t="str">
        <f t="shared" si="31"/>
        <v/>
      </c>
      <c r="I262" s="3" t="str">
        <f t="shared" si="31"/>
        <v/>
      </c>
      <c r="J262" s="3" t="str">
        <f t="shared" si="31"/>
        <v/>
      </c>
      <c r="K262" s="3" t="str">
        <f t="shared" si="31"/>
        <v/>
      </c>
      <c r="L262" s="3" t="str">
        <f t="shared" si="31"/>
        <v/>
      </c>
      <c r="M262" s="3" t="str">
        <f t="shared" si="31"/>
        <v/>
      </c>
      <c r="N262" s="3" t="str">
        <f t="shared" si="31"/>
        <v/>
      </c>
      <c r="O262" s="3" t="str">
        <f t="shared" si="31"/>
        <v/>
      </c>
      <c r="P262" s="3" t="str">
        <f t="shared" si="31"/>
        <v/>
      </c>
      <c r="Q262" s="3" t="str">
        <f t="shared" si="31"/>
        <v/>
      </c>
      <c r="R262" s="3" t="str">
        <f t="shared" si="31"/>
        <v/>
      </c>
      <c r="S262" s="3" t="str">
        <f t="shared" si="31"/>
        <v/>
      </c>
      <c r="T262" s="3" t="str">
        <f t="shared" si="31"/>
        <v/>
      </c>
      <c r="U262" s="3" t="str">
        <f t="shared" si="31"/>
        <v/>
      </c>
      <c r="V262" s="3" t="str">
        <f t="shared" si="31"/>
        <v/>
      </c>
      <c r="W262" s="3" t="str">
        <f t="shared" si="31"/>
        <v/>
      </c>
      <c r="X262" s="3" t="str">
        <f t="shared" si="31"/>
        <v/>
      </c>
      <c r="Y262" s="3" t="str">
        <f t="shared" si="31"/>
        <v/>
      </c>
      <c r="Z262" s="3" t="str">
        <f t="shared" si="31"/>
        <v/>
      </c>
      <c r="AA262" s="3" t="str">
        <f t="shared" si="31"/>
        <v/>
      </c>
      <c r="AB262" s="3" t="str">
        <f t="shared" si="31"/>
        <v/>
      </c>
      <c r="AC262" s="3" t="str">
        <f t="shared" si="31"/>
        <v/>
      </c>
      <c r="AD262" s="3" t="str">
        <f t="shared" si="31"/>
        <v/>
      </c>
      <c r="AE262" s="3" t="str">
        <f t="shared" si="31"/>
        <v/>
      </c>
      <c r="AF262" s="3" t="str">
        <f t="shared" si="31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2">IF(B230&lt;100,"",B230-1500)</f>
        <v/>
      </c>
      <c r="C263" s="3" t="str">
        <f t="shared" si="32"/>
        <v/>
      </c>
      <c r="D263" s="3" t="str">
        <f t="shared" si="32"/>
        <v/>
      </c>
      <c r="E263" s="3" t="str">
        <f t="shared" si="32"/>
        <v/>
      </c>
      <c r="F263" s="3" t="str">
        <f t="shared" si="32"/>
        <v/>
      </c>
      <c r="G263" s="3" t="str">
        <f t="shared" si="32"/>
        <v/>
      </c>
      <c r="H263" s="3" t="str">
        <f t="shared" si="32"/>
        <v/>
      </c>
      <c r="I263" s="3" t="str">
        <f t="shared" si="32"/>
        <v/>
      </c>
      <c r="J263" s="3" t="str">
        <f t="shared" si="32"/>
        <v/>
      </c>
      <c r="K263" s="3" t="str">
        <f t="shared" si="32"/>
        <v/>
      </c>
      <c r="L263" s="3" t="str">
        <f t="shared" si="32"/>
        <v/>
      </c>
      <c r="M263" s="3" t="str">
        <f t="shared" si="32"/>
        <v/>
      </c>
      <c r="N263" s="3" t="str">
        <f t="shared" si="32"/>
        <v/>
      </c>
      <c r="O263" s="3" t="str">
        <f t="shared" si="32"/>
        <v/>
      </c>
      <c r="P263" s="3" t="str">
        <f t="shared" si="32"/>
        <v/>
      </c>
      <c r="Q263" s="3" t="str">
        <f t="shared" si="32"/>
        <v/>
      </c>
      <c r="R263" s="3" t="str">
        <f t="shared" si="32"/>
        <v/>
      </c>
      <c r="S263" s="3" t="str">
        <f t="shared" si="32"/>
        <v/>
      </c>
      <c r="T263" s="3" t="str">
        <f t="shared" si="32"/>
        <v/>
      </c>
      <c r="U263" s="3" t="str">
        <f t="shared" si="32"/>
        <v/>
      </c>
      <c r="V263" s="3" t="str">
        <f t="shared" si="32"/>
        <v/>
      </c>
      <c r="W263" s="3" t="str">
        <f t="shared" si="32"/>
        <v/>
      </c>
      <c r="X263" s="3" t="str">
        <f t="shared" si="32"/>
        <v/>
      </c>
      <c r="Y263" s="3" t="str">
        <f t="shared" si="32"/>
        <v/>
      </c>
      <c r="Z263" s="3" t="str">
        <f t="shared" si="32"/>
        <v/>
      </c>
      <c r="AA263" s="3" t="str">
        <f t="shared" si="32"/>
        <v/>
      </c>
      <c r="AB263" s="3" t="str">
        <f t="shared" si="32"/>
        <v/>
      </c>
      <c r="AC263" s="3" t="str">
        <f t="shared" si="32"/>
        <v/>
      </c>
      <c r="AD263" s="3" t="str">
        <f t="shared" si="32"/>
        <v/>
      </c>
      <c r="AE263" s="3" t="str">
        <f t="shared" si="32"/>
        <v/>
      </c>
      <c r="AF263" s="3" t="str">
        <f t="shared" si="32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9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W11:AF11 B16:AF16 B20:AF23">
    <cfRule type="expression" dxfId="4762" priority="245">
      <formula>B$9&gt;=20/24</formula>
    </cfRule>
    <cfRule type="expression" dxfId="4761" priority="246">
      <formula>AND(B$9&gt;=14/24,B$9&lt;20/24)</formula>
    </cfRule>
    <cfRule type="expression" dxfId="4760" priority="247">
      <formula>AND(B$9&gt;=8/24,B$9&lt;14/24)</formula>
    </cfRule>
    <cfRule type="expression" dxfId="4759" priority="248">
      <formula>B$9&lt;8/24</formula>
    </cfRule>
  </conditionalFormatting>
  <conditionalFormatting sqref="AL4:AL6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4758" priority="240">
      <formula>S$9&gt;=20/24</formula>
    </cfRule>
    <cfRule type="expression" dxfId="4757" priority="241">
      <formula>AND(S$9&gt;=14/24,S$9&lt;20/24)</formula>
    </cfRule>
    <cfRule type="expression" dxfId="4756" priority="242">
      <formula>AND(S$9&gt;=8/24,S$9&lt;14/24)</formula>
    </cfRule>
    <cfRule type="expression" dxfId="4755" priority="243">
      <formula>S$9&lt;8/24</formula>
    </cfRule>
  </conditionalFormatting>
  <conditionalFormatting sqref="AG57 B12:V16 W11:AF16 B18:AF18 S39:AF39 B20:AF23 B37:AF37">
    <cfRule type="expression" dxfId="4754" priority="239">
      <formula>B11&gt;$AG11</formula>
    </cfRule>
  </conditionalFormatting>
  <conditionalFormatting sqref="A91:A101 A11:A14 A51:A78 A87:A89 A194:A224 A38:A49 A110:A181 A34:A35 A83:A85 A80:A81 A103:A105 A31:A32 A18:A29 A16">
    <cfRule type="expression" dxfId="4753" priority="238">
      <formula>$AH11=0</formula>
    </cfRule>
  </conditionalFormatting>
  <conditionalFormatting sqref="A106">
    <cfRule type="expression" dxfId="4752" priority="237">
      <formula>$AH106=0</formula>
    </cfRule>
  </conditionalFormatting>
  <conditionalFormatting sqref="AL35">
    <cfRule type="iconSet" priority="236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751" priority="235">
      <formula>$AH37=0</formula>
    </cfRule>
  </conditionalFormatting>
  <conditionalFormatting sqref="A90">
    <cfRule type="expression" dxfId="4750" priority="234">
      <formula>$AH90=0</formula>
    </cfRule>
  </conditionalFormatting>
  <conditionalFormatting sqref="A15">
    <cfRule type="expression" dxfId="4749" priority="233">
      <formula>$AH15=0</formula>
    </cfRule>
  </conditionalFormatting>
  <conditionalFormatting sqref="A188:A193">
    <cfRule type="expression" dxfId="4748" priority="232">
      <formula>$AH188=0</formula>
    </cfRule>
  </conditionalFormatting>
  <conditionalFormatting sqref="A182:A187">
    <cfRule type="expression" dxfId="4747" priority="231">
      <formula>$AH182=0</formula>
    </cfRule>
  </conditionalFormatting>
  <conditionalFormatting sqref="A50">
    <cfRule type="expression" dxfId="4746" priority="230">
      <formula>$AH50=0</formula>
    </cfRule>
  </conditionalFormatting>
  <conditionalFormatting sqref="A86">
    <cfRule type="expression" dxfId="4745" priority="229">
      <formula>$AH86=0</formula>
    </cfRule>
  </conditionalFormatting>
  <conditionalFormatting sqref="C91:AF91">
    <cfRule type="expression" dxfId="4744" priority="225">
      <formula>C$9&gt;=20/24</formula>
    </cfRule>
    <cfRule type="expression" dxfId="4743" priority="226">
      <formula>AND(C$9&gt;=14/24,C$9&lt;20/24)</formula>
    </cfRule>
    <cfRule type="expression" dxfId="4742" priority="227">
      <formula>AND(C$9&gt;=8/24,C$9&lt;14/24)</formula>
    </cfRule>
    <cfRule type="expression" dxfId="4741" priority="228">
      <formula>C$9&lt;8/24</formula>
    </cfRule>
  </conditionalFormatting>
  <conditionalFormatting sqref="AL36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740" priority="251">
      <formula>C$9&gt;=20/24</formula>
    </cfRule>
    <cfRule type="expression" dxfId="4739" priority="252">
      <formula>AND(C$9&gt;=14/24,C$9&lt;20/24)</formula>
    </cfRule>
    <cfRule type="expression" dxfId="4738" priority="253">
      <formula>AND(C$9&gt;=8/24,C$9&lt;14/24)</formula>
    </cfRule>
    <cfRule type="expression" dxfId="4737" priority="254">
      <formula>C$9&lt;8/24</formula>
    </cfRule>
  </conditionalFormatting>
  <conditionalFormatting sqref="A225">
    <cfRule type="expression" dxfId="4736" priority="255">
      <formula>$AH225=0</formula>
    </cfRule>
  </conditionalFormatting>
  <conditionalFormatting sqref="AG237">
    <cfRule type="expression" dxfId="4735" priority="256">
      <formula>B$9&gt;=20/24</formula>
    </cfRule>
    <cfRule type="expression" dxfId="4734" priority="257">
      <formula>AND(B$9&gt;=14/24,B$9&lt;20/24)</formula>
    </cfRule>
    <cfRule type="expression" dxfId="4733" priority="258">
      <formula>AND(B$9&gt;=8/24,B$9&lt;14/24)</formula>
    </cfRule>
    <cfRule type="expression" dxfId="4732" priority="259">
      <formula>B$9&lt;8/24</formula>
    </cfRule>
  </conditionalFormatting>
  <conditionalFormatting sqref="S8">
    <cfRule type="expression" dxfId="4731" priority="220">
      <formula>U$9&gt;=20/24</formula>
    </cfRule>
    <cfRule type="expression" dxfId="4730" priority="221">
      <formula>AND(U$9&gt;=14/24,U$9&lt;20/24)</formula>
    </cfRule>
    <cfRule type="expression" dxfId="4729" priority="222">
      <formula>AND(U$9&gt;=8/24,U$9&lt;14/24)</formula>
    </cfRule>
    <cfRule type="expression" dxfId="4728" priority="223">
      <formula>U$9&lt;8/24</formula>
    </cfRule>
  </conditionalFormatting>
  <conditionalFormatting sqref="AB8">
    <cfRule type="expression" dxfId="4727" priority="216">
      <formula>AD$9&gt;=20/24</formula>
    </cfRule>
    <cfRule type="expression" dxfId="4726" priority="217">
      <formula>AND(AD$9&gt;=14/24,AD$9&lt;20/24)</formula>
    </cfRule>
    <cfRule type="expression" dxfId="4725" priority="218">
      <formula>AND(AD$9&gt;=8/24,AD$9&lt;14/24)</formula>
    </cfRule>
    <cfRule type="expression" dxfId="4724" priority="219">
      <formula>AD$9&lt;8/24</formula>
    </cfRule>
  </conditionalFormatting>
  <conditionalFormatting sqref="AH237:AX237">
    <cfRule type="expression" dxfId="4723" priority="260">
      <formula>AG$9&gt;=20/24</formula>
    </cfRule>
    <cfRule type="expression" dxfId="4722" priority="261">
      <formula>AND(AG$9&gt;=14/24,AG$9&lt;20/24)</formula>
    </cfRule>
    <cfRule type="expression" dxfId="4721" priority="262">
      <formula>AND(AG$9&gt;=8/24,AG$9&lt;14/24)</formula>
    </cfRule>
    <cfRule type="expression" dxfId="4720" priority="263">
      <formula>AG$9&lt;8/24</formula>
    </cfRule>
  </conditionalFormatting>
  <conditionalFormatting sqref="T237">
    <cfRule type="expression" dxfId="4719" priority="264">
      <formula>AX$9&gt;=20/24</formula>
    </cfRule>
    <cfRule type="expression" dxfId="4718" priority="265">
      <formula>AND(AX$9&gt;=14/24,AX$9&lt;20/24)</formula>
    </cfRule>
    <cfRule type="expression" dxfId="4717" priority="266">
      <formula>AND(AX$9&gt;=8/24,AX$9&lt;14/24)</formula>
    </cfRule>
    <cfRule type="expression" dxfId="4716" priority="267">
      <formula>AX$9&lt;8/24</formula>
    </cfRule>
  </conditionalFormatting>
  <conditionalFormatting sqref="A107:A108">
    <cfRule type="expression" dxfId="4715" priority="215">
      <formula>$AH107=0</formula>
    </cfRule>
  </conditionalFormatting>
  <conditionalFormatting sqref="AC46:AF47 E46:M47 E63:AF63 AB38:AF38">
    <cfRule type="expression" dxfId="4714" priority="211">
      <formula>E$9&gt;=20/24</formula>
    </cfRule>
    <cfRule type="expression" dxfId="4713" priority="212">
      <formula>AND(E$9&gt;=14/24,E$9&lt;20/24)</formula>
    </cfRule>
    <cfRule type="expression" dxfId="4712" priority="213">
      <formula>AND(E$9&gt;=8/24,E$9&lt;14/24)</formula>
    </cfRule>
    <cfRule type="expression" dxfId="4711" priority="214">
      <formula>E$9&lt;8/24</formula>
    </cfRule>
  </conditionalFormatting>
  <conditionalFormatting sqref="AC45:AF45 E45:M45">
    <cfRule type="expression" dxfId="4710" priority="207">
      <formula>E$9&gt;=20/24</formula>
    </cfRule>
    <cfRule type="expression" dxfId="4709" priority="208">
      <formula>AND(E$9&gt;=14/24,E$9&lt;20/24)</formula>
    </cfRule>
    <cfRule type="expression" dxfId="4708" priority="209">
      <formula>AND(E$9&gt;=8/24,E$9&lt;14/24)</formula>
    </cfRule>
    <cfRule type="expression" dxfId="4707" priority="210">
      <formula>E$9&lt;8/24</formula>
    </cfRule>
  </conditionalFormatting>
  <conditionalFormatting sqref="AC45:AF47 E45:M47 AB38:AF38">
    <cfRule type="expression" dxfId="4706" priority="206">
      <formula>E38&gt;$AG38</formula>
    </cfRule>
  </conditionalFormatting>
  <conditionalFormatting sqref="C88:AF88 C75:AF78 L39:R39 E64:AF65 AC66:AF73 S59:AF61 W12:AF14 V18:AF18 W25:AF27 W29:AF29 W31:AF33 D92:AF98">
    <cfRule type="expression" dxfId="4705" priority="202">
      <formula>C$9&gt;=20/24</formula>
    </cfRule>
    <cfRule type="expression" dxfId="4704" priority="203">
      <formula>AND(C$9&gt;=14/24,C$9&lt;20/24)</formula>
    </cfRule>
    <cfRule type="expression" dxfId="4703" priority="204">
      <formula>AND(C$9&gt;=8/24,C$9&lt;14/24)</formula>
    </cfRule>
    <cfRule type="expression" dxfId="4702" priority="205">
      <formula>C$9&lt;8/24</formula>
    </cfRule>
  </conditionalFormatting>
  <conditionalFormatting sqref="AC48:AF49 C57:AF57 E48:M48 L39:R39 S59:AF61 W25:AF29 W31:AF33">
    <cfRule type="expression" dxfId="4701" priority="197">
      <formula>C25&gt;$AG25</formula>
    </cfRule>
  </conditionalFormatting>
  <conditionalFormatting sqref="W15:AF15">
    <cfRule type="expression" dxfId="4700" priority="189">
      <formula>W$9&gt;=20/24</formula>
    </cfRule>
    <cfRule type="expression" dxfId="4699" priority="190">
      <formula>AND(W$9&gt;=14/24,W$9&lt;20/24)</formula>
    </cfRule>
    <cfRule type="expression" dxfId="4698" priority="191">
      <formula>AND(W$9&gt;=8/24,W$9&lt;14/24)</formula>
    </cfRule>
    <cfRule type="expression" dxfId="4697" priority="192">
      <formula>W$9&lt;8/24</formula>
    </cfRule>
  </conditionalFormatting>
  <conditionalFormatting sqref="AC50:AF56">
    <cfRule type="expression" dxfId="4696" priority="180">
      <formula>AC$9&gt;=20/24</formula>
    </cfRule>
    <cfRule type="expression" dxfId="4695" priority="181">
      <formula>AND(AC$9&gt;=14/24,AC$9&lt;20/24)</formula>
    </cfRule>
    <cfRule type="expression" dxfId="4694" priority="182">
      <formula>AND(AC$9&gt;=8/24,AC$9&lt;14/24)</formula>
    </cfRule>
    <cfRule type="expression" dxfId="4693" priority="183">
      <formula>AC$9&lt;8/24</formula>
    </cfRule>
  </conditionalFormatting>
  <conditionalFormatting sqref="AC50:AF56">
    <cfRule type="expression" dxfId="4692" priority="179">
      <formula>AC50&gt;$AG50</formula>
    </cfRule>
  </conditionalFormatting>
  <conditionalFormatting sqref="N45:W49 X46:AB49">
    <cfRule type="expression" dxfId="4691" priority="175">
      <formula>N$9&gt;=20/24</formula>
    </cfRule>
    <cfRule type="expression" dxfId="4690" priority="176">
      <formula>AND(N$9&gt;=14/24,N$9&lt;20/24)</formula>
    </cfRule>
    <cfRule type="expression" dxfId="4689" priority="177">
      <formula>AND(N$9&gt;=8/24,N$9&lt;14/24)</formula>
    </cfRule>
    <cfRule type="expression" dxfId="4688" priority="178">
      <formula>N$9&lt;8/24</formula>
    </cfRule>
  </conditionalFormatting>
  <conditionalFormatting sqref="N45:W49 X46:AB49">
    <cfRule type="expression" dxfId="4687" priority="174">
      <formula>N45&gt;$AG45</formula>
    </cfRule>
  </conditionalFormatting>
  <conditionalFormatting sqref="W28:AF28">
    <cfRule type="expression" dxfId="4686" priority="170">
      <formula>W$9&gt;=20/24</formula>
    </cfRule>
    <cfRule type="expression" dxfId="4685" priority="171">
      <formula>AND(W$9&gt;=14/24,W$9&lt;20/24)</formula>
    </cfRule>
    <cfRule type="expression" dxfId="4684" priority="172">
      <formula>AND(W$9&gt;=8/24,W$9&lt;14/24)</formula>
    </cfRule>
    <cfRule type="expression" dxfId="4683" priority="173">
      <formula>W$9&lt;8/24</formula>
    </cfRule>
  </conditionalFormatting>
  <conditionalFormatting sqref="D31:V31 W19:AF19 W24:AF24">
    <cfRule type="expression" dxfId="4682" priority="166">
      <formula>D$9&gt;=20/24</formula>
    </cfRule>
    <cfRule type="expression" dxfId="4681" priority="167">
      <formula>AND(D$9&gt;=14/24,D$9&lt;20/24)</formula>
    </cfRule>
    <cfRule type="expression" dxfId="4680" priority="168">
      <formula>AND(D$9&gt;=8/24,D$9&lt;14/24)</formula>
    </cfRule>
    <cfRule type="expression" dxfId="4679" priority="169">
      <formula>D$9&lt;8/24</formula>
    </cfRule>
  </conditionalFormatting>
  <conditionalFormatting sqref="D31:V31 W19:AF19 W24:AF24">
    <cfRule type="expression" dxfId="4678" priority="165">
      <formula>D19&gt;$AG19</formula>
    </cfRule>
  </conditionalFormatting>
  <conditionalFormatting sqref="D45">
    <cfRule type="expression" dxfId="4677" priority="161">
      <formula>D$9&gt;=20/24</formula>
    </cfRule>
    <cfRule type="expression" dxfId="4676" priority="162">
      <formula>AND(D$9&gt;=14/24,D$9&lt;20/24)</formula>
    </cfRule>
    <cfRule type="expression" dxfId="4675" priority="163">
      <formula>AND(D$9&gt;=8/24,D$9&lt;14/24)</formula>
    </cfRule>
    <cfRule type="expression" dxfId="4674" priority="164">
      <formula>D$9&lt;8/24</formula>
    </cfRule>
  </conditionalFormatting>
  <conditionalFormatting sqref="D45">
    <cfRule type="expression" dxfId="4673" priority="160">
      <formula>D45&gt;$AG45</formula>
    </cfRule>
  </conditionalFormatting>
  <conditionalFormatting sqref="X45:AB45">
    <cfRule type="expression" dxfId="4672" priority="152">
      <formula>X$9&gt;=20/24</formula>
    </cfRule>
    <cfRule type="expression" dxfId="4671" priority="153">
      <formula>AND(X$9&gt;=14/24,X$9&lt;20/24)</formula>
    </cfRule>
    <cfRule type="expression" dxfId="4670" priority="154">
      <formula>AND(X$9&gt;=8/24,X$9&lt;14/24)</formula>
    </cfRule>
    <cfRule type="expression" dxfId="4669" priority="155">
      <formula>X$9&lt;8/24</formula>
    </cfRule>
  </conditionalFormatting>
  <conditionalFormatting sqref="X45:AB45">
    <cfRule type="expression" dxfId="4668" priority="151">
      <formula>X45&gt;$AG45</formula>
    </cfRule>
  </conditionalFormatting>
  <conditionalFormatting sqref="B101 B80:AF80 B89:AF89 B103:B108 B11:V11">
    <cfRule type="expression" dxfId="4667" priority="147">
      <formula>B$9&gt;=20/24</formula>
    </cfRule>
    <cfRule type="expression" dxfId="4666" priority="148">
      <formula>AND(B$9&gt;=14/24,B$9&lt;20/24)</formula>
    </cfRule>
    <cfRule type="expression" dxfId="4665" priority="149">
      <formula>AND(B$9&gt;=8/24,B$9&lt;14/24)</formula>
    </cfRule>
    <cfRule type="expression" dxfId="4664" priority="150">
      <formula>B$9&lt;8/24</formula>
    </cfRule>
  </conditionalFormatting>
  <conditionalFormatting sqref="B39:K39">
    <cfRule type="expression" dxfId="4663" priority="143">
      <formula>B$9&gt;=20/24</formula>
    </cfRule>
    <cfRule type="expression" dxfId="4662" priority="144">
      <formula>AND(B$9&gt;=14/24,B$9&lt;20/24)</formula>
    </cfRule>
    <cfRule type="expression" dxfId="4661" priority="145">
      <formula>AND(B$9&gt;=8/24,B$9&lt;14/24)</formula>
    </cfRule>
    <cfRule type="expression" dxfId="4660" priority="146">
      <formula>B$9&lt;8/24</formula>
    </cfRule>
  </conditionalFormatting>
  <conditionalFormatting sqref="B39:K39 B11:V11">
    <cfRule type="expression" dxfId="4659" priority="142">
      <formula>B11&gt;$AG11</formula>
    </cfRule>
  </conditionalFormatting>
  <conditionalFormatting sqref="B91">
    <cfRule type="expression" dxfId="4658" priority="138">
      <formula>B$9&gt;=20/24</formula>
    </cfRule>
    <cfRule type="expression" dxfId="4657" priority="139">
      <formula>AND(B$9&gt;=14/24,B$9&lt;20/24)</formula>
    </cfRule>
    <cfRule type="expression" dxfId="4656" priority="140">
      <formula>AND(B$9&gt;=8/24,B$9&lt;14/24)</formula>
    </cfRule>
    <cfRule type="expression" dxfId="4655" priority="141">
      <formula>B$9&lt;8/24</formula>
    </cfRule>
  </conditionalFormatting>
  <conditionalFormatting sqref="B63:D63 B46:D47 B38:AA38">
    <cfRule type="expression" dxfId="4654" priority="134">
      <formula>B$9&gt;=20/24</formula>
    </cfRule>
    <cfRule type="expression" dxfId="4653" priority="135">
      <formula>AND(B$9&gt;=14/24,B$9&lt;20/24)</formula>
    </cfRule>
    <cfRule type="expression" dxfId="4652" priority="136">
      <formula>AND(B$9&gt;=8/24,B$9&lt;14/24)</formula>
    </cfRule>
    <cfRule type="expression" dxfId="4651" priority="137">
      <formula>B$9&lt;8/24</formula>
    </cfRule>
  </conditionalFormatting>
  <conditionalFormatting sqref="B45:C45">
    <cfRule type="expression" dxfId="4650" priority="130">
      <formula>B$9&gt;=20/24</formula>
    </cfRule>
    <cfRule type="expression" dxfId="4649" priority="131">
      <formula>AND(B$9&gt;=14/24,B$9&lt;20/24)</formula>
    </cfRule>
    <cfRule type="expression" dxfId="4648" priority="132">
      <formula>AND(B$9&gt;=8/24,B$9&lt;14/24)</formula>
    </cfRule>
    <cfRule type="expression" dxfId="4647" priority="133">
      <formula>B$9&lt;8/24</formula>
    </cfRule>
  </conditionalFormatting>
  <conditionalFormatting sqref="D46:D47 B45:C47 B38:AA38">
    <cfRule type="expression" dxfId="4646" priority="129">
      <formula>B38&gt;$AG38</formula>
    </cfRule>
  </conditionalFormatting>
  <conditionalFormatting sqref="B59:B62 B75:B79 B81:AF81 B88 C62:AG62 C79:AG79 B90:AF90 B92:C98 B64:D73 C59:R61 B31:C34 B18:U18 B12:V14 D32:V34 B29:V29 B25:V27 E66:AB73 W34:AF34">
    <cfRule type="expression" dxfId="4645" priority="125">
      <formula>B$9&gt;=20/24</formula>
    </cfRule>
    <cfRule type="expression" dxfId="4644" priority="126">
      <formula>AND(B$9&gt;=14/24,B$9&lt;20/24)</formula>
    </cfRule>
    <cfRule type="expression" dxfId="4643" priority="127">
      <formula>AND(B$9&gt;=8/24,B$9&lt;14/24)</formula>
    </cfRule>
    <cfRule type="expression" dxfId="4642" priority="128">
      <formula>B$9&lt;8/24</formula>
    </cfRule>
  </conditionalFormatting>
  <conditionalFormatting sqref="B35:AF35">
    <cfRule type="expression" dxfId="4641" priority="121">
      <formula>B$9&gt;=20/24</formula>
    </cfRule>
    <cfRule type="expression" dxfId="4640" priority="122">
      <formula>AND(B$9&gt;=14/24,B$9&lt;20/24)</formula>
    </cfRule>
    <cfRule type="expression" dxfId="4639" priority="123">
      <formula>AND(B$9&gt;=8/24,B$9&lt;14/24)</formula>
    </cfRule>
    <cfRule type="expression" dxfId="4638" priority="124">
      <formula>B$9&lt;8/24</formula>
    </cfRule>
  </conditionalFormatting>
  <conditionalFormatting sqref="B57:B62 C58:AG58 C62:AG62 C59:R61 B31:C35 B48:D49 E49:M49 D32:V35 B25:V29 B40:AG40 W34:AF35">
    <cfRule type="expression" dxfId="4637" priority="120">
      <formula>B25&gt;$AG25</formula>
    </cfRule>
  </conditionalFormatting>
  <conditionalFormatting sqref="B37:AF37">
    <cfRule type="expression" dxfId="4636" priority="116">
      <formula>B$9&gt;=20/24</formula>
    </cfRule>
    <cfRule type="expression" dxfId="4635" priority="117">
      <formula>AND(B$9&gt;=14/24,B$9&lt;20/24)</formula>
    </cfRule>
    <cfRule type="expression" dxfId="4634" priority="118">
      <formula>AND(B$9&gt;=8/24,B$9&lt;14/24)</formula>
    </cfRule>
    <cfRule type="expression" dxfId="4633" priority="119">
      <formula>B$9&lt;8/24</formula>
    </cfRule>
  </conditionalFormatting>
  <conditionalFormatting sqref="B15:V15">
    <cfRule type="expression" dxfId="4632" priority="112">
      <formula>B$9&gt;=20/24</formula>
    </cfRule>
    <cfRule type="expression" dxfId="4631" priority="113">
      <formula>AND(B$9&gt;=14/24,B$9&lt;20/24)</formula>
    </cfRule>
    <cfRule type="expression" dxfId="4630" priority="114">
      <formula>AND(B$9&gt;=8/24,B$9&lt;14/24)</formula>
    </cfRule>
    <cfRule type="expression" dxfId="4629" priority="115">
      <formula>B$9&lt;8/24</formula>
    </cfRule>
  </conditionalFormatting>
  <conditionalFormatting sqref="B36:AF36">
    <cfRule type="expression" dxfId="4628" priority="108">
      <formula>B$9&gt;=20/24</formula>
    </cfRule>
    <cfRule type="expression" dxfId="4627" priority="109">
      <formula>AND(B$9&gt;=14/24,B$9&lt;20/24)</formula>
    </cfRule>
    <cfRule type="expression" dxfId="4626" priority="110">
      <formula>AND(B$9&gt;=8/24,B$9&lt;14/24)</formula>
    </cfRule>
    <cfRule type="expression" dxfId="4625" priority="111">
      <formula>B$9&lt;8/24</formula>
    </cfRule>
  </conditionalFormatting>
  <conditionalFormatting sqref="B36:AF36">
    <cfRule type="expression" dxfId="4624" priority="107">
      <formula>B36&gt;$AG36</formula>
    </cfRule>
  </conditionalFormatting>
  <conditionalFormatting sqref="B50:AB56">
    <cfRule type="expression" dxfId="4623" priority="103">
      <formula>B$9&gt;=20/24</formula>
    </cfRule>
    <cfRule type="expression" dxfId="4622" priority="104">
      <formula>AND(B$9&gt;=14/24,B$9&lt;20/24)</formula>
    </cfRule>
    <cfRule type="expression" dxfId="4621" priority="105">
      <formula>AND(B$9&gt;=8/24,B$9&lt;14/24)</formula>
    </cfRule>
    <cfRule type="expression" dxfId="4620" priority="106">
      <formula>B$9&lt;8/24</formula>
    </cfRule>
  </conditionalFormatting>
  <conditionalFormatting sqref="B50:AB56">
    <cfRule type="expression" dxfId="4619" priority="102">
      <formula>B50&gt;$AG50</formula>
    </cfRule>
  </conditionalFormatting>
  <conditionalFormatting sqref="B28:V28">
    <cfRule type="expression" dxfId="4618" priority="98">
      <formula>B$9&gt;=20/24</formula>
    </cfRule>
    <cfRule type="expression" dxfId="4617" priority="99">
      <formula>AND(B$9&gt;=14/24,B$9&lt;20/24)</formula>
    </cfRule>
    <cfRule type="expression" dxfId="4616" priority="100">
      <formula>AND(B$9&gt;=8/24,B$9&lt;14/24)</formula>
    </cfRule>
    <cfRule type="expression" dxfId="4615" priority="101">
      <formula>B$9&lt;8/24</formula>
    </cfRule>
  </conditionalFormatting>
  <conditionalFormatting sqref="B19:V19 B24:V24">
    <cfRule type="expression" dxfId="4614" priority="94">
      <formula>B$9&gt;=20/24</formula>
    </cfRule>
    <cfRule type="expression" dxfId="4613" priority="95">
      <formula>AND(B$9&gt;=14/24,B$9&lt;20/24)</formula>
    </cfRule>
    <cfRule type="expression" dxfId="4612" priority="96">
      <formula>AND(B$9&gt;=8/24,B$9&lt;14/24)</formula>
    </cfRule>
    <cfRule type="expression" dxfId="4611" priority="97">
      <formula>B$9&lt;8/24</formula>
    </cfRule>
  </conditionalFormatting>
  <conditionalFormatting sqref="B19:V19 B24:V24">
    <cfRule type="expression" dxfId="4610" priority="93">
      <formula>B19&gt;$AG19</formula>
    </cfRule>
  </conditionalFormatting>
  <conditionalFormatting sqref="A36">
    <cfRule type="expression" dxfId="4609" priority="92">
      <formula>$AH36=0</formula>
    </cfRule>
  </conditionalFormatting>
  <conditionalFormatting sqref="B74:AF74">
    <cfRule type="expression" dxfId="4608" priority="88">
      <formula>B$9&gt;=20/24</formula>
    </cfRule>
    <cfRule type="expression" dxfId="4607" priority="89">
      <formula>AND(B$9&gt;=14/24,B$9&lt;20/24)</formula>
    </cfRule>
    <cfRule type="expression" dxfId="4606" priority="90">
      <formula>AND(B$9&gt;=8/24,B$9&lt;14/24)</formula>
    </cfRule>
    <cfRule type="expression" dxfId="4605" priority="91">
      <formula>B$9&lt;8/24</formula>
    </cfRule>
  </conditionalFormatting>
  <conditionalFormatting sqref="B83:AF87">
    <cfRule type="expression" dxfId="4604" priority="84">
      <formula>B$9&gt;=20/24</formula>
    </cfRule>
    <cfRule type="expression" dxfId="4603" priority="85">
      <formula>AND(B$9&gt;=14/24,B$9&lt;20/24)</formula>
    </cfRule>
    <cfRule type="expression" dxfId="4602" priority="86">
      <formula>AND(B$9&gt;=8/24,B$9&lt;14/24)</formula>
    </cfRule>
    <cfRule type="expression" dxfId="4601" priority="87">
      <formula>B$9&lt;8/24</formula>
    </cfRule>
  </conditionalFormatting>
  <conditionalFormatting sqref="AL37 AL34 AL18:AL29 AL7:AL16 AL31:AL32">
    <cfRule type="iconSet" priority="268">
      <iconSet iconSet="3TrafficLights2" reverse="1">
        <cfvo type="percent" val="0"/>
        <cfvo type="num" val="1"/>
        <cfvo type="num" val="1"/>
      </iconSet>
    </cfRule>
  </conditionalFormatting>
  <conditionalFormatting sqref="D41:AF43">
    <cfRule type="expression" dxfId="4600" priority="80">
      <formula>D$9&gt;=20/24</formula>
    </cfRule>
    <cfRule type="expression" dxfId="4599" priority="81">
      <formula>AND(D$9&gt;=14/24,D$9&lt;20/24)</formula>
    </cfRule>
    <cfRule type="expression" dxfId="4598" priority="82">
      <formula>AND(D$9&gt;=8/24,D$9&lt;14/24)</formula>
    </cfRule>
    <cfRule type="expression" dxfId="4597" priority="83">
      <formula>D$9&lt;8/24</formula>
    </cfRule>
  </conditionalFormatting>
  <conditionalFormatting sqref="D41:AF43">
    <cfRule type="expression" dxfId="4596" priority="79">
      <formula>D41&gt;$AG41</formula>
    </cfRule>
  </conditionalFormatting>
  <conditionalFormatting sqref="B41:B44 C44:AG44 C41:C43">
    <cfRule type="expression" dxfId="4595" priority="75">
      <formula>B$9&gt;=20/24</formula>
    </cfRule>
    <cfRule type="expression" dxfId="4594" priority="76">
      <formula>AND(B$9&gt;=14/24,B$9&lt;20/24)</formula>
    </cfRule>
    <cfRule type="expression" dxfId="4593" priority="77">
      <formula>AND(B$9&gt;=8/24,B$9&lt;14/24)</formula>
    </cfRule>
    <cfRule type="expression" dxfId="4592" priority="78">
      <formula>B$9&lt;8/24</formula>
    </cfRule>
  </conditionalFormatting>
  <conditionalFormatting sqref="B41:B44 C44:AG44 C41:C43">
    <cfRule type="expression" dxfId="4591" priority="74">
      <formula>B41&gt;$AG41</formula>
    </cfRule>
  </conditionalFormatting>
  <conditionalFormatting sqref="C99:AF99">
    <cfRule type="expression" dxfId="4590" priority="70">
      <formula>C$9&gt;=20/24</formula>
    </cfRule>
    <cfRule type="expression" dxfId="4589" priority="71">
      <formula>AND(C$9&gt;=14/24,C$9&lt;20/24)</formula>
    </cfRule>
    <cfRule type="expression" dxfId="4588" priority="72">
      <formula>AND(C$9&gt;=8/24,C$9&lt;14/24)</formula>
    </cfRule>
    <cfRule type="expression" dxfId="4587" priority="73">
      <formula>C$9&lt;8/24</formula>
    </cfRule>
  </conditionalFormatting>
  <conditionalFormatting sqref="B99">
    <cfRule type="expression" dxfId="4586" priority="66">
      <formula>B$9&gt;=20/24</formula>
    </cfRule>
    <cfRule type="expression" dxfId="4585" priority="67">
      <formula>AND(B$9&gt;=14/24,B$9&lt;20/24)</formula>
    </cfRule>
    <cfRule type="expression" dxfId="4584" priority="68">
      <formula>AND(B$9&gt;=8/24,B$9&lt;14/24)</formula>
    </cfRule>
    <cfRule type="expression" dxfId="4583" priority="69">
      <formula>B$9&lt;8/24</formula>
    </cfRule>
  </conditionalFormatting>
  <conditionalFormatting sqref="AL33">
    <cfRule type="iconSet" priority="65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4582" priority="60">
      <formula>$AH33=0</formula>
    </cfRule>
  </conditionalFormatting>
  <conditionalFormatting sqref="A82">
    <cfRule type="expression" dxfId="4581" priority="58">
      <formula>$AH82=0</formula>
    </cfRule>
  </conditionalFormatting>
  <conditionalFormatting sqref="A79">
    <cfRule type="expression" dxfId="4580" priority="59">
      <formula>$AH79=0</formula>
    </cfRule>
  </conditionalFormatting>
  <conditionalFormatting sqref="A109">
    <cfRule type="expression" dxfId="4579" priority="49">
      <formula>$AH109=0</formula>
    </cfRule>
  </conditionalFormatting>
  <conditionalFormatting sqref="C102:AF102">
    <cfRule type="expression" dxfId="4578" priority="45">
      <formula>C$9&gt;=20/24</formula>
    </cfRule>
    <cfRule type="expression" dxfId="4577" priority="46">
      <formula>AND(C$9&gt;=14/24,C$9&lt;20/24)</formula>
    </cfRule>
    <cfRule type="expression" dxfId="4576" priority="47">
      <formula>AND(C$9&gt;=8/24,C$9&lt;14/24)</formula>
    </cfRule>
    <cfRule type="expression" dxfId="4575" priority="48">
      <formula>C$9&lt;8/24</formula>
    </cfRule>
  </conditionalFormatting>
  <conditionalFormatting sqref="A102">
    <cfRule type="expression" dxfId="4574" priority="44">
      <formula>$AH102=0</formula>
    </cfRule>
  </conditionalFormatting>
  <conditionalFormatting sqref="B102">
    <cfRule type="expression" dxfId="4573" priority="40">
      <formula>B$9&gt;=20/24</formula>
    </cfRule>
    <cfRule type="expression" dxfId="4572" priority="41">
      <formula>AND(B$9&gt;=14/24,B$9&lt;20/24)</formula>
    </cfRule>
    <cfRule type="expression" dxfId="4571" priority="42">
      <formula>AND(B$9&gt;=8/24,B$9&lt;14/24)</formula>
    </cfRule>
    <cfRule type="expression" dxfId="4570" priority="43">
      <formula>B$9&lt;8/24</formula>
    </cfRule>
  </conditionalFormatting>
  <conditionalFormatting sqref="B17:AF17">
    <cfRule type="expression" dxfId="4569" priority="33">
      <formula>B17&gt;$AG17</formula>
    </cfRule>
  </conditionalFormatting>
  <conditionalFormatting sqref="A17">
    <cfRule type="expression" dxfId="4568" priority="32">
      <formula>$AH17=0</formula>
    </cfRule>
  </conditionalFormatting>
  <conditionalFormatting sqref="W17:AF17">
    <cfRule type="expression" dxfId="4567" priority="28">
      <formula>W$9&gt;=20/24</formula>
    </cfRule>
    <cfRule type="expression" dxfId="4566" priority="29">
      <formula>AND(W$9&gt;=14/24,W$9&lt;20/24)</formula>
    </cfRule>
    <cfRule type="expression" dxfId="4565" priority="30">
      <formula>AND(W$9&gt;=8/24,W$9&lt;14/24)</formula>
    </cfRule>
    <cfRule type="expression" dxfId="4564" priority="31">
      <formula>W$9&lt;8/24</formula>
    </cfRule>
  </conditionalFormatting>
  <conditionalFormatting sqref="B17:V17">
    <cfRule type="expression" dxfId="4563" priority="24">
      <formula>B$9&gt;=20/24</formula>
    </cfRule>
    <cfRule type="expression" dxfId="4562" priority="25">
      <formula>AND(B$9&gt;=14/24,B$9&lt;20/24)</formula>
    </cfRule>
    <cfRule type="expression" dxfId="4561" priority="26">
      <formula>AND(B$9&gt;=8/24,B$9&lt;14/24)</formula>
    </cfRule>
    <cfRule type="expression" dxfId="4560" priority="27">
      <formula>B$9&lt;8/24</formula>
    </cfRule>
  </conditionalFormatting>
  <conditionalFormatting sqref="AL17">
    <cfRule type="iconSet" priority="34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4559" priority="22">
      <formula>$AH30=0</formula>
    </cfRule>
  </conditionalFormatting>
  <conditionalFormatting sqref="W30:AF30">
    <cfRule type="expression" dxfId="4558" priority="18">
      <formula>W$9&gt;=20/24</formula>
    </cfRule>
    <cfRule type="expression" dxfId="4557" priority="19">
      <formula>AND(W$9&gt;=14/24,W$9&lt;20/24)</formula>
    </cfRule>
    <cfRule type="expression" dxfId="4556" priority="20">
      <formula>AND(W$9&gt;=8/24,W$9&lt;14/24)</formula>
    </cfRule>
    <cfRule type="expression" dxfId="4555" priority="21">
      <formula>W$9&lt;8/24</formula>
    </cfRule>
  </conditionalFormatting>
  <conditionalFormatting sqref="W30:AF30">
    <cfRule type="expression" dxfId="4554" priority="17">
      <formula>W30&gt;$AG30</formula>
    </cfRule>
  </conditionalFormatting>
  <conditionalFormatting sqref="D30:V30">
    <cfRule type="expression" dxfId="4553" priority="13">
      <formula>D$9&gt;=20/24</formula>
    </cfRule>
    <cfRule type="expression" dxfId="4552" priority="14">
      <formula>AND(D$9&gt;=14/24,D$9&lt;20/24)</formula>
    </cfRule>
    <cfRule type="expression" dxfId="4551" priority="15">
      <formula>AND(D$9&gt;=8/24,D$9&lt;14/24)</formula>
    </cfRule>
    <cfRule type="expression" dxfId="4550" priority="16">
      <formula>D$9&lt;8/24</formula>
    </cfRule>
  </conditionalFormatting>
  <conditionalFormatting sqref="D30:V30">
    <cfRule type="expression" dxfId="4549" priority="12">
      <formula>D30&gt;$AG30</formula>
    </cfRule>
  </conditionalFormatting>
  <conditionalFormatting sqref="B30:C30">
    <cfRule type="expression" dxfId="4548" priority="8">
      <formula>B$9&gt;=20/24</formula>
    </cfRule>
    <cfRule type="expression" dxfId="4547" priority="9">
      <formula>AND(B$9&gt;=14/24,B$9&lt;20/24)</formula>
    </cfRule>
    <cfRule type="expression" dxfId="4546" priority="10">
      <formula>AND(B$9&gt;=8/24,B$9&lt;14/24)</formula>
    </cfRule>
    <cfRule type="expression" dxfId="4545" priority="11">
      <formula>B$9&lt;8/24</formula>
    </cfRule>
  </conditionalFormatting>
  <conditionalFormatting sqref="B30:C30">
    <cfRule type="expression" dxfId="4544" priority="7">
      <formula>B30&gt;$AG30</formula>
    </cfRule>
  </conditionalFormatting>
  <conditionalFormatting sqref="AL30">
    <cfRule type="iconSet" priority="23">
      <iconSet iconSet="3TrafficLights2" reverse="1">
        <cfvo type="percent" val="0"/>
        <cfvo type="num" val="1"/>
        <cfvo type="num" val="1"/>
      </iconSet>
    </cfRule>
  </conditionalFormatting>
  <conditionalFormatting sqref="AK50">
    <cfRule type="expression" dxfId="4543" priority="6">
      <formula>AK50&gt;$AG50</formula>
    </cfRule>
  </conditionalFormatting>
  <conditionalFormatting sqref="AJ7">
    <cfRule type="expression" dxfId="4542" priority="2">
      <formula>AJ$9&gt;=20/24</formula>
    </cfRule>
    <cfRule type="expression" dxfId="4541" priority="3">
      <formula>AND(AJ$9&gt;=14/24,AJ$9&lt;20/24)</formula>
    </cfRule>
    <cfRule type="expression" dxfId="4540" priority="4">
      <formula>AND(AJ$9&gt;=8/24,AJ$9&lt;14/24)</formula>
    </cfRule>
    <cfRule type="expression" dxfId="4539" priority="5">
      <formula>AJ$9&lt;8/24</formula>
    </cfRule>
  </conditionalFormatting>
  <conditionalFormatting sqref="AJ7">
    <cfRule type="expression" dxfId="4538" priority="1">
      <formula>AJ7&gt;$AG7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1" id="{D101DE30-CFE6-4F59-AD00-F553C1FEAAA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62" id="{5D57DD2A-AA7F-44B3-904C-5260CE51AA59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3" id="{AAA12E6B-A4E7-439B-9338-4CBD9A81898F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4" id="{A37768E8-73DD-4F00-9737-7F913672ABFC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54" id="{E30819B9-7A63-4612-BBF8-79197966560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5" id="{25E2DCA5-021C-488D-B349-968C48B180B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6" id="{5B7E225B-769D-461B-99D2-A89289E5547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7" id="{F9EFC857-3D88-429F-AAF3-E626D5DCAC5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50" id="{AD7D6835-6950-48C9-8231-4F38642823D0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1" id="{D09E25AB-C719-4EA4-9D7E-FC4FF3298C3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2" id="{CFB00E98-4267-4384-B271-7D95E48E40A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3" id="{537D7151-2758-4C46-84BA-70184B0A8C2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J270"/>
  <sheetViews>
    <sheetView zoomScale="90" zoomScaleNormal="90" workbookViewId="0">
      <pane xSplit="1" ySplit="10" topLeftCell="B41" activePane="bottomRight" state="frozen"/>
      <selection activeCell="AF88" sqref="AF88"/>
      <selection pane="topRight" activeCell="AF88" sqref="AF88"/>
      <selection pane="bottomLeft" activeCell="AF88" sqref="AF88"/>
      <selection pane="bottomRight" activeCell="AA48" sqref="AA4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21.85546875" style="1" bestFit="1" customWidth="1"/>
    <col min="37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2079/06/20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35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12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0</v>
      </c>
      <c r="X5" s="148">
        <f t="shared" si="0"/>
        <v>15.2</v>
      </c>
      <c r="Y5" s="148">
        <f t="shared" si="0"/>
        <v>18.8</v>
      </c>
      <c r="Z5" s="148">
        <f t="shared" si="0"/>
        <v>4.4000000000000004</v>
      </c>
      <c r="AA5" s="148">
        <f t="shared" si="0"/>
        <v>2.2000000000000002</v>
      </c>
      <c r="AB5" s="148">
        <f t="shared" si="0"/>
        <v>0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B74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1236MW at 8:00hr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Load=1091</v>
      </c>
      <c r="B7" s="137">
        <f t="shared" ref="B7:AF7" si="1">B81</f>
        <v>1281.24</v>
      </c>
      <c r="C7" s="137">
        <f t="shared" si="1"/>
        <v>1242.44</v>
      </c>
      <c r="D7" s="137">
        <f t="shared" si="1"/>
        <v>1230.7399999999998</v>
      </c>
      <c r="E7" s="137">
        <f t="shared" si="1"/>
        <v>1211.6400000000001</v>
      </c>
      <c r="F7" s="137">
        <f t="shared" si="1"/>
        <v>1212.24</v>
      </c>
      <c r="G7" s="137">
        <f t="shared" si="1"/>
        <v>1145.54</v>
      </c>
      <c r="H7" s="137">
        <f t="shared" si="1"/>
        <v>1133.6400000000001</v>
      </c>
      <c r="I7" s="137">
        <f t="shared" si="1"/>
        <v>1119.2399999999998</v>
      </c>
      <c r="J7" s="137">
        <f t="shared" si="1"/>
        <v>1119.2399999999998</v>
      </c>
      <c r="K7" s="137">
        <f t="shared" si="1"/>
        <v>1111.6399999999999</v>
      </c>
      <c r="L7" s="137">
        <f t="shared" si="1"/>
        <v>1090.8399999999999</v>
      </c>
      <c r="M7" s="137">
        <f t="shared" si="1"/>
        <v>1235.8399999999999</v>
      </c>
      <c r="N7" s="137">
        <f t="shared" si="1"/>
        <v>1200.8399999999999</v>
      </c>
      <c r="O7" s="137">
        <f t="shared" si="1"/>
        <v>1303.44</v>
      </c>
      <c r="P7" s="137">
        <f t="shared" si="1"/>
        <v>1276.04</v>
      </c>
      <c r="Q7" s="137">
        <f t="shared" si="1"/>
        <v>1176.74</v>
      </c>
      <c r="R7" s="137">
        <f t="shared" si="1"/>
        <v>1158.6399999999999</v>
      </c>
      <c r="S7" s="137">
        <f t="shared" si="1"/>
        <v>1176.1399999999999</v>
      </c>
      <c r="T7" s="137">
        <f t="shared" si="1"/>
        <v>1212.9000000000001</v>
      </c>
      <c r="U7" s="137">
        <f t="shared" si="1"/>
        <v>1206.54</v>
      </c>
      <c r="V7" s="137">
        <f t="shared" si="1"/>
        <v>1205.54</v>
      </c>
      <c r="W7" s="137">
        <f t="shared" si="1"/>
        <v>1250.6399999999999</v>
      </c>
      <c r="X7" s="137">
        <f t="shared" si="1"/>
        <v>1390.6399999999999</v>
      </c>
      <c r="Y7" s="137">
        <f t="shared" si="1"/>
        <v>1492.8400000000001</v>
      </c>
      <c r="Z7" s="137">
        <f t="shared" si="1"/>
        <v>1460.84</v>
      </c>
      <c r="AA7" s="137">
        <f t="shared" si="1"/>
        <v>1439.44</v>
      </c>
      <c r="AB7" s="137">
        <f t="shared" si="1"/>
        <v>1434.94</v>
      </c>
      <c r="AC7" s="137">
        <f t="shared" si="1"/>
        <v>1406.6399999999999</v>
      </c>
      <c r="AD7" s="137">
        <f t="shared" si="1"/>
        <v>1379.94</v>
      </c>
      <c r="AE7" s="137">
        <f t="shared" si="1"/>
        <v>1319.44</v>
      </c>
      <c r="AF7" s="137">
        <f t="shared" si="1"/>
        <v>1272.04</v>
      </c>
      <c r="AG7" s="136"/>
      <c r="AI7" s="135"/>
      <c r="AJ7" s="105">
        <f>(1700*24-(B7+C7+D7+E7+F7+G7+I7+K7+M7+N7+O7+P7+Q7+R7+S7+T7+U7+V7+X7+Z7+AB7+AD7+AE7+AF7))</f>
        <v>10834.779999999999</v>
      </c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J8" s="171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J9" s="171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28">
        <v>51.3</v>
      </c>
      <c r="C11" s="128">
        <v>40.5</v>
      </c>
      <c r="D11" s="128">
        <v>40.700000000000003</v>
      </c>
      <c r="E11" s="128">
        <v>40.799999999999997</v>
      </c>
      <c r="F11" s="128">
        <v>40.799999999999997</v>
      </c>
      <c r="G11" s="128">
        <v>40.799999999999997</v>
      </c>
      <c r="H11" s="128">
        <v>40.799999999999997</v>
      </c>
      <c r="I11" s="105">
        <v>40.700000000000003</v>
      </c>
      <c r="J11" s="105">
        <v>40.700000000000003</v>
      </c>
      <c r="K11" s="105">
        <v>40.700000000000003</v>
      </c>
      <c r="L11" s="105">
        <v>40.700000000000003</v>
      </c>
      <c r="M11" s="105">
        <v>40.700000000000003</v>
      </c>
      <c r="N11" s="105">
        <v>40.700000000000003</v>
      </c>
      <c r="O11" s="105">
        <v>40.700000000000003</v>
      </c>
      <c r="P11" s="105">
        <v>40.700000000000003</v>
      </c>
      <c r="Q11" s="105">
        <v>41.8</v>
      </c>
      <c r="R11" s="105">
        <v>41.8</v>
      </c>
      <c r="S11" s="105">
        <v>42</v>
      </c>
      <c r="T11" s="105">
        <v>42</v>
      </c>
      <c r="U11" s="128">
        <v>42</v>
      </c>
      <c r="V11" s="128">
        <v>27</v>
      </c>
      <c r="W11" s="128">
        <v>26.9</v>
      </c>
      <c r="X11" s="128">
        <v>26.9</v>
      </c>
      <c r="Y11" s="128">
        <v>53</v>
      </c>
      <c r="Z11" s="128">
        <v>53</v>
      </c>
      <c r="AA11" s="128">
        <v>53.2</v>
      </c>
      <c r="AB11" s="128">
        <v>53.2</v>
      </c>
      <c r="AC11" s="128">
        <v>53.2</v>
      </c>
      <c r="AD11" s="128">
        <v>53.2</v>
      </c>
      <c r="AE11" s="128">
        <v>53.2</v>
      </c>
      <c r="AF11" s="128">
        <v>30.8</v>
      </c>
      <c r="AG11" s="127">
        <v>52.4</v>
      </c>
      <c r="AH11" s="20">
        <f>MAX(B11:AF11)</f>
        <v>53.2</v>
      </c>
      <c r="AI11" s="19">
        <f>MIN(B11:AF11)</f>
        <v>26.9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</v>
      </c>
      <c r="C12" s="105">
        <v>50</v>
      </c>
      <c r="D12" s="105">
        <v>50.4</v>
      </c>
      <c r="E12" s="105">
        <v>50.4</v>
      </c>
      <c r="F12" s="105">
        <v>50.4</v>
      </c>
      <c r="G12" s="105">
        <v>50.4</v>
      </c>
      <c r="H12" s="105">
        <v>50.4</v>
      </c>
      <c r="I12" s="105">
        <v>50.4</v>
      </c>
      <c r="J12" s="105">
        <v>50.4</v>
      </c>
      <c r="K12" s="105">
        <v>50.4</v>
      </c>
      <c r="L12" s="105">
        <v>50.4</v>
      </c>
      <c r="M12" s="105">
        <v>50.4</v>
      </c>
      <c r="N12" s="105">
        <v>50.4</v>
      </c>
      <c r="O12" s="105">
        <v>50.4</v>
      </c>
      <c r="P12" s="105">
        <v>50.4</v>
      </c>
      <c r="Q12" s="105">
        <v>50.4</v>
      </c>
      <c r="R12" s="105">
        <v>50.4</v>
      </c>
      <c r="S12" s="105">
        <v>0</v>
      </c>
      <c r="T12" s="105">
        <v>50.8</v>
      </c>
      <c r="U12" s="105">
        <v>50.8</v>
      </c>
      <c r="V12" s="105">
        <v>50.7</v>
      </c>
      <c r="W12" s="105">
        <v>50.4</v>
      </c>
      <c r="X12" s="105">
        <v>50.4</v>
      </c>
      <c r="Y12" s="105">
        <v>50.4</v>
      </c>
      <c r="Z12" s="105">
        <v>50.4</v>
      </c>
      <c r="AA12" s="105">
        <v>50.7</v>
      </c>
      <c r="AB12" s="105">
        <v>50.4</v>
      </c>
      <c r="AC12" s="105">
        <v>50.4</v>
      </c>
      <c r="AD12" s="105">
        <v>50.4</v>
      </c>
      <c r="AE12" s="105">
        <v>50.4</v>
      </c>
      <c r="AF12" s="105">
        <v>50.4</v>
      </c>
      <c r="AG12" s="126">
        <v>50</v>
      </c>
      <c r="AH12" s="20">
        <f t="shared" ref="AH12:AH75" si="2">MAX(B12:AF12)</f>
        <v>50.8</v>
      </c>
      <c r="AI12" s="19">
        <f t="shared" ref="AI12:AI75" si="3">MIN(B12:AF12)</f>
        <v>0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36</v>
      </c>
      <c r="C13" s="105">
        <v>36</v>
      </c>
      <c r="D13" s="105">
        <v>36</v>
      </c>
      <c r="E13" s="105">
        <v>36</v>
      </c>
      <c r="F13" s="105">
        <v>36</v>
      </c>
      <c r="G13" s="105">
        <v>36</v>
      </c>
      <c r="H13" s="105">
        <v>36</v>
      </c>
      <c r="I13" s="105">
        <v>36</v>
      </c>
      <c r="J13" s="105">
        <v>36</v>
      </c>
      <c r="K13" s="105">
        <v>36</v>
      </c>
      <c r="L13" s="105">
        <v>36</v>
      </c>
      <c r="M13" s="105">
        <v>36</v>
      </c>
      <c r="N13" s="105">
        <v>36</v>
      </c>
      <c r="O13" s="105">
        <v>36</v>
      </c>
      <c r="P13" s="105">
        <v>36</v>
      </c>
      <c r="Q13" s="105">
        <v>37.1</v>
      </c>
      <c r="R13" s="105">
        <v>37.1</v>
      </c>
      <c r="S13" s="105">
        <v>37</v>
      </c>
      <c r="T13" s="105">
        <v>37</v>
      </c>
      <c r="U13" s="105">
        <v>37</v>
      </c>
      <c r="V13" s="105">
        <v>37</v>
      </c>
      <c r="W13" s="105">
        <v>36.9</v>
      </c>
      <c r="X13" s="105">
        <v>46</v>
      </c>
      <c r="Y13" s="105">
        <v>46</v>
      </c>
      <c r="Z13" s="105">
        <v>46</v>
      </c>
      <c r="AA13" s="105">
        <v>45.7</v>
      </c>
      <c r="AB13" s="105">
        <v>45.9</v>
      </c>
      <c r="AC13" s="105">
        <v>45.9</v>
      </c>
      <c r="AD13" s="105">
        <v>45.9</v>
      </c>
      <c r="AE13" s="105">
        <v>45.9</v>
      </c>
      <c r="AF13" s="105">
        <v>31</v>
      </c>
      <c r="AG13" s="126">
        <v>45</v>
      </c>
      <c r="AH13" s="20">
        <f t="shared" si="2"/>
        <v>46</v>
      </c>
      <c r="AI13" s="19">
        <f t="shared" si="3"/>
        <v>31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25</v>
      </c>
      <c r="C14" s="105">
        <v>25</v>
      </c>
      <c r="D14" s="105">
        <v>25</v>
      </c>
      <c r="E14" s="105">
        <v>25</v>
      </c>
      <c r="F14" s="105">
        <v>25</v>
      </c>
      <c r="G14" s="105">
        <v>22</v>
      </c>
      <c r="H14" s="105">
        <v>22</v>
      </c>
      <c r="I14" s="105">
        <v>22</v>
      </c>
      <c r="J14" s="105">
        <v>22</v>
      </c>
      <c r="K14" s="105">
        <v>22</v>
      </c>
      <c r="L14" s="105">
        <v>22</v>
      </c>
      <c r="M14" s="105">
        <v>22</v>
      </c>
      <c r="N14" s="105">
        <v>22</v>
      </c>
      <c r="O14" s="105">
        <v>22</v>
      </c>
      <c r="P14" s="105">
        <v>22</v>
      </c>
      <c r="Q14" s="105">
        <v>22</v>
      </c>
      <c r="R14" s="105">
        <v>22</v>
      </c>
      <c r="S14" s="105">
        <v>22</v>
      </c>
      <c r="T14" s="105">
        <v>22</v>
      </c>
      <c r="U14" s="105">
        <v>22</v>
      </c>
      <c r="V14" s="105">
        <v>22</v>
      </c>
      <c r="W14" s="105">
        <v>22</v>
      </c>
      <c r="X14" s="105">
        <v>30</v>
      </c>
      <c r="Y14" s="105">
        <v>30</v>
      </c>
      <c r="Z14" s="105">
        <v>30</v>
      </c>
      <c r="AA14" s="105">
        <v>30</v>
      </c>
      <c r="AB14" s="105">
        <v>30</v>
      </c>
      <c r="AC14" s="105">
        <v>30</v>
      </c>
      <c r="AD14" s="105">
        <v>30</v>
      </c>
      <c r="AE14" s="105">
        <v>25</v>
      </c>
      <c r="AF14" s="105">
        <v>25</v>
      </c>
      <c r="AG14" s="126">
        <v>42</v>
      </c>
      <c r="AH14" s="20">
        <f t="shared" si="2"/>
        <v>30</v>
      </c>
      <c r="AI14" s="19">
        <f t="shared" si="3"/>
        <v>22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0</v>
      </c>
      <c r="N15" s="105">
        <v>0</v>
      </c>
      <c r="O15" s="105">
        <v>0</v>
      </c>
      <c r="P15" s="105">
        <v>0</v>
      </c>
      <c r="Q15" s="105">
        <v>0</v>
      </c>
      <c r="R15" s="105">
        <v>0</v>
      </c>
      <c r="S15" s="105">
        <v>0</v>
      </c>
      <c r="T15" s="105">
        <v>0</v>
      </c>
      <c r="U15" s="105">
        <v>0</v>
      </c>
      <c r="V15" s="105">
        <v>0</v>
      </c>
      <c r="W15" s="105">
        <v>0</v>
      </c>
      <c r="X15" s="105">
        <v>0</v>
      </c>
      <c r="Y15" s="105">
        <v>15</v>
      </c>
      <c r="Z15" s="105">
        <v>0</v>
      </c>
      <c r="AA15" s="105">
        <v>0</v>
      </c>
      <c r="AB15" s="105">
        <v>0</v>
      </c>
      <c r="AC15" s="105">
        <v>0</v>
      </c>
      <c r="AD15" s="105">
        <v>0</v>
      </c>
      <c r="AE15" s="105">
        <v>0</v>
      </c>
      <c r="AF15" s="105">
        <v>0</v>
      </c>
      <c r="AG15" s="96">
        <v>30</v>
      </c>
      <c r="AH15" s="20">
        <f t="shared" si="2"/>
        <v>15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25.7</v>
      </c>
      <c r="C16" s="105">
        <v>20.2</v>
      </c>
      <c r="D16" s="105">
        <v>20.6</v>
      </c>
      <c r="E16" s="105">
        <v>20.6</v>
      </c>
      <c r="F16" s="105">
        <v>20.6</v>
      </c>
      <c r="G16" s="105">
        <v>20.6</v>
      </c>
      <c r="H16" s="105">
        <v>20.6</v>
      </c>
      <c r="I16" s="105">
        <v>20.6</v>
      </c>
      <c r="J16" s="105">
        <v>20.6</v>
      </c>
      <c r="K16" s="105">
        <v>20.6</v>
      </c>
      <c r="L16" s="105">
        <v>20.6</v>
      </c>
      <c r="M16" s="105">
        <v>20.6</v>
      </c>
      <c r="N16" s="105">
        <v>20.6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20.6</v>
      </c>
      <c r="Z16" s="105">
        <v>25.5</v>
      </c>
      <c r="AA16" s="105">
        <v>25.5</v>
      </c>
      <c r="AB16" s="105">
        <v>25.5</v>
      </c>
      <c r="AC16" s="105">
        <v>25.5</v>
      </c>
      <c r="AD16" s="105">
        <v>25.5</v>
      </c>
      <c r="AE16" s="105">
        <v>25.5</v>
      </c>
      <c r="AF16" s="105">
        <v>10.5</v>
      </c>
      <c r="AG16" s="126">
        <v>24.2</v>
      </c>
      <c r="AH16" s="20">
        <f t="shared" si="2"/>
        <v>25.7</v>
      </c>
      <c r="AI16" s="19">
        <f t="shared" si="3"/>
        <v>0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0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5">
        <v>0</v>
      </c>
      <c r="O17" s="105">
        <v>0</v>
      </c>
      <c r="P17" s="105">
        <v>0</v>
      </c>
      <c r="Q17" s="105">
        <v>0</v>
      </c>
      <c r="R17" s="105">
        <v>0</v>
      </c>
      <c r="S17" s="105">
        <v>0</v>
      </c>
      <c r="T17" s="105">
        <v>0</v>
      </c>
      <c r="U17" s="105">
        <v>0</v>
      </c>
      <c r="V17" s="105">
        <v>0</v>
      </c>
      <c r="W17" s="105">
        <v>0</v>
      </c>
      <c r="X17" s="105">
        <v>0</v>
      </c>
      <c r="Y17" s="105">
        <v>10</v>
      </c>
      <c r="Z17" s="105">
        <v>0</v>
      </c>
      <c r="AA17" s="105">
        <v>0</v>
      </c>
      <c r="AB17" s="105">
        <v>0</v>
      </c>
      <c r="AC17" s="105">
        <v>0</v>
      </c>
      <c r="AD17" s="105">
        <v>0</v>
      </c>
      <c r="AE17" s="105">
        <v>0</v>
      </c>
      <c r="AF17" s="105">
        <v>0</v>
      </c>
      <c r="AG17" s="96">
        <v>30</v>
      </c>
      <c r="AH17" s="20">
        <f t="shared" si="2"/>
        <v>10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21</v>
      </c>
      <c r="C18" s="105">
        <v>21</v>
      </c>
      <c r="D18" s="105">
        <v>20.9</v>
      </c>
      <c r="E18" s="105">
        <v>20.9</v>
      </c>
      <c r="F18" s="105">
        <v>20.9</v>
      </c>
      <c r="G18" s="105">
        <v>20.9</v>
      </c>
      <c r="H18" s="105">
        <v>20.9</v>
      </c>
      <c r="I18" s="105">
        <v>20.9</v>
      </c>
      <c r="J18" s="105">
        <v>20.9</v>
      </c>
      <c r="K18" s="105">
        <v>20.9</v>
      </c>
      <c r="L18" s="105">
        <v>20.9</v>
      </c>
      <c r="M18" s="105">
        <v>20.9</v>
      </c>
      <c r="N18" s="105">
        <v>20.9</v>
      </c>
      <c r="O18" s="105">
        <v>20.9</v>
      </c>
      <c r="P18" s="105">
        <v>20.9</v>
      </c>
      <c r="Q18" s="105">
        <v>0</v>
      </c>
      <c r="R18" s="105">
        <v>0</v>
      </c>
      <c r="S18" s="105">
        <v>20</v>
      </c>
      <c r="T18" s="105">
        <v>20</v>
      </c>
      <c r="U18" s="105">
        <v>20</v>
      </c>
      <c r="V18" s="105">
        <v>20</v>
      </c>
      <c r="W18" s="105">
        <v>20</v>
      </c>
      <c r="X18" s="105">
        <v>26</v>
      </c>
      <c r="Y18" s="105">
        <v>26</v>
      </c>
      <c r="Z18" s="105">
        <v>26</v>
      </c>
      <c r="AA18" s="105">
        <v>26.1</v>
      </c>
      <c r="AB18" s="105">
        <v>26.1</v>
      </c>
      <c r="AC18" s="105">
        <v>26.1</v>
      </c>
      <c r="AD18" s="105">
        <v>26.1</v>
      </c>
      <c r="AE18" s="105">
        <v>20.6</v>
      </c>
      <c r="AF18" s="105">
        <v>20.6</v>
      </c>
      <c r="AG18" s="126">
        <v>25</v>
      </c>
      <c r="AH18" s="20">
        <f t="shared" si="2"/>
        <v>26.1</v>
      </c>
      <c r="AI18" s="19">
        <f t="shared" si="3"/>
        <v>0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17</v>
      </c>
      <c r="C19" s="105">
        <v>17</v>
      </c>
      <c r="D19" s="105">
        <v>17</v>
      </c>
      <c r="E19" s="105">
        <v>17</v>
      </c>
      <c r="F19" s="105">
        <v>17</v>
      </c>
      <c r="G19" s="105">
        <v>17</v>
      </c>
      <c r="H19" s="105">
        <v>17</v>
      </c>
      <c r="I19" s="105">
        <v>17</v>
      </c>
      <c r="J19" s="105">
        <v>17</v>
      </c>
      <c r="K19" s="105">
        <v>17</v>
      </c>
      <c r="L19" s="105">
        <v>17</v>
      </c>
      <c r="M19" s="105">
        <v>17</v>
      </c>
      <c r="N19" s="105">
        <v>17</v>
      </c>
      <c r="O19" s="105">
        <v>17</v>
      </c>
      <c r="P19" s="105">
        <v>17</v>
      </c>
      <c r="Q19" s="105">
        <v>17</v>
      </c>
      <c r="R19" s="105">
        <v>17</v>
      </c>
      <c r="S19" s="105">
        <v>17</v>
      </c>
      <c r="T19" s="105">
        <v>17</v>
      </c>
      <c r="U19" s="105">
        <v>17</v>
      </c>
      <c r="V19" s="105">
        <v>17</v>
      </c>
      <c r="W19" s="105">
        <v>17</v>
      </c>
      <c r="X19" s="105">
        <v>17</v>
      </c>
      <c r="Y19" s="105">
        <v>17</v>
      </c>
      <c r="Z19" s="105">
        <v>17</v>
      </c>
      <c r="AA19" s="105">
        <v>17</v>
      </c>
      <c r="AB19" s="105">
        <v>17</v>
      </c>
      <c r="AC19" s="105">
        <v>17</v>
      </c>
      <c r="AD19" s="105">
        <v>17</v>
      </c>
      <c r="AE19" s="105">
        <v>17</v>
      </c>
      <c r="AF19" s="105">
        <v>17</v>
      </c>
      <c r="AG19" s="126">
        <v>25</v>
      </c>
      <c r="AH19" s="20">
        <f t="shared" si="2"/>
        <v>17</v>
      </c>
      <c r="AI19" s="19">
        <f t="shared" si="3"/>
        <v>17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20</v>
      </c>
      <c r="C20" s="105">
        <v>20</v>
      </c>
      <c r="D20" s="105">
        <v>20</v>
      </c>
      <c r="E20" s="105">
        <v>20</v>
      </c>
      <c r="F20" s="105">
        <v>20</v>
      </c>
      <c r="G20" s="105">
        <v>20</v>
      </c>
      <c r="H20" s="105">
        <v>20</v>
      </c>
      <c r="I20" s="105">
        <v>20</v>
      </c>
      <c r="J20" s="105">
        <v>20</v>
      </c>
      <c r="K20" s="105">
        <v>20</v>
      </c>
      <c r="L20" s="105">
        <v>20</v>
      </c>
      <c r="M20" s="105">
        <v>20</v>
      </c>
      <c r="N20" s="105">
        <v>20</v>
      </c>
      <c r="O20" s="105">
        <v>20</v>
      </c>
      <c r="P20" s="105">
        <v>20</v>
      </c>
      <c r="Q20" s="105">
        <v>20</v>
      </c>
      <c r="R20" s="105">
        <v>20</v>
      </c>
      <c r="S20" s="105">
        <v>20</v>
      </c>
      <c r="T20" s="105">
        <v>0</v>
      </c>
      <c r="U20" s="105">
        <v>0</v>
      </c>
      <c r="V20" s="105">
        <v>0</v>
      </c>
      <c r="W20" s="105">
        <v>0</v>
      </c>
      <c r="X20" s="105">
        <v>25</v>
      </c>
      <c r="Y20" s="105">
        <v>25</v>
      </c>
      <c r="Z20" s="105">
        <v>25</v>
      </c>
      <c r="AA20" s="105">
        <v>25</v>
      </c>
      <c r="AB20" s="105">
        <v>25</v>
      </c>
      <c r="AC20" s="105">
        <v>25</v>
      </c>
      <c r="AD20" s="105">
        <v>25</v>
      </c>
      <c r="AE20" s="105">
        <v>25</v>
      </c>
      <c r="AF20" s="105">
        <v>15</v>
      </c>
      <c r="AG20" s="126">
        <v>25</v>
      </c>
      <c r="AH20" s="20">
        <f t="shared" si="2"/>
        <v>25</v>
      </c>
      <c r="AI20" s="19">
        <f t="shared" si="3"/>
        <v>0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18.2</v>
      </c>
      <c r="C21" s="105">
        <v>18.2</v>
      </c>
      <c r="D21" s="105">
        <v>18.2</v>
      </c>
      <c r="E21" s="105">
        <v>18.2</v>
      </c>
      <c r="F21" s="105">
        <v>18.2</v>
      </c>
      <c r="G21" s="105">
        <v>18.2</v>
      </c>
      <c r="H21" s="105">
        <v>18.2</v>
      </c>
      <c r="I21" s="105">
        <v>18.2</v>
      </c>
      <c r="J21" s="105">
        <v>18.2</v>
      </c>
      <c r="K21" s="105">
        <v>18.2</v>
      </c>
      <c r="L21" s="105">
        <v>18.2</v>
      </c>
      <c r="M21" s="105">
        <v>18.2</v>
      </c>
      <c r="N21" s="105">
        <v>18.2</v>
      </c>
      <c r="O21" s="105">
        <v>18.2</v>
      </c>
      <c r="P21" s="105">
        <v>18.2</v>
      </c>
      <c r="Q21" s="105">
        <v>18.2</v>
      </c>
      <c r="R21" s="105">
        <v>18.2</v>
      </c>
      <c r="S21" s="105">
        <v>18.3</v>
      </c>
      <c r="T21" s="105">
        <v>18.3</v>
      </c>
      <c r="U21" s="105">
        <v>18.3</v>
      </c>
      <c r="V21" s="105">
        <v>18.3</v>
      </c>
      <c r="W21" s="105">
        <v>18.3</v>
      </c>
      <c r="X21" s="105">
        <v>18.3</v>
      </c>
      <c r="Y21" s="105">
        <v>18.3</v>
      </c>
      <c r="Z21" s="105">
        <v>18.3</v>
      </c>
      <c r="AA21" s="105">
        <v>18.3</v>
      </c>
      <c r="AB21" s="105">
        <v>18.3</v>
      </c>
      <c r="AC21" s="105">
        <v>18.3</v>
      </c>
      <c r="AD21" s="105">
        <v>18.3</v>
      </c>
      <c r="AE21" s="105">
        <v>18.3</v>
      </c>
      <c r="AF21" s="105">
        <v>18.3</v>
      </c>
      <c r="AG21" s="126">
        <v>23.5</v>
      </c>
      <c r="AH21" s="20">
        <f t="shared" si="2"/>
        <v>18.3</v>
      </c>
      <c r="AI21" s="19">
        <f t="shared" si="3"/>
        <v>18.2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20</v>
      </c>
      <c r="C22" s="105">
        <v>20</v>
      </c>
      <c r="D22" s="105">
        <v>10</v>
      </c>
      <c r="E22" s="105">
        <v>10</v>
      </c>
      <c r="F22" s="105">
        <v>10</v>
      </c>
      <c r="G22" s="105">
        <v>10</v>
      </c>
      <c r="H22" s="105">
        <v>10</v>
      </c>
      <c r="I22" s="105">
        <v>10</v>
      </c>
      <c r="J22" s="105">
        <v>10</v>
      </c>
      <c r="K22" s="105">
        <v>10</v>
      </c>
      <c r="L22" s="105">
        <v>10</v>
      </c>
      <c r="M22" s="105">
        <v>10</v>
      </c>
      <c r="N22" s="105">
        <v>10</v>
      </c>
      <c r="O22" s="105">
        <v>10</v>
      </c>
      <c r="P22" s="105">
        <v>10</v>
      </c>
      <c r="Q22" s="105">
        <v>10</v>
      </c>
      <c r="R22" s="105">
        <v>10</v>
      </c>
      <c r="S22" s="105">
        <v>10</v>
      </c>
      <c r="T22" s="105">
        <v>10</v>
      </c>
      <c r="U22" s="105">
        <v>0</v>
      </c>
      <c r="V22" s="105">
        <v>0</v>
      </c>
      <c r="W22" s="105">
        <v>0</v>
      </c>
      <c r="X22" s="105">
        <v>0</v>
      </c>
      <c r="Y22" s="105">
        <v>0</v>
      </c>
      <c r="Z22" s="105">
        <v>6</v>
      </c>
      <c r="AA22" s="105">
        <v>6</v>
      </c>
      <c r="AB22" s="105">
        <v>6</v>
      </c>
      <c r="AC22" s="105">
        <v>6</v>
      </c>
      <c r="AD22" s="105">
        <v>6</v>
      </c>
      <c r="AE22" s="105">
        <v>6</v>
      </c>
      <c r="AF22" s="105">
        <v>6</v>
      </c>
      <c r="AG22" s="126">
        <v>22.2</v>
      </c>
      <c r="AH22" s="20">
        <f t="shared" si="2"/>
        <v>20</v>
      </c>
      <c r="AI22" s="19">
        <f t="shared" si="3"/>
        <v>0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22</v>
      </c>
      <c r="C23" s="105">
        <v>22</v>
      </c>
      <c r="D23" s="105">
        <v>22</v>
      </c>
      <c r="E23" s="105">
        <v>22</v>
      </c>
      <c r="F23" s="105">
        <v>22</v>
      </c>
      <c r="G23" s="105">
        <v>18</v>
      </c>
      <c r="H23" s="105">
        <v>18</v>
      </c>
      <c r="I23" s="105">
        <v>18</v>
      </c>
      <c r="J23" s="105">
        <v>18</v>
      </c>
      <c r="K23" s="105">
        <v>18</v>
      </c>
      <c r="L23" s="105">
        <v>18</v>
      </c>
      <c r="M23" s="105">
        <v>18</v>
      </c>
      <c r="N23" s="105">
        <v>18</v>
      </c>
      <c r="O23" s="105">
        <v>18</v>
      </c>
      <c r="P23" s="105">
        <v>18</v>
      </c>
      <c r="Q23" s="105">
        <v>18</v>
      </c>
      <c r="R23" s="105">
        <v>18</v>
      </c>
      <c r="S23" s="105">
        <v>18</v>
      </c>
      <c r="T23" s="105">
        <v>18</v>
      </c>
      <c r="U23" s="105">
        <v>18</v>
      </c>
      <c r="V23" s="105">
        <v>18</v>
      </c>
      <c r="W23" s="105">
        <v>18</v>
      </c>
      <c r="X23" s="105">
        <v>18</v>
      </c>
      <c r="Y23" s="105">
        <v>18</v>
      </c>
      <c r="Z23" s="105">
        <v>18</v>
      </c>
      <c r="AA23" s="105">
        <v>18</v>
      </c>
      <c r="AB23" s="105">
        <v>18</v>
      </c>
      <c r="AC23" s="105">
        <v>18</v>
      </c>
      <c r="AD23" s="105">
        <v>18</v>
      </c>
      <c r="AE23" s="105">
        <v>18</v>
      </c>
      <c r="AF23" s="105">
        <v>18</v>
      </c>
      <c r="AG23" s="126">
        <v>22.1</v>
      </c>
      <c r="AH23" s="20">
        <f t="shared" si="2"/>
        <v>22</v>
      </c>
      <c r="AI23" s="19">
        <f t="shared" si="3"/>
        <v>18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17</v>
      </c>
      <c r="C24" s="105">
        <v>17</v>
      </c>
      <c r="D24" s="105">
        <v>17</v>
      </c>
      <c r="E24" s="105">
        <v>17</v>
      </c>
      <c r="F24" s="105">
        <v>17</v>
      </c>
      <c r="G24" s="105">
        <v>17</v>
      </c>
      <c r="H24" s="105">
        <v>17</v>
      </c>
      <c r="I24" s="105">
        <v>17</v>
      </c>
      <c r="J24" s="105">
        <v>17</v>
      </c>
      <c r="K24" s="105">
        <v>17</v>
      </c>
      <c r="L24" s="105">
        <v>17</v>
      </c>
      <c r="M24" s="105">
        <v>17</v>
      </c>
      <c r="N24" s="105">
        <v>17</v>
      </c>
      <c r="O24" s="105">
        <v>17</v>
      </c>
      <c r="P24" s="105">
        <v>17</v>
      </c>
      <c r="Q24" s="105">
        <v>17</v>
      </c>
      <c r="R24" s="105">
        <v>17</v>
      </c>
      <c r="S24" s="105">
        <v>17</v>
      </c>
      <c r="T24" s="105">
        <v>17</v>
      </c>
      <c r="U24" s="105">
        <v>17</v>
      </c>
      <c r="V24" s="105">
        <v>17</v>
      </c>
      <c r="W24" s="105">
        <v>17</v>
      </c>
      <c r="X24" s="105">
        <v>17</v>
      </c>
      <c r="Y24" s="105">
        <v>17</v>
      </c>
      <c r="Z24" s="105">
        <v>17</v>
      </c>
      <c r="AA24" s="105">
        <v>17</v>
      </c>
      <c r="AB24" s="105">
        <v>17</v>
      </c>
      <c r="AC24" s="105">
        <v>17</v>
      </c>
      <c r="AD24" s="105">
        <v>17</v>
      </c>
      <c r="AE24" s="105">
        <v>17</v>
      </c>
      <c r="AF24" s="105">
        <v>17</v>
      </c>
      <c r="AG24" s="126">
        <v>22</v>
      </c>
      <c r="AH24" s="20">
        <f t="shared" si="2"/>
        <v>17</v>
      </c>
      <c r="AI24" s="19">
        <f t="shared" si="3"/>
        <v>17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18</v>
      </c>
      <c r="C25" s="105">
        <v>18</v>
      </c>
      <c r="D25" s="105">
        <v>18</v>
      </c>
      <c r="E25" s="105">
        <v>22</v>
      </c>
      <c r="F25" s="105">
        <v>22</v>
      </c>
      <c r="G25" s="105">
        <v>22</v>
      </c>
      <c r="H25" s="105">
        <v>22</v>
      </c>
      <c r="I25" s="105">
        <v>22</v>
      </c>
      <c r="J25" s="105">
        <v>22</v>
      </c>
      <c r="K25" s="105">
        <v>22</v>
      </c>
      <c r="L25" s="105">
        <v>22</v>
      </c>
      <c r="M25" s="105">
        <v>22</v>
      </c>
      <c r="N25" s="105">
        <v>22</v>
      </c>
      <c r="O25" s="105">
        <v>22</v>
      </c>
      <c r="P25" s="105">
        <v>22</v>
      </c>
      <c r="Q25" s="105">
        <v>0</v>
      </c>
      <c r="R25" s="105">
        <v>0</v>
      </c>
      <c r="S25" s="105">
        <v>0</v>
      </c>
      <c r="T25" s="105">
        <v>0</v>
      </c>
      <c r="U25" s="105">
        <v>0</v>
      </c>
      <c r="V25" s="105">
        <v>0</v>
      </c>
      <c r="W25" s="105">
        <v>0</v>
      </c>
      <c r="X25" s="105">
        <v>0</v>
      </c>
      <c r="Y25" s="105">
        <v>0</v>
      </c>
      <c r="Z25" s="105">
        <v>0</v>
      </c>
      <c r="AA25" s="105">
        <v>0</v>
      </c>
      <c r="AB25" s="105">
        <v>0</v>
      </c>
      <c r="AC25" s="105">
        <v>15</v>
      </c>
      <c r="AD25" s="105">
        <v>15</v>
      </c>
      <c r="AE25" s="105">
        <v>15</v>
      </c>
      <c r="AF25" s="105">
        <v>15</v>
      </c>
      <c r="AG25" s="126">
        <v>22</v>
      </c>
      <c r="AH25" s="20">
        <f t="shared" si="2"/>
        <v>22</v>
      </c>
      <c r="AI25" s="19">
        <f t="shared" si="3"/>
        <v>0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5">
        <v>0</v>
      </c>
      <c r="M26" s="105">
        <v>0</v>
      </c>
      <c r="N26" s="105">
        <v>0</v>
      </c>
      <c r="O26" s="105">
        <v>0</v>
      </c>
      <c r="P26" s="105">
        <v>0</v>
      </c>
      <c r="Q26" s="105">
        <v>0</v>
      </c>
      <c r="R26" s="105">
        <v>0</v>
      </c>
      <c r="S26" s="105">
        <v>0</v>
      </c>
      <c r="T26" s="105">
        <v>0</v>
      </c>
      <c r="U26" s="105">
        <v>0</v>
      </c>
      <c r="V26" s="105">
        <v>0</v>
      </c>
      <c r="W26" s="105">
        <v>0</v>
      </c>
      <c r="X26" s="105">
        <v>10</v>
      </c>
      <c r="Y26" s="105">
        <v>10</v>
      </c>
      <c r="Z26" s="105">
        <v>5</v>
      </c>
      <c r="AA26" s="105">
        <v>0</v>
      </c>
      <c r="AB26" s="105">
        <v>0</v>
      </c>
      <c r="AC26" s="105">
        <v>0</v>
      </c>
      <c r="AD26" s="105">
        <v>0</v>
      </c>
      <c r="AE26" s="105">
        <v>0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5</v>
      </c>
      <c r="C27" s="105">
        <v>5</v>
      </c>
      <c r="D27" s="105">
        <v>5</v>
      </c>
      <c r="E27" s="105">
        <v>5</v>
      </c>
      <c r="F27" s="105">
        <v>5</v>
      </c>
      <c r="G27" s="105">
        <v>5</v>
      </c>
      <c r="H27" s="105">
        <v>5</v>
      </c>
      <c r="I27" s="105">
        <v>5</v>
      </c>
      <c r="J27" s="105">
        <v>5</v>
      </c>
      <c r="K27" s="105">
        <v>5</v>
      </c>
      <c r="L27" s="105">
        <v>5</v>
      </c>
      <c r="M27" s="105">
        <v>5</v>
      </c>
      <c r="N27" s="105">
        <v>5</v>
      </c>
      <c r="O27" s="105">
        <v>5</v>
      </c>
      <c r="P27" s="105">
        <v>5</v>
      </c>
      <c r="Q27" s="105">
        <v>5</v>
      </c>
      <c r="R27" s="105">
        <v>5</v>
      </c>
      <c r="S27" s="105">
        <v>5</v>
      </c>
      <c r="T27" s="105">
        <v>5</v>
      </c>
      <c r="U27" s="105">
        <v>5</v>
      </c>
      <c r="V27" s="105">
        <v>5</v>
      </c>
      <c r="W27" s="105">
        <v>5</v>
      </c>
      <c r="X27" s="105">
        <v>14.9</v>
      </c>
      <c r="Y27" s="105">
        <v>14.9</v>
      </c>
      <c r="Z27" s="105">
        <v>14.9</v>
      </c>
      <c r="AA27" s="105">
        <v>14.9</v>
      </c>
      <c r="AB27" s="105">
        <v>14.9</v>
      </c>
      <c r="AC27" s="105">
        <v>14.9</v>
      </c>
      <c r="AD27" s="105">
        <v>14.9</v>
      </c>
      <c r="AE27" s="105">
        <v>14.9</v>
      </c>
      <c r="AF27" s="105">
        <v>14.9</v>
      </c>
      <c r="AG27" s="126">
        <v>14.9</v>
      </c>
      <c r="AH27" s="20">
        <f t="shared" si="2"/>
        <v>14.9</v>
      </c>
      <c r="AI27" s="19">
        <f t="shared" si="3"/>
        <v>5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>
        <v>6.8</v>
      </c>
      <c r="S28" s="105">
        <v>0</v>
      </c>
      <c r="T28" s="105">
        <v>0</v>
      </c>
      <c r="U28" s="105">
        <v>0</v>
      </c>
      <c r="V28" s="105">
        <v>0</v>
      </c>
      <c r="W28" s="105">
        <v>0</v>
      </c>
      <c r="X28" s="105">
        <v>0</v>
      </c>
      <c r="Y28" s="105">
        <v>0</v>
      </c>
      <c r="Z28" s="105">
        <v>0</v>
      </c>
      <c r="AA28" s="105">
        <v>0</v>
      </c>
      <c r="AB28" s="105">
        <v>0</v>
      </c>
      <c r="AC28" s="105">
        <v>0</v>
      </c>
      <c r="AD28" s="105">
        <v>0</v>
      </c>
      <c r="AE28" s="105">
        <v>0</v>
      </c>
      <c r="AF28" s="105">
        <v>0</v>
      </c>
      <c r="AG28" s="126">
        <v>13.6</v>
      </c>
      <c r="AH28" s="20">
        <f t="shared" si="2"/>
        <v>6.8</v>
      </c>
      <c r="AI28" s="19">
        <f t="shared" si="3"/>
        <v>0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10</v>
      </c>
      <c r="C29" s="105">
        <v>10</v>
      </c>
      <c r="D29" s="105">
        <v>10</v>
      </c>
      <c r="E29" s="105">
        <v>10</v>
      </c>
      <c r="F29" s="105">
        <v>10</v>
      </c>
      <c r="G29" s="105">
        <v>10</v>
      </c>
      <c r="H29" s="105">
        <v>10</v>
      </c>
      <c r="I29" s="105">
        <v>10</v>
      </c>
      <c r="J29" s="105">
        <v>10</v>
      </c>
      <c r="K29" s="105">
        <v>10</v>
      </c>
      <c r="L29" s="105">
        <v>10</v>
      </c>
      <c r="M29" s="105">
        <v>10</v>
      </c>
      <c r="N29" s="105">
        <v>10</v>
      </c>
      <c r="O29" s="105">
        <v>10</v>
      </c>
      <c r="P29" s="105">
        <v>10</v>
      </c>
      <c r="Q29" s="105">
        <v>10</v>
      </c>
      <c r="R29" s="105">
        <v>10</v>
      </c>
      <c r="S29" s="105">
        <v>10</v>
      </c>
      <c r="T29" s="105">
        <v>10</v>
      </c>
      <c r="U29" s="105">
        <v>10</v>
      </c>
      <c r="V29" s="105">
        <v>10</v>
      </c>
      <c r="W29" s="105">
        <v>10</v>
      </c>
      <c r="X29" s="105">
        <v>10</v>
      </c>
      <c r="Y29" s="105">
        <v>10</v>
      </c>
      <c r="Z29" s="105">
        <v>10</v>
      </c>
      <c r="AA29" s="105">
        <v>10</v>
      </c>
      <c r="AB29" s="105">
        <v>10</v>
      </c>
      <c r="AC29" s="105">
        <v>10</v>
      </c>
      <c r="AD29" s="105">
        <v>10</v>
      </c>
      <c r="AE29" s="105">
        <v>10</v>
      </c>
      <c r="AF29" s="105">
        <v>10</v>
      </c>
      <c r="AG29" s="126">
        <v>13</v>
      </c>
      <c r="AH29" s="20">
        <f t="shared" si="2"/>
        <v>10</v>
      </c>
      <c r="AI29" s="19">
        <f t="shared" si="3"/>
        <v>10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0</v>
      </c>
      <c r="N30" s="105">
        <v>0</v>
      </c>
      <c r="O30" s="105">
        <v>0</v>
      </c>
      <c r="P30" s="105">
        <v>0</v>
      </c>
      <c r="Q30" s="105">
        <v>0</v>
      </c>
      <c r="R30" s="105">
        <v>0</v>
      </c>
      <c r="S30" s="105">
        <v>0</v>
      </c>
      <c r="T30" s="105">
        <v>0</v>
      </c>
      <c r="U30" s="105">
        <v>0</v>
      </c>
      <c r="V30" s="105">
        <v>0</v>
      </c>
      <c r="W30" s="105">
        <v>0</v>
      </c>
      <c r="X30" s="105">
        <v>0</v>
      </c>
      <c r="Y30" s="105">
        <v>10</v>
      </c>
      <c r="Z30" s="105">
        <v>0</v>
      </c>
      <c r="AA30" s="105">
        <v>0</v>
      </c>
      <c r="AB30" s="105">
        <v>0</v>
      </c>
      <c r="AC30" s="105">
        <v>0</v>
      </c>
      <c r="AD30" s="105">
        <v>0</v>
      </c>
      <c r="AE30" s="105">
        <v>0</v>
      </c>
      <c r="AF30" s="105">
        <v>0</v>
      </c>
      <c r="AG30" s="126">
        <v>12</v>
      </c>
      <c r="AH30" s="20">
        <f t="shared" si="2"/>
        <v>10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0</v>
      </c>
      <c r="C31" s="105">
        <v>0</v>
      </c>
      <c r="D31" s="105">
        <v>0</v>
      </c>
      <c r="E31" s="105">
        <v>0</v>
      </c>
      <c r="F31" s="105">
        <v>0</v>
      </c>
      <c r="G31" s="105">
        <v>0</v>
      </c>
      <c r="H31" s="105">
        <v>0</v>
      </c>
      <c r="I31" s="105">
        <v>0</v>
      </c>
      <c r="J31" s="105">
        <v>0</v>
      </c>
      <c r="K31" s="105">
        <v>0</v>
      </c>
      <c r="L31" s="105">
        <v>0</v>
      </c>
      <c r="M31" s="105">
        <v>0</v>
      </c>
      <c r="N31" s="105">
        <v>0</v>
      </c>
      <c r="O31" s="105">
        <v>0</v>
      </c>
      <c r="P31" s="105">
        <v>0</v>
      </c>
      <c r="Q31" s="105">
        <v>0</v>
      </c>
      <c r="R31" s="105">
        <v>0</v>
      </c>
      <c r="S31" s="105">
        <v>0</v>
      </c>
      <c r="T31" s="105">
        <v>0</v>
      </c>
      <c r="U31" s="105">
        <v>0</v>
      </c>
      <c r="V31" s="105">
        <v>0</v>
      </c>
      <c r="W31" s="105">
        <v>0</v>
      </c>
      <c r="X31" s="105">
        <v>0</v>
      </c>
      <c r="Y31" s="105">
        <v>0</v>
      </c>
      <c r="Z31" s="105">
        <v>0</v>
      </c>
      <c r="AA31" s="105">
        <v>0</v>
      </c>
      <c r="AB31" s="105">
        <v>0</v>
      </c>
      <c r="AC31" s="105">
        <v>0</v>
      </c>
      <c r="AD31" s="105">
        <v>0</v>
      </c>
      <c r="AE31" s="105">
        <v>0</v>
      </c>
      <c r="AF31" s="105">
        <v>0</v>
      </c>
      <c r="AG31" s="126">
        <v>12</v>
      </c>
      <c r="AH31" s="20">
        <f t="shared" si="2"/>
        <v>0</v>
      </c>
      <c r="AI31" s="19">
        <f t="shared" si="3"/>
        <v>0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2</v>
      </c>
      <c r="C32" s="105">
        <v>2</v>
      </c>
      <c r="D32" s="105">
        <v>2</v>
      </c>
      <c r="E32" s="105">
        <v>2</v>
      </c>
      <c r="F32" s="105">
        <v>2</v>
      </c>
      <c r="G32" s="105">
        <v>2</v>
      </c>
      <c r="H32" s="105">
        <v>2</v>
      </c>
      <c r="I32" s="105">
        <v>2</v>
      </c>
      <c r="J32" s="105">
        <v>2</v>
      </c>
      <c r="K32" s="105">
        <v>2</v>
      </c>
      <c r="L32" s="105">
        <v>2</v>
      </c>
      <c r="M32" s="105">
        <v>2</v>
      </c>
      <c r="N32" s="105">
        <v>2</v>
      </c>
      <c r="O32" s="105">
        <v>2</v>
      </c>
      <c r="P32" s="105">
        <v>2</v>
      </c>
      <c r="Q32" s="105">
        <v>2</v>
      </c>
      <c r="R32" s="105">
        <v>2</v>
      </c>
      <c r="S32" s="105">
        <v>2</v>
      </c>
      <c r="T32" s="105">
        <v>2</v>
      </c>
      <c r="U32" s="105">
        <v>2</v>
      </c>
      <c r="V32" s="105">
        <v>2</v>
      </c>
      <c r="W32" s="105">
        <v>2</v>
      </c>
      <c r="X32" s="105">
        <v>2</v>
      </c>
      <c r="Y32" s="105">
        <v>2</v>
      </c>
      <c r="Z32" s="105">
        <v>2</v>
      </c>
      <c r="AA32" s="105">
        <v>2</v>
      </c>
      <c r="AB32" s="105">
        <v>2</v>
      </c>
      <c r="AC32" s="105">
        <v>2</v>
      </c>
      <c r="AD32" s="105">
        <v>2</v>
      </c>
      <c r="AE32" s="105">
        <v>2</v>
      </c>
      <c r="AF32" s="105">
        <v>2</v>
      </c>
      <c r="AG32" s="126">
        <v>12</v>
      </c>
      <c r="AH32" s="20">
        <f t="shared" si="2"/>
        <v>2</v>
      </c>
      <c r="AI32" s="19">
        <f t="shared" si="3"/>
        <v>2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8</v>
      </c>
      <c r="C33" s="105">
        <v>8</v>
      </c>
      <c r="D33" s="105">
        <v>8</v>
      </c>
      <c r="E33" s="105">
        <v>8</v>
      </c>
      <c r="F33" s="105">
        <v>8</v>
      </c>
      <c r="G33" s="105">
        <v>8</v>
      </c>
      <c r="H33" s="105">
        <v>8</v>
      </c>
      <c r="I33" s="105">
        <v>8</v>
      </c>
      <c r="J33" s="105">
        <v>8</v>
      </c>
      <c r="K33" s="105">
        <v>8</v>
      </c>
      <c r="L33" s="105">
        <v>8</v>
      </c>
      <c r="M33" s="105">
        <v>8</v>
      </c>
      <c r="N33" s="105">
        <v>8</v>
      </c>
      <c r="O33" s="105">
        <v>8</v>
      </c>
      <c r="P33" s="105">
        <v>8</v>
      </c>
      <c r="Q33" s="105">
        <v>8</v>
      </c>
      <c r="R33" s="105">
        <v>8</v>
      </c>
      <c r="S33" s="105">
        <v>8</v>
      </c>
      <c r="T33" s="105">
        <v>8</v>
      </c>
      <c r="U33" s="105">
        <v>8</v>
      </c>
      <c r="V33" s="105">
        <v>8</v>
      </c>
      <c r="W33" s="105">
        <v>8</v>
      </c>
      <c r="X33" s="105">
        <v>8</v>
      </c>
      <c r="Y33" s="105">
        <v>8</v>
      </c>
      <c r="Z33" s="105">
        <v>8</v>
      </c>
      <c r="AA33" s="105">
        <v>8</v>
      </c>
      <c r="AB33" s="105">
        <v>8</v>
      </c>
      <c r="AC33" s="105">
        <v>8</v>
      </c>
      <c r="AD33" s="105">
        <v>8</v>
      </c>
      <c r="AE33" s="105">
        <v>8</v>
      </c>
      <c r="AF33" s="105">
        <v>8</v>
      </c>
      <c r="AG33" s="125">
        <v>22</v>
      </c>
      <c r="AH33" s="20">
        <f t="shared" si="2"/>
        <v>8</v>
      </c>
      <c r="AI33" s="19">
        <f t="shared" si="3"/>
        <v>8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11</v>
      </c>
      <c r="C34" s="105">
        <v>11</v>
      </c>
      <c r="D34" s="105">
        <v>11</v>
      </c>
      <c r="E34" s="105">
        <v>11</v>
      </c>
      <c r="F34" s="105">
        <v>11</v>
      </c>
      <c r="G34" s="105">
        <v>11</v>
      </c>
      <c r="H34" s="105">
        <v>11</v>
      </c>
      <c r="I34" s="105">
        <v>11</v>
      </c>
      <c r="J34" s="105">
        <v>11</v>
      </c>
      <c r="K34" s="105">
        <v>11</v>
      </c>
      <c r="L34" s="105">
        <v>11</v>
      </c>
      <c r="M34" s="105">
        <v>11</v>
      </c>
      <c r="N34" s="105">
        <v>11</v>
      </c>
      <c r="O34" s="105">
        <v>11</v>
      </c>
      <c r="P34" s="105">
        <v>11</v>
      </c>
      <c r="Q34" s="105">
        <v>11</v>
      </c>
      <c r="R34" s="105">
        <v>11</v>
      </c>
      <c r="S34" s="105">
        <v>11</v>
      </c>
      <c r="T34" s="105">
        <v>11</v>
      </c>
      <c r="U34" s="105">
        <v>11</v>
      </c>
      <c r="V34" s="105">
        <v>11</v>
      </c>
      <c r="W34" s="105">
        <v>11</v>
      </c>
      <c r="X34" s="105">
        <v>11</v>
      </c>
      <c r="Y34" s="105">
        <v>11</v>
      </c>
      <c r="Z34" s="105">
        <v>11</v>
      </c>
      <c r="AA34" s="105">
        <v>11</v>
      </c>
      <c r="AB34" s="105">
        <v>11</v>
      </c>
      <c r="AC34" s="105">
        <v>11</v>
      </c>
      <c r="AD34" s="105">
        <v>11</v>
      </c>
      <c r="AE34" s="105">
        <v>11</v>
      </c>
      <c r="AF34" s="105">
        <v>11</v>
      </c>
      <c r="AG34" s="96">
        <v>11.88</v>
      </c>
      <c r="AH34" s="20">
        <f t="shared" si="2"/>
        <v>11</v>
      </c>
      <c r="AI34" s="19">
        <f t="shared" si="3"/>
        <v>11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>
        <v>11</v>
      </c>
      <c r="AG35" s="94">
        <v>11</v>
      </c>
      <c r="AH35" s="20">
        <f t="shared" si="2"/>
        <v>11</v>
      </c>
      <c r="AI35" s="19">
        <f t="shared" si="3"/>
        <v>11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8.5</v>
      </c>
      <c r="M36" s="105">
        <v>8.5</v>
      </c>
      <c r="N36" s="105">
        <v>8.5</v>
      </c>
      <c r="O36" s="105">
        <v>8.5</v>
      </c>
      <c r="P36" s="105">
        <v>8.5</v>
      </c>
      <c r="Q36" s="105">
        <v>8.5</v>
      </c>
      <c r="R36" s="105">
        <v>8.5</v>
      </c>
      <c r="S36" s="105">
        <v>8.5</v>
      </c>
      <c r="T36" s="105">
        <v>8.5</v>
      </c>
      <c r="U36" s="105">
        <v>8.5</v>
      </c>
      <c r="V36" s="105">
        <v>8.5</v>
      </c>
      <c r="W36" s="105">
        <v>8.5</v>
      </c>
      <c r="X36" s="105">
        <v>8.5</v>
      </c>
      <c r="Y36" s="105">
        <v>8.5</v>
      </c>
      <c r="Z36" s="105">
        <v>8.5</v>
      </c>
      <c r="AA36" s="105">
        <v>8.5</v>
      </c>
      <c r="AB36" s="105">
        <v>8.5</v>
      </c>
      <c r="AC36" s="105">
        <v>8.5</v>
      </c>
      <c r="AD36" s="105">
        <v>8.5</v>
      </c>
      <c r="AE36" s="105">
        <v>8.5</v>
      </c>
      <c r="AF36" s="105">
        <v>8.5</v>
      </c>
      <c r="AG36" s="94">
        <v>10</v>
      </c>
      <c r="AH36" s="20">
        <f t="shared" si="2"/>
        <v>8.5</v>
      </c>
      <c r="AI36" s="19">
        <f t="shared" si="3"/>
        <v>0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5">
        <v>0</v>
      </c>
      <c r="O37" s="105">
        <v>0</v>
      </c>
      <c r="P37" s="105">
        <v>0</v>
      </c>
      <c r="Q37" s="105">
        <v>0</v>
      </c>
      <c r="R37" s="105">
        <v>0</v>
      </c>
      <c r="S37" s="105">
        <v>0</v>
      </c>
      <c r="T37" s="105">
        <v>0</v>
      </c>
      <c r="U37" s="105">
        <v>0</v>
      </c>
      <c r="V37" s="105">
        <v>0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0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280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280</v>
      </c>
      <c r="AK38" s="41"/>
    </row>
    <row r="39" spans="1:88" ht="15.75" thickBot="1" x14ac:dyDescent="0.3">
      <c r="A39" s="120" t="s">
        <v>196</v>
      </c>
      <c r="B39" s="119">
        <f>73.3+85.4</f>
        <v>158.69999999999999</v>
      </c>
      <c r="C39" s="119">
        <f>73.4+85.4</f>
        <v>158.80000000000001</v>
      </c>
      <c r="D39" s="119">
        <f>73.6+85.8</f>
        <v>159.39999999999998</v>
      </c>
      <c r="E39" s="119">
        <f>86+73.6</f>
        <v>159.6</v>
      </c>
      <c r="F39" s="119">
        <f>86.4+73.6</f>
        <v>160</v>
      </c>
      <c r="G39" s="119">
        <f>85.8+68.8</f>
        <v>154.6</v>
      </c>
      <c r="H39" s="119">
        <f>85.8+69</f>
        <v>154.80000000000001</v>
      </c>
      <c r="I39" s="119">
        <f>82.9+69.4</f>
        <v>152.30000000000001</v>
      </c>
      <c r="J39" s="119">
        <f>84+70</f>
        <v>154</v>
      </c>
      <c r="K39" s="119">
        <f>69+84</f>
        <v>153</v>
      </c>
      <c r="L39" s="113">
        <f>84.7+70.2</f>
        <v>154.9</v>
      </c>
      <c r="M39" s="113">
        <f t="shared" ref="M39:P39" si="4">84.7+70.2</f>
        <v>154.9</v>
      </c>
      <c r="N39" s="113">
        <f t="shared" si="4"/>
        <v>154.9</v>
      </c>
      <c r="O39" s="113">
        <f t="shared" si="4"/>
        <v>154.9</v>
      </c>
      <c r="P39" s="113">
        <f t="shared" si="4"/>
        <v>154.9</v>
      </c>
      <c r="Q39" s="113">
        <f>72.5+86.3</f>
        <v>158.80000000000001</v>
      </c>
      <c r="R39" s="113">
        <f>69.6+86</f>
        <v>155.6</v>
      </c>
      <c r="S39" s="119">
        <v>156.19999999999999</v>
      </c>
      <c r="T39" s="119">
        <v>159</v>
      </c>
      <c r="U39" s="119">
        <v>143</v>
      </c>
      <c r="V39" s="119">
        <f>92+59.4</f>
        <v>151.4</v>
      </c>
      <c r="W39" s="119">
        <f>62.4+91.4</f>
        <v>153.80000000000001</v>
      </c>
      <c r="X39" s="119">
        <f>60.4+90.3</f>
        <v>150.69999999999999</v>
      </c>
      <c r="Y39" s="119">
        <v>156.6</v>
      </c>
      <c r="Z39" s="119">
        <f>89.6+70.7</f>
        <v>160.30000000000001</v>
      </c>
      <c r="AA39" s="119">
        <f>70.7+90.7</f>
        <v>161.4</v>
      </c>
      <c r="AB39" s="119">
        <f>71+91</f>
        <v>162</v>
      </c>
      <c r="AC39" s="119">
        <f>91.1+71.2</f>
        <v>162.30000000000001</v>
      </c>
      <c r="AD39" s="119">
        <f>91.1+71.2</f>
        <v>162.30000000000001</v>
      </c>
      <c r="AE39" s="119">
        <f>91.1+71.2</f>
        <v>162.30000000000001</v>
      </c>
      <c r="AF39" s="119">
        <f>91.1+71.2</f>
        <v>162.30000000000001</v>
      </c>
      <c r="AG39" s="94">
        <v>240</v>
      </c>
      <c r="AH39" s="20">
        <f t="shared" si="2"/>
        <v>162.30000000000001</v>
      </c>
      <c r="AI39" s="19">
        <f t="shared" si="3"/>
        <v>143</v>
      </c>
      <c r="AK39" s="41"/>
    </row>
    <row r="40" spans="1:88" ht="15.75" thickBot="1" x14ac:dyDescent="0.3">
      <c r="A40" s="118" t="s">
        <v>195</v>
      </c>
      <c r="B40" s="86">
        <f t="shared" ref="B40" si="5">SUM(B11:B38)</f>
        <v>675</v>
      </c>
      <c r="C40" s="86">
        <f t="shared" ref="C40:AG40" si="6">SUM(C11:C38)</f>
        <v>678.7</v>
      </c>
      <c r="D40" s="86">
        <f t="shared" si="6"/>
        <v>669.59999999999991</v>
      </c>
      <c r="E40" s="86">
        <f t="shared" si="6"/>
        <v>673.7</v>
      </c>
      <c r="F40" s="86">
        <f t="shared" si="6"/>
        <v>673.7</v>
      </c>
      <c r="G40" s="86">
        <f t="shared" si="6"/>
        <v>666.7</v>
      </c>
      <c r="H40" s="86">
        <f t="shared" si="6"/>
        <v>666.7</v>
      </c>
      <c r="I40" s="86">
        <f t="shared" si="6"/>
        <v>666.59999999999991</v>
      </c>
      <c r="J40" s="86">
        <f t="shared" si="6"/>
        <v>666.59999999999991</v>
      </c>
      <c r="K40" s="86">
        <f t="shared" si="6"/>
        <v>666.59999999999991</v>
      </c>
      <c r="L40" s="86">
        <f t="shared" si="6"/>
        <v>675.09999999999991</v>
      </c>
      <c r="M40" s="86">
        <f t="shared" si="6"/>
        <v>675.09999999999991</v>
      </c>
      <c r="N40" s="86">
        <f t="shared" si="6"/>
        <v>675.09999999999991</v>
      </c>
      <c r="O40" s="86">
        <f t="shared" si="6"/>
        <v>654.5</v>
      </c>
      <c r="P40" s="86">
        <f t="shared" si="6"/>
        <v>654.5</v>
      </c>
      <c r="Q40" s="86">
        <f t="shared" si="6"/>
        <v>613.79999999999995</v>
      </c>
      <c r="R40" s="86">
        <f t="shared" si="6"/>
        <v>613.79999999999995</v>
      </c>
      <c r="S40" s="86">
        <f t="shared" si="6"/>
        <v>576.79999999999995</v>
      </c>
      <c r="T40" s="86">
        <f t="shared" si="6"/>
        <v>607.6</v>
      </c>
      <c r="U40" s="86">
        <f t="shared" si="6"/>
        <v>597.6</v>
      </c>
      <c r="V40" s="86">
        <f t="shared" si="6"/>
        <v>582.5</v>
      </c>
      <c r="W40" s="86">
        <f t="shared" si="6"/>
        <v>582</v>
      </c>
      <c r="X40" s="86">
        <f t="shared" si="6"/>
        <v>650</v>
      </c>
      <c r="Y40" s="86">
        <v>737.7</v>
      </c>
      <c r="Z40" s="86">
        <f t="shared" si="6"/>
        <v>702.59999999999991</v>
      </c>
      <c r="AA40" s="86">
        <f t="shared" si="6"/>
        <v>697.90000000000009</v>
      </c>
      <c r="AB40" s="86">
        <f t="shared" si="6"/>
        <v>697.8</v>
      </c>
      <c r="AC40" s="86">
        <f t="shared" si="6"/>
        <v>712.8</v>
      </c>
      <c r="AD40" s="86">
        <f t="shared" si="6"/>
        <v>712.8</v>
      </c>
      <c r="AE40" s="86">
        <f t="shared" si="6"/>
        <v>702.3</v>
      </c>
      <c r="AF40" s="86">
        <f t="shared" si="6"/>
        <v>640</v>
      </c>
      <c r="AG40" s="101">
        <f t="shared" si="6"/>
        <v>707.78000000000009</v>
      </c>
      <c r="AH40" s="20">
        <f t="shared" si="2"/>
        <v>737.7</v>
      </c>
      <c r="AI40" s="19">
        <f t="shared" si="3"/>
        <v>576.79999999999995</v>
      </c>
      <c r="AK40" s="41"/>
    </row>
    <row r="41" spans="1:88" x14ac:dyDescent="0.25">
      <c r="A41" s="117" t="s">
        <v>194</v>
      </c>
      <c r="B41" s="105">
        <v>310</v>
      </c>
      <c r="C41" s="105">
        <v>280</v>
      </c>
      <c r="D41" s="105">
        <v>280</v>
      </c>
      <c r="E41" s="105">
        <v>280</v>
      </c>
      <c r="F41" s="105">
        <v>280</v>
      </c>
      <c r="G41" s="105">
        <v>260</v>
      </c>
      <c r="H41" s="105">
        <v>230</v>
      </c>
      <c r="I41" s="105">
        <v>220</v>
      </c>
      <c r="J41" s="105">
        <v>220</v>
      </c>
      <c r="K41" s="105">
        <v>220</v>
      </c>
      <c r="L41" s="105">
        <v>190</v>
      </c>
      <c r="M41" s="105">
        <v>300</v>
      </c>
      <c r="N41" s="105">
        <v>300</v>
      </c>
      <c r="O41" s="105">
        <v>410</v>
      </c>
      <c r="P41" s="105">
        <v>372</v>
      </c>
      <c r="Q41" s="105">
        <v>335</v>
      </c>
      <c r="R41" s="105">
        <v>305</v>
      </c>
      <c r="S41" s="105">
        <v>380</v>
      </c>
      <c r="T41" s="105">
        <v>330</v>
      </c>
      <c r="U41" s="105">
        <v>330</v>
      </c>
      <c r="V41" s="105">
        <v>350</v>
      </c>
      <c r="W41" s="105">
        <v>390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410</v>
      </c>
      <c r="AD41" s="105">
        <v>410</v>
      </c>
      <c r="AE41" s="105">
        <v>360</v>
      </c>
      <c r="AF41" s="105">
        <v>380</v>
      </c>
      <c r="AG41" s="96">
        <v>456</v>
      </c>
      <c r="AH41" s="20">
        <f t="shared" si="2"/>
        <v>456</v>
      </c>
      <c r="AI41" s="19">
        <f t="shared" si="3"/>
        <v>190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>
        <v>60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20</v>
      </c>
      <c r="C43" s="107">
        <v>20</v>
      </c>
      <c r="D43" s="107">
        <v>20</v>
      </c>
      <c r="E43" s="107">
        <v>20</v>
      </c>
      <c r="F43" s="107">
        <v>20</v>
      </c>
      <c r="G43" s="107">
        <v>20</v>
      </c>
      <c r="H43" s="107">
        <v>20</v>
      </c>
      <c r="I43" s="107">
        <v>20</v>
      </c>
      <c r="J43" s="107">
        <v>20</v>
      </c>
      <c r="K43" s="107">
        <v>20</v>
      </c>
      <c r="L43" s="107">
        <v>20</v>
      </c>
      <c r="M43" s="107">
        <v>20</v>
      </c>
      <c r="N43" s="107">
        <v>20</v>
      </c>
      <c r="O43" s="107">
        <v>20</v>
      </c>
      <c r="P43" s="107">
        <v>20</v>
      </c>
      <c r="Q43" s="107">
        <v>20</v>
      </c>
      <c r="R43" s="107">
        <v>20</v>
      </c>
      <c r="S43" s="107">
        <v>21.3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12</v>
      </c>
      <c r="AE43" s="107">
        <v>12</v>
      </c>
      <c r="AF43" s="107">
        <v>12</v>
      </c>
      <c r="AG43" s="106">
        <v>22.1</v>
      </c>
      <c r="AH43" s="20">
        <f t="shared" si="2"/>
        <v>22</v>
      </c>
      <c r="AI43" s="19">
        <f t="shared" si="3"/>
        <v>12</v>
      </c>
      <c r="AK43" s="41"/>
    </row>
    <row r="44" spans="1:88" ht="15.75" thickBot="1" x14ac:dyDescent="0.3">
      <c r="A44" s="114" t="s">
        <v>191</v>
      </c>
      <c r="B44" s="86">
        <f t="shared" ref="B44" si="7">SUM(B41:B43)</f>
        <v>390</v>
      </c>
      <c r="C44" s="86">
        <f t="shared" ref="C44:AG44" si="8">SUM(C41:C43)</f>
        <v>360</v>
      </c>
      <c r="D44" s="86">
        <f t="shared" si="8"/>
        <v>360</v>
      </c>
      <c r="E44" s="86">
        <f t="shared" si="8"/>
        <v>360</v>
      </c>
      <c r="F44" s="86">
        <f t="shared" si="8"/>
        <v>360</v>
      </c>
      <c r="G44" s="86">
        <f t="shared" si="8"/>
        <v>340</v>
      </c>
      <c r="H44" s="86">
        <f t="shared" si="8"/>
        <v>310</v>
      </c>
      <c r="I44" s="86">
        <f t="shared" si="8"/>
        <v>300</v>
      </c>
      <c r="J44" s="86">
        <f t="shared" si="8"/>
        <v>300</v>
      </c>
      <c r="K44" s="86">
        <f t="shared" si="8"/>
        <v>300</v>
      </c>
      <c r="L44" s="86">
        <f t="shared" si="8"/>
        <v>270</v>
      </c>
      <c r="M44" s="86">
        <f t="shared" si="8"/>
        <v>380</v>
      </c>
      <c r="N44" s="86">
        <f t="shared" si="8"/>
        <v>380</v>
      </c>
      <c r="O44" s="86">
        <f t="shared" si="8"/>
        <v>490</v>
      </c>
      <c r="P44" s="86">
        <f t="shared" si="8"/>
        <v>452</v>
      </c>
      <c r="Q44" s="86">
        <f t="shared" si="8"/>
        <v>415</v>
      </c>
      <c r="R44" s="86">
        <f t="shared" si="8"/>
        <v>385</v>
      </c>
      <c r="S44" s="86">
        <f t="shared" si="8"/>
        <v>461.3</v>
      </c>
      <c r="T44" s="86">
        <f t="shared" si="8"/>
        <v>412</v>
      </c>
      <c r="U44" s="86">
        <f t="shared" si="8"/>
        <v>412</v>
      </c>
      <c r="V44" s="86">
        <f t="shared" si="8"/>
        <v>432</v>
      </c>
      <c r="W44" s="86">
        <f t="shared" si="8"/>
        <v>472</v>
      </c>
      <c r="X44" s="86">
        <f t="shared" si="8"/>
        <v>538</v>
      </c>
      <c r="Y44" s="86">
        <v>538</v>
      </c>
      <c r="Z44" s="86">
        <f t="shared" si="8"/>
        <v>538</v>
      </c>
      <c r="AA44" s="86">
        <f t="shared" si="8"/>
        <v>538</v>
      </c>
      <c r="AB44" s="86">
        <f t="shared" si="8"/>
        <v>538</v>
      </c>
      <c r="AC44" s="86">
        <f t="shared" si="8"/>
        <v>492</v>
      </c>
      <c r="AD44" s="86">
        <f t="shared" si="8"/>
        <v>482</v>
      </c>
      <c r="AE44" s="86">
        <f t="shared" si="8"/>
        <v>432</v>
      </c>
      <c r="AF44" s="86">
        <f t="shared" si="8"/>
        <v>452</v>
      </c>
      <c r="AG44" s="101">
        <f t="shared" si="8"/>
        <v>538.1</v>
      </c>
      <c r="AH44" s="20">
        <f t="shared" si="2"/>
        <v>538</v>
      </c>
      <c r="AI44" s="19">
        <f t="shared" si="3"/>
        <v>270</v>
      </c>
      <c r="AK44" s="41"/>
    </row>
    <row r="45" spans="1:88" x14ac:dyDescent="0.25">
      <c r="A45" s="97" t="s">
        <v>190</v>
      </c>
      <c r="B45" s="105">
        <v>0</v>
      </c>
      <c r="C45" s="105">
        <v>0</v>
      </c>
      <c r="D45" s="105">
        <v>0</v>
      </c>
      <c r="E45" s="105">
        <v>0</v>
      </c>
      <c r="F45" s="105">
        <v>0</v>
      </c>
      <c r="G45" s="105">
        <v>0</v>
      </c>
      <c r="H45" s="105">
        <v>0</v>
      </c>
      <c r="I45" s="105">
        <v>0</v>
      </c>
      <c r="J45" s="105">
        <v>0</v>
      </c>
      <c r="K45" s="105">
        <v>0</v>
      </c>
      <c r="L45" s="105">
        <v>0</v>
      </c>
      <c r="M45" s="105">
        <v>0</v>
      </c>
      <c r="N45" s="105">
        <v>0</v>
      </c>
      <c r="O45" s="105">
        <v>0</v>
      </c>
      <c r="P45" s="105">
        <v>0</v>
      </c>
      <c r="Q45" s="105">
        <v>0</v>
      </c>
      <c r="R45" s="105">
        <v>0</v>
      </c>
      <c r="S45" s="105">
        <v>0</v>
      </c>
      <c r="T45" s="105">
        <v>0</v>
      </c>
      <c r="U45" s="105">
        <v>0</v>
      </c>
      <c r="V45" s="105">
        <v>0</v>
      </c>
      <c r="W45" s="105">
        <v>0</v>
      </c>
      <c r="X45" s="105">
        <v>0</v>
      </c>
      <c r="Y45" s="105">
        <v>0</v>
      </c>
      <c r="Z45" s="105">
        <v>0</v>
      </c>
      <c r="AA45" s="105">
        <v>0</v>
      </c>
      <c r="AB45" s="105">
        <v>0</v>
      </c>
      <c r="AC45" s="105">
        <v>0</v>
      </c>
      <c r="AD45" s="105">
        <v>0</v>
      </c>
      <c r="AE45" s="105">
        <v>0</v>
      </c>
      <c r="AF45" s="105">
        <v>0</v>
      </c>
      <c r="AG45" s="96">
        <v>144</v>
      </c>
      <c r="AH45" s="20">
        <f t="shared" si="2"/>
        <v>0</v>
      </c>
      <c r="AI45" s="19">
        <f t="shared" si="3"/>
        <v>0</v>
      </c>
      <c r="AK45" s="41"/>
    </row>
    <row r="46" spans="1:88" x14ac:dyDescent="0.25">
      <c r="A46" s="95" t="s">
        <v>189</v>
      </c>
      <c r="B46" s="80">
        <v>60</v>
      </c>
      <c r="C46" s="80">
        <v>50</v>
      </c>
      <c r="D46" s="80">
        <v>46.5</v>
      </c>
      <c r="E46" s="80">
        <v>46.5</v>
      </c>
      <c r="F46" s="80">
        <v>46.5</v>
      </c>
      <c r="G46" s="80">
        <v>24.2</v>
      </c>
      <c r="H46" s="80">
        <v>24.2</v>
      </c>
      <c r="I46" s="80">
        <v>24.4</v>
      </c>
      <c r="J46" s="80">
        <v>24.4</v>
      </c>
      <c r="K46" s="80">
        <v>24.4</v>
      </c>
      <c r="L46" s="80">
        <v>25.1</v>
      </c>
      <c r="M46" s="80">
        <v>25.1</v>
      </c>
      <c r="N46" s="80">
        <v>25.1</v>
      </c>
      <c r="O46" s="80">
        <v>35</v>
      </c>
      <c r="P46" s="80">
        <v>37</v>
      </c>
      <c r="Q46" s="80">
        <v>35.6</v>
      </c>
      <c r="R46" s="80">
        <v>35.6</v>
      </c>
      <c r="S46" s="80">
        <v>35.6</v>
      </c>
      <c r="T46" s="80">
        <v>72.56</v>
      </c>
      <c r="U46" s="80">
        <v>72.5</v>
      </c>
      <c r="V46" s="80">
        <v>72.5</v>
      </c>
      <c r="W46" s="80">
        <v>72.400000000000006</v>
      </c>
      <c r="X46" s="80">
        <v>72.900000000000006</v>
      </c>
      <c r="Y46" s="80">
        <v>73</v>
      </c>
      <c r="Z46" s="80">
        <v>72.5</v>
      </c>
      <c r="AA46" s="80">
        <v>72.5</v>
      </c>
      <c r="AB46" s="80">
        <v>72</v>
      </c>
      <c r="AC46" s="80">
        <v>72</v>
      </c>
      <c r="AD46" s="80">
        <v>72</v>
      </c>
      <c r="AE46" s="80">
        <v>72</v>
      </c>
      <c r="AF46" s="80">
        <v>71</v>
      </c>
      <c r="AG46" s="94">
        <v>70</v>
      </c>
      <c r="AH46" s="20">
        <f t="shared" si="2"/>
        <v>73</v>
      </c>
      <c r="AI46" s="19">
        <f t="shared" si="3"/>
        <v>24.2</v>
      </c>
      <c r="AK46" s="41"/>
    </row>
    <row r="47" spans="1:88" x14ac:dyDescent="0.25">
      <c r="A47" s="95" t="s">
        <v>188</v>
      </c>
      <c r="B47" s="80">
        <v>35</v>
      </c>
      <c r="C47" s="80">
        <v>45</v>
      </c>
      <c r="D47" s="80">
        <v>46</v>
      </c>
      <c r="E47" s="80">
        <v>32.799999999999997</v>
      </c>
      <c r="F47" s="80">
        <v>33.4</v>
      </c>
      <c r="G47" s="80">
        <v>33.4</v>
      </c>
      <c r="H47" s="80">
        <v>33.4</v>
      </c>
      <c r="I47" s="80">
        <v>33.4</v>
      </c>
      <c r="J47" s="80">
        <v>33.4</v>
      </c>
      <c r="K47" s="80">
        <v>33.4</v>
      </c>
      <c r="L47" s="80">
        <v>33.4</v>
      </c>
      <c r="M47" s="80">
        <v>33.4</v>
      </c>
      <c r="N47" s="80">
        <v>33.4</v>
      </c>
      <c r="O47" s="80">
        <v>33</v>
      </c>
      <c r="P47" s="80">
        <v>33.299999999999997</v>
      </c>
      <c r="Q47" s="80">
        <v>33.700000000000003</v>
      </c>
      <c r="R47" s="80">
        <v>33.700000000000003</v>
      </c>
      <c r="S47" s="80">
        <v>33.6</v>
      </c>
      <c r="T47" s="80">
        <v>43.6</v>
      </c>
      <c r="U47" s="80">
        <v>43.7</v>
      </c>
      <c r="V47" s="80">
        <v>44.2</v>
      </c>
      <c r="W47" s="80">
        <v>43.7</v>
      </c>
      <c r="X47" s="80">
        <v>43.7</v>
      </c>
      <c r="Y47" s="80">
        <v>43.5</v>
      </c>
      <c r="Z47" s="80">
        <v>43.5</v>
      </c>
      <c r="AA47" s="80">
        <v>43.6</v>
      </c>
      <c r="AB47" s="80">
        <v>43.9</v>
      </c>
      <c r="AC47" s="80">
        <v>43.9</v>
      </c>
      <c r="AD47" s="80">
        <v>43.9</v>
      </c>
      <c r="AE47" s="80">
        <v>43.9</v>
      </c>
      <c r="AF47" s="80">
        <v>44.4</v>
      </c>
      <c r="AG47" s="94">
        <v>69</v>
      </c>
      <c r="AH47" s="20">
        <f t="shared" si="2"/>
        <v>46</v>
      </c>
      <c r="AI47" s="19">
        <f t="shared" si="3"/>
        <v>32.799999999999997</v>
      </c>
      <c r="AK47" s="41"/>
    </row>
    <row r="48" spans="1:88" x14ac:dyDescent="0.25">
      <c r="A48" s="95" t="s">
        <v>187</v>
      </c>
      <c r="B48" s="113">
        <v>50.1</v>
      </c>
      <c r="C48" s="113">
        <v>50.3</v>
      </c>
      <c r="D48" s="113">
        <v>50</v>
      </c>
      <c r="E48" s="113">
        <v>40</v>
      </c>
      <c r="F48" s="113">
        <v>40</v>
      </c>
      <c r="G48" s="113">
        <v>21.7</v>
      </c>
      <c r="H48" s="113">
        <v>29.5</v>
      </c>
      <c r="I48" s="113">
        <v>30</v>
      </c>
      <c r="J48" s="113">
        <v>30</v>
      </c>
      <c r="K48" s="113">
        <v>22.4</v>
      </c>
      <c r="L48" s="113">
        <v>22.4</v>
      </c>
      <c r="M48" s="80">
        <v>22.4</v>
      </c>
      <c r="N48" s="80">
        <v>22.4</v>
      </c>
      <c r="O48" s="80">
        <v>22.4</v>
      </c>
      <c r="P48" s="80">
        <v>30.7</v>
      </c>
      <c r="Q48" s="80">
        <v>10.1</v>
      </c>
      <c r="R48" s="80">
        <v>10</v>
      </c>
      <c r="S48" s="105">
        <v>0</v>
      </c>
      <c r="T48" s="105">
        <v>0</v>
      </c>
      <c r="U48" s="105">
        <v>0</v>
      </c>
      <c r="V48" s="105">
        <v>0</v>
      </c>
      <c r="W48" s="80">
        <v>0</v>
      </c>
      <c r="X48" s="80">
        <v>0</v>
      </c>
      <c r="Y48" s="80">
        <v>0</v>
      </c>
      <c r="Z48" s="80">
        <v>0</v>
      </c>
      <c r="AA48" s="80">
        <v>0</v>
      </c>
      <c r="AB48" s="113">
        <v>0</v>
      </c>
      <c r="AC48" s="113">
        <v>0</v>
      </c>
      <c r="AD48" s="113">
        <v>0</v>
      </c>
      <c r="AE48" s="113">
        <v>0</v>
      </c>
      <c r="AF48" s="113">
        <v>0</v>
      </c>
      <c r="AG48" s="94">
        <v>60</v>
      </c>
      <c r="AH48" s="20">
        <f t="shared" si="2"/>
        <v>50.3</v>
      </c>
      <c r="AI48" s="19">
        <f t="shared" si="3"/>
        <v>0</v>
      </c>
      <c r="AK48" s="41"/>
    </row>
    <row r="49" spans="1:41" x14ac:dyDescent="0.25">
      <c r="A49" s="95" t="s">
        <v>186</v>
      </c>
      <c r="B49" s="113">
        <v>25.7</v>
      </c>
      <c r="C49" s="113">
        <v>13.7</v>
      </c>
      <c r="D49" s="113">
        <v>13.6</v>
      </c>
      <c r="E49" s="113">
        <v>13.6</v>
      </c>
      <c r="F49" s="113">
        <v>13.6</v>
      </c>
      <c r="G49" s="113">
        <v>15</v>
      </c>
      <c r="H49" s="113">
        <v>25.3</v>
      </c>
      <c r="I49" s="113">
        <v>25.3</v>
      </c>
      <c r="J49" s="113">
        <v>25.3</v>
      </c>
      <c r="K49" s="113">
        <v>25.3</v>
      </c>
      <c r="L49" s="113">
        <v>25.3</v>
      </c>
      <c r="M49" s="80">
        <v>25.3</v>
      </c>
      <c r="N49" s="80">
        <v>25.3</v>
      </c>
      <c r="O49" s="80">
        <v>29</v>
      </c>
      <c r="P49" s="80">
        <v>29</v>
      </c>
      <c r="Q49" s="80">
        <v>29</v>
      </c>
      <c r="R49" s="80">
        <v>29</v>
      </c>
      <c r="S49" s="105">
        <v>29.6</v>
      </c>
      <c r="T49" s="105">
        <v>29.5</v>
      </c>
      <c r="U49" s="105">
        <v>29.6</v>
      </c>
      <c r="V49" s="105">
        <v>29.6</v>
      </c>
      <c r="W49" s="80">
        <v>29.5</v>
      </c>
      <c r="X49" s="80">
        <v>29.5</v>
      </c>
      <c r="Y49" s="80">
        <v>29.5</v>
      </c>
      <c r="Z49" s="80">
        <v>29.5</v>
      </c>
      <c r="AA49" s="80">
        <v>29.4</v>
      </c>
      <c r="AB49" s="113">
        <v>29.3</v>
      </c>
      <c r="AC49" s="113">
        <v>29.3</v>
      </c>
      <c r="AD49" s="113">
        <v>29.3</v>
      </c>
      <c r="AE49" s="113">
        <v>29.3</v>
      </c>
      <c r="AF49" s="113">
        <v>29.3</v>
      </c>
      <c r="AG49" s="94">
        <v>30</v>
      </c>
      <c r="AH49" s="20">
        <f t="shared" si="2"/>
        <v>29.6</v>
      </c>
      <c r="AI49" s="19">
        <f t="shared" si="3"/>
        <v>13.6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0</v>
      </c>
      <c r="N50" s="80">
        <v>0</v>
      </c>
      <c r="O50" s="80">
        <v>0</v>
      </c>
      <c r="P50" s="80">
        <v>0</v>
      </c>
      <c r="Q50" s="80">
        <v>0</v>
      </c>
      <c r="R50" s="80">
        <v>0</v>
      </c>
      <c r="S50" s="105">
        <v>0</v>
      </c>
      <c r="T50" s="105">
        <v>0</v>
      </c>
      <c r="U50" s="105">
        <v>0</v>
      </c>
      <c r="V50" s="105">
        <v>0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  <c r="AB50" s="80">
        <v>0</v>
      </c>
      <c r="AC50" s="80">
        <v>0</v>
      </c>
      <c r="AD50" s="80">
        <v>0</v>
      </c>
      <c r="AE50" s="80">
        <v>0</v>
      </c>
      <c r="AF50" s="80">
        <v>0</v>
      </c>
      <c r="AG50" s="94">
        <v>25</v>
      </c>
      <c r="AH50" s="20">
        <f t="shared" si="2"/>
        <v>0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11.8</v>
      </c>
      <c r="C51" s="80">
        <v>10.5</v>
      </c>
      <c r="D51" s="80">
        <v>10.5</v>
      </c>
      <c r="E51" s="80">
        <v>10.5</v>
      </c>
      <c r="F51" s="80">
        <v>10.5</v>
      </c>
      <c r="G51" s="80">
        <v>10.5</v>
      </c>
      <c r="H51" s="80">
        <v>10.5</v>
      </c>
      <c r="I51" s="80">
        <v>5.5</v>
      </c>
      <c r="J51" s="80">
        <v>5.5</v>
      </c>
      <c r="K51" s="80">
        <v>5.5</v>
      </c>
      <c r="L51" s="80">
        <v>5.5</v>
      </c>
      <c r="M51" s="80">
        <v>5.5</v>
      </c>
      <c r="N51" s="80">
        <v>5.5</v>
      </c>
      <c r="O51" s="80">
        <v>5.5</v>
      </c>
      <c r="P51" s="80">
        <v>5.5</v>
      </c>
      <c r="Q51" s="80">
        <v>5.5</v>
      </c>
      <c r="R51" s="80">
        <v>5.5</v>
      </c>
      <c r="S51" s="105">
        <v>10.199999999999999</v>
      </c>
      <c r="T51" s="105">
        <v>15.4</v>
      </c>
      <c r="U51" s="105">
        <v>15.6</v>
      </c>
      <c r="V51" s="105">
        <v>15.6</v>
      </c>
      <c r="W51" s="105">
        <v>14.7</v>
      </c>
      <c r="X51" s="105">
        <v>14.7</v>
      </c>
      <c r="Y51" s="105">
        <v>14.1</v>
      </c>
      <c r="Z51" s="105">
        <v>14.1</v>
      </c>
      <c r="AA51" s="105">
        <v>13.9</v>
      </c>
      <c r="AB51" s="80">
        <v>13.5</v>
      </c>
      <c r="AC51" s="80">
        <v>13.5</v>
      </c>
      <c r="AD51" s="80">
        <v>4</v>
      </c>
      <c r="AE51" s="80">
        <v>4</v>
      </c>
      <c r="AF51" s="80">
        <v>4</v>
      </c>
      <c r="AG51" s="94">
        <v>24</v>
      </c>
      <c r="AH51" s="20">
        <f t="shared" si="2"/>
        <v>15.6</v>
      </c>
      <c r="AI51" s="19">
        <f t="shared" si="3"/>
        <v>4</v>
      </c>
      <c r="AK51" s="41"/>
    </row>
    <row r="52" spans="1:41" x14ac:dyDescent="0.25">
      <c r="A52" s="95" t="s">
        <v>183</v>
      </c>
      <c r="B52" s="80">
        <v>3.5</v>
      </c>
      <c r="C52" s="80">
        <v>3.5</v>
      </c>
      <c r="D52" s="80">
        <v>3.5</v>
      </c>
      <c r="E52" s="80">
        <v>3.5</v>
      </c>
      <c r="F52" s="80">
        <v>3.5</v>
      </c>
      <c r="G52" s="80">
        <v>3.5</v>
      </c>
      <c r="H52" s="80">
        <v>3.5</v>
      </c>
      <c r="I52" s="80">
        <v>3.5</v>
      </c>
      <c r="J52" s="80">
        <v>3.5</v>
      </c>
      <c r="K52" s="80">
        <v>3.5</v>
      </c>
      <c r="L52" s="80">
        <v>3.5</v>
      </c>
      <c r="M52" s="80">
        <v>3.5</v>
      </c>
      <c r="N52" s="80">
        <v>3.5</v>
      </c>
      <c r="O52" s="80">
        <v>3.5</v>
      </c>
      <c r="P52" s="80">
        <v>3.5</v>
      </c>
      <c r="Q52" s="80">
        <v>3.5</v>
      </c>
      <c r="R52" s="80">
        <v>3.5</v>
      </c>
      <c r="S52" s="80">
        <v>0</v>
      </c>
      <c r="T52" s="105">
        <v>0</v>
      </c>
      <c r="U52" s="80">
        <v>0</v>
      </c>
      <c r="V52" s="80">
        <v>0</v>
      </c>
      <c r="W52" s="80">
        <v>0</v>
      </c>
      <c r="X52" s="80">
        <v>0</v>
      </c>
      <c r="Y52" s="80">
        <v>0</v>
      </c>
      <c r="Z52" s="80">
        <v>0</v>
      </c>
      <c r="AA52" s="80">
        <v>0</v>
      </c>
      <c r="AB52" s="80">
        <v>0</v>
      </c>
      <c r="AC52" s="80">
        <v>0</v>
      </c>
      <c r="AD52" s="80">
        <v>0</v>
      </c>
      <c r="AE52" s="80">
        <v>0</v>
      </c>
      <c r="AF52" s="80">
        <v>0</v>
      </c>
      <c r="AG52" s="94">
        <v>15</v>
      </c>
      <c r="AH52" s="20">
        <f t="shared" si="2"/>
        <v>3.5</v>
      </c>
      <c r="AI52" s="19">
        <f t="shared" si="3"/>
        <v>0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9.1</v>
      </c>
      <c r="C53" s="80">
        <v>9.6999999999999993</v>
      </c>
      <c r="D53" s="80">
        <v>10</v>
      </c>
      <c r="E53" s="80">
        <v>10</v>
      </c>
      <c r="F53" s="80">
        <v>10</v>
      </c>
      <c r="G53" s="80">
        <v>9.5</v>
      </c>
      <c r="H53" s="80">
        <v>9.5</v>
      </c>
      <c r="I53" s="80">
        <v>9.5</v>
      </c>
      <c r="J53" s="80">
        <v>9.5</v>
      </c>
      <c r="K53" s="80">
        <v>9.5</v>
      </c>
      <c r="L53" s="80">
        <v>9.5</v>
      </c>
      <c r="M53" s="80">
        <v>9.5</v>
      </c>
      <c r="N53" s="80">
        <v>9.5</v>
      </c>
      <c r="O53" s="80">
        <v>9.5</v>
      </c>
      <c r="P53" s="80">
        <v>9.5</v>
      </c>
      <c r="Q53" s="80">
        <v>9.5</v>
      </c>
      <c r="R53" s="80">
        <v>9.5</v>
      </c>
      <c r="S53" s="80">
        <v>8</v>
      </c>
      <c r="T53" s="105">
        <v>8.5</v>
      </c>
      <c r="U53" s="80">
        <v>10.199999999999999</v>
      </c>
      <c r="V53" s="80">
        <v>10.4</v>
      </c>
      <c r="W53" s="80">
        <v>10.4</v>
      </c>
      <c r="X53" s="80">
        <v>10.4</v>
      </c>
      <c r="Y53" s="80">
        <v>10.4</v>
      </c>
      <c r="Z53" s="80">
        <v>10.4</v>
      </c>
      <c r="AA53" s="80">
        <v>14.1</v>
      </c>
      <c r="AB53" s="80">
        <v>12.4</v>
      </c>
      <c r="AC53" s="80">
        <v>12.4</v>
      </c>
      <c r="AD53" s="80">
        <v>5.2</v>
      </c>
      <c r="AE53" s="80">
        <v>5.2</v>
      </c>
      <c r="AF53" s="80">
        <v>3.1</v>
      </c>
      <c r="AG53" s="94">
        <v>14.1</v>
      </c>
      <c r="AH53" s="20">
        <f t="shared" si="2"/>
        <v>14.1</v>
      </c>
      <c r="AI53" s="19">
        <f t="shared" si="3"/>
        <v>3.1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5.5</v>
      </c>
      <c r="C54" s="80">
        <v>5.5</v>
      </c>
      <c r="D54" s="80">
        <v>5.5</v>
      </c>
      <c r="E54" s="80">
        <v>5.5</v>
      </c>
      <c r="F54" s="80">
        <v>5.5</v>
      </c>
      <c r="G54" s="80">
        <v>5.5</v>
      </c>
      <c r="H54" s="80">
        <v>5.5</v>
      </c>
      <c r="I54" s="80">
        <v>5.5</v>
      </c>
      <c r="J54" s="80">
        <v>5.5</v>
      </c>
      <c r="K54" s="80">
        <v>5.5</v>
      </c>
      <c r="L54" s="80">
        <v>5.5</v>
      </c>
      <c r="M54" s="80">
        <v>5.5</v>
      </c>
      <c r="N54" s="80">
        <v>5.5</v>
      </c>
      <c r="O54" s="80">
        <v>5.5</v>
      </c>
      <c r="P54" s="80">
        <v>5.5</v>
      </c>
      <c r="Q54" s="80">
        <v>5.5</v>
      </c>
      <c r="R54" s="80">
        <v>5.5</v>
      </c>
      <c r="S54" s="80">
        <v>5.5</v>
      </c>
      <c r="T54" s="80">
        <v>5</v>
      </c>
      <c r="U54" s="80">
        <v>6.6</v>
      </c>
      <c r="V54" s="80">
        <v>0</v>
      </c>
      <c r="W54" s="80">
        <v>7.2</v>
      </c>
      <c r="X54" s="80">
        <v>12.7</v>
      </c>
      <c r="Y54" s="80">
        <v>12.7</v>
      </c>
      <c r="Z54" s="80">
        <v>12.7</v>
      </c>
      <c r="AA54" s="80">
        <v>6.9</v>
      </c>
      <c r="AB54" s="80">
        <v>7.1</v>
      </c>
      <c r="AC54" s="80">
        <v>12</v>
      </c>
      <c r="AD54" s="80">
        <v>12</v>
      </c>
      <c r="AE54" s="80">
        <v>12</v>
      </c>
      <c r="AF54" s="80">
        <v>12</v>
      </c>
      <c r="AG54" s="94">
        <v>14</v>
      </c>
      <c r="AH54" s="20">
        <f t="shared" si="2"/>
        <v>12.7</v>
      </c>
      <c r="AI54" s="19">
        <f t="shared" si="3"/>
        <v>0</v>
      </c>
      <c r="AK54" s="41"/>
    </row>
    <row r="55" spans="1:41" x14ac:dyDescent="0.25">
      <c r="A55" s="95" t="s">
        <v>180</v>
      </c>
      <c r="B55" s="80">
        <v>9</v>
      </c>
      <c r="C55" s="80">
        <v>9</v>
      </c>
      <c r="D55" s="80">
        <v>9</v>
      </c>
      <c r="E55" s="80">
        <v>9</v>
      </c>
      <c r="F55" s="80">
        <v>9</v>
      </c>
      <c r="G55" s="80">
        <v>9</v>
      </c>
      <c r="H55" s="80">
        <v>9</v>
      </c>
      <c r="I55" s="80">
        <v>9</v>
      </c>
      <c r="J55" s="80">
        <v>9</v>
      </c>
      <c r="K55" s="80">
        <v>9</v>
      </c>
      <c r="L55" s="80">
        <v>9</v>
      </c>
      <c r="M55" s="80">
        <v>9</v>
      </c>
      <c r="N55" s="80">
        <v>9</v>
      </c>
      <c r="O55" s="80">
        <v>9</v>
      </c>
      <c r="P55" s="80">
        <v>9</v>
      </c>
      <c r="Q55" s="80">
        <v>9</v>
      </c>
      <c r="R55" s="80">
        <v>9</v>
      </c>
      <c r="S55" s="80">
        <v>9</v>
      </c>
      <c r="T55" s="80">
        <v>9</v>
      </c>
      <c r="U55" s="80">
        <v>9</v>
      </c>
      <c r="V55" s="80">
        <v>9</v>
      </c>
      <c r="W55" s="80">
        <v>9</v>
      </c>
      <c r="X55" s="80">
        <v>9</v>
      </c>
      <c r="Y55" s="80">
        <v>9</v>
      </c>
      <c r="Z55" s="80">
        <v>9</v>
      </c>
      <c r="AA55" s="80">
        <v>9</v>
      </c>
      <c r="AB55" s="80">
        <v>9</v>
      </c>
      <c r="AC55" s="80">
        <v>9</v>
      </c>
      <c r="AD55" s="80">
        <v>9</v>
      </c>
      <c r="AE55" s="80">
        <v>9</v>
      </c>
      <c r="AF55" s="80">
        <v>6.5</v>
      </c>
      <c r="AG55" s="94">
        <v>10.050000000000001</v>
      </c>
      <c r="AH55" s="20">
        <f t="shared" si="2"/>
        <v>9</v>
      </c>
      <c r="AI55" s="19">
        <f t="shared" si="3"/>
        <v>6.5</v>
      </c>
      <c r="AK55" s="41"/>
    </row>
    <row r="56" spans="1:41" x14ac:dyDescent="0.25">
      <c r="A56" s="95" t="s">
        <v>179</v>
      </c>
      <c r="B56" s="80">
        <v>3</v>
      </c>
      <c r="C56" s="80">
        <v>3</v>
      </c>
      <c r="D56" s="80">
        <v>3</v>
      </c>
      <c r="E56" s="80">
        <v>3</v>
      </c>
      <c r="F56" s="80">
        <v>3</v>
      </c>
      <c r="G56" s="80">
        <v>3</v>
      </c>
      <c r="H56" s="80">
        <v>3</v>
      </c>
      <c r="I56" s="80">
        <v>3</v>
      </c>
      <c r="J56" s="80">
        <v>3</v>
      </c>
      <c r="K56" s="80">
        <v>3</v>
      </c>
      <c r="L56" s="80">
        <v>3</v>
      </c>
      <c r="M56" s="80">
        <v>3</v>
      </c>
      <c r="N56" s="80">
        <v>3</v>
      </c>
      <c r="O56" s="80">
        <v>3</v>
      </c>
      <c r="P56" s="80">
        <v>3</v>
      </c>
      <c r="Q56" s="80">
        <v>3</v>
      </c>
      <c r="R56" s="80">
        <v>3</v>
      </c>
      <c r="S56" s="80">
        <v>3</v>
      </c>
      <c r="T56" s="80">
        <v>6.2</v>
      </c>
      <c r="U56" s="80">
        <v>6.2</v>
      </c>
      <c r="V56" s="80">
        <v>6.2</v>
      </c>
      <c r="W56" s="80">
        <v>6.2</v>
      </c>
      <c r="X56" s="80">
        <v>6.2</v>
      </c>
      <c r="Y56" s="80">
        <v>6.2</v>
      </c>
      <c r="Z56" s="80">
        <v>6.2</v>
      </c>
      <c r="AA56" s="80">
        <v>6.2</v>
      </c>
      <c r="AB56" s="80">
        <v>6.2</v>
      </c>
      <c r="AC56" s="80">
        <v>6.2</v>
      </c>
      <c r="AD56" s="80">
        <v>6.2</v>
      </c>
      <c r="AE56" s="80">
        <v>6.2</v>
      </c>
      <c r="AF56" s="80">
        <v>6.2</v>
      </c>
      <c r="AG56" s="94">
        <v>6.2</v>
      </c>
      <c r="AH56" s="20">
        <f t="shared" si="2"/>
        <v>6.2</v>
      </c>
      <c r="AI56" s="19">
        <f t="shared" si="3"/>
        <v>3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" si="9">SUM(B45:B57)</f>
        <v>216.23999999999998</v>
      </c>
      <c r="C58" s="86">
        <f t="shared" ref="C58:AG58" si="10">SUM(C45:C57)</f>
        <v>203.73999999999998</v>
      </c>
      <c r="D58" s="86">
        <f t="shared" si="10"/>
        <v>201.14</v>
      </c>
      <c r="E58" s="86">
        <f t="shared" si="10"/>
        <v>177.94</v>
      </c>
      <c r="F58" s="86">
        <f t="shared" si="10"/>
        <v>178.54</v>
      </c>
      <c r="G58" s="86">
        <f t="shared" si="10"/>
        <v>138.84</v>
      </c>
      <c r="H58" s="86">
        <f t="shared" si="10"/>
        <v>156.93999999999997</v>
      </c>
      <c r="I58" s="86">
        <f t="shared" si="10"/>
        <v>152.63999999999999</v>
      </c>
      <c r="J58" s="86">
        <f t="shared" si="10"/>
        <v>152.63999999999999</v>
      </c>
      <c r="K58" s="86">
        <f t="shared" si="10"/>
        <v>145.04</v>
      </c>
      <c r="L58" s="86">
        <f t="shared" si="10"/>
        <v>145.73999999999998</v>
      </c>
      <c r="M58" s="86">
        <f t="shared" si="10"/>
        <v>145.73999999999998</v>
      </c>
      <c r="N58" s="86">
        <f t="shared" si="10"/>
        <v>145.73999999999998</v>
      </c>
      <c r="O58" s="86">
        <f t="shared" si="10"/>
        <v>158.94</v>
      </c>
      <c r="P58" s="86">
        <f t="shared" si="10"/>
        <v>169.54</v>
      </c>
      <c r="Q58" s="86">
        <f t="shared" si="10"/>
        <v>147.94</v>
      </c>
      <c r="R58" s="86">
        <f t="shared" si="10"/>
        <v>147.84</v>
      </c>
      <c r="S58" s="86">
        <f t="shared" si="10"/>
        <v>138.04</v>
      </c>
      <c r="T58" s="86">
        <f t="shared" si="10"/>
        <v>193.29999999999998</v>
      </c>
      <c r="U58" s="86">
        <f t="shared" si="10"/>
        <v>196.93999999999997</v>
      </c>
      <c r="V58" s="86">
        <f t="shared" si="10"/>
        <v>191.04</v>
      </c>
      <c r="W58" s="86">
        <f t="shared" si="10"/>
        <v>196.64</v>
      </c>
      <c r="X58" s="86">
        <f t="shared" si="10"/>
        <v>202.64</v>
      </c>
      <c r="Y58" s="86">
        <v>201.93999999999997</v>
      </c>
      <c r="Z58" s="86">
        <f t="shared" si="10"/>
        <v>201.43999999999997</v>
      </c>
      <c r="AA58" s="86">
        <f t="shared" si="10"/>
        <v>199.14</v>
      </c>
      <c r="AB58" s="86">
        <f t="shared" si="10"/>
        <v>196.94</v>
      </c>
      <c r="AC58" s="86">
        <f t="shared" si="10"/>
        <v>201.84</v>
      </c>
      <c r="AD58" s="86">
        <f t="shared" si="10"/>
        <v>185.14</v>
      </c>
      <c r="AE58" s="86">
        <f t="shared" si="10"/>
        <v>185.14</v>
      </c>
      <c r="AF58" s="86">
        <f t="shared" si="10"/>
        <v>180.04</v>
      </c>
      <c r="AG58" s="101">
        <f t="shared" si="10"/>
        <v>489.91</v>
      </c>
      <c r="AH58" s="20">
        <f t="shared" si="2"/>
        <v>216.23999999999998</v>
      </c>
      <c r="AI58" s="19">
        <f t="shared" si="3"/>
        <v>138.04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>
        <v>0</v>
      </c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>
        <v>0</v>
      </c>
      <c r="Z59" s="105">
        <v>0</v>
      </c>
      <c r="AA59" s="105">
        <v>0</v>
      </c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07">
        <v>0</v>
      </c>
      <c r="Y61" s="107">
        <v>0</v>
      </c>
      <c r="Z61" s="107">
        <v>0</v>
      </c>
      <c r="AA61" s="107">
        <v>0</v>
      </c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" si="11">SUM(B59:B61)</f>
        <v>0</v>
      </c>
      <c r="C62" s="86">
        <f t="shared" ref="C62:AG62" si="12">SUM(C59:C61)</f>
        <v>0</v>
      </c>
      <c r="D62" s="86">
        <f t="shared" si="12"/>
        <v>0</v>
      </c>
      <c r="E62" s="86">
        <f t="shared" si="12"/>
        <v>0</v>
      </c>
      <c r="F62" s="86">
        <f t="shared" si="12"/>
        <v>0</v>
      </c>
      <c r="G62" s="86">
        <f t="shared" si="12"/>
        <v>0</v>
      </c>
      <c r="H62" s="86">
        <f t="shared" si="12"/>
        <v>0</v>
      </c>
      <c r="I62" s="86">
        <f t="shared" si="12"/>
        <v>0</v>
      </c>
      <c r="J62" s="86">
        <f t="shared" si="12"/>
        <v>0</v>
      </c>
      <c r="K62" s="86">
        <f t="shared" si="12"/>
        <v>0</v>
      </c>
      <c r="L62" s="86">
        <f t="shared" si="12"/>
        <v>0</v>
      </c>
      <c r="M62" s="86">
        <f t="shared" si="12"/>
        <v>0</v>
      </c>
      <c r="N62" s="86">
        <f t="shared" si="12"/>
        <v>0</v>
      </c>
      <c r="O62" s="86">
        <f t="shared" si="12"/>
        <v>0</v>
      </c>
      <c r="P62" s="86">
        <f t="shared" si="12"/>
        <v>0</v>
      </c>
      <c r="Q62" s="86">
        <f t="shared" si="12"/>
        <v>0</v>
      </c>
      <c r="R62" s="86">
        <f t="shared" si="12"/>
        <v>0</v>
      </c>
      <c r="S62" s="86">
        <f t="shared" si="12"/>
        <v>0</v>
      </c>
      <c r="T62" s="86">
        <f t="shared" si="12"/>
        <v>0</v>
      </c>
      <c r="U62" s="86">
        <f t="shared" si="12"/>
        <v>0</v>
      </c>
      <c r="V62" s="86">
        <f t="shared" si="12"/>
        <v>0</v>
      </c>
      <c r="W62" s="86">
        <f t="shared" si="12"/>
        <v>0</v>
      </c>
      <c r="X62" s="86">
        <f t="shared" si="12"/>
        <v>0</v>
      </c>
      <c r="Y62" s="86">
        <v>0</v>
      </c>
      <c r="Z62" s="86">
        <f t="shared" si="12"/>
        <v>0</v>
      </c>
      <c r="AA62" s="86">
        <f t="shared" si="12"/>
        <v>0</v>
      </c>
      <c r="AB62" s="86">
        <f t="shared" si="12"/>
        <v>0</v>
      </c>
      <c r="AC62" s="86">
        <f t="shared" si="12"/>
        <v>0</v>
      </c>
      <c r="AD62" s="86">
        <f t="shared" si="12"/>
        <v>0</v>
      </c>
      <c r="AE62" s="86">
        <f t="shared" si="12"/>
        <v>0</v>
      </c>
      <c r="AF62" s="86">
        <f t="shared" si="12"/>
        <v>0</v>
      </c>
      <c r="AG62" s="101">
        <f t="shared" si="12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35</v>
      </c>
      <c r="N63" s="105">
        <v>0</v>
      </c>
      <c r="O63" s="105">
        <v>0</v>
      </c>
      <c r="P63" s="105">
        <v>0</v>
      </c>
      <c r="Q63" s="105">
        <v>0</v>
      </c>
      <c r="R63" s="105">
        <v>12</v>
      </c>
      <c r="S63" s="105">
        <v>0</v>
      </c>
      <c r="T63" s="105">
        <v>0</v>
      </c>
      <c r="U63" s="105">
        <v>0</v>
      </c>
      <c r="V63" s="105">
        <v>0</v>
      </c>
      <c r="W63" s="105">
        <v>0</v>
      </c>
      <c r="X63" s="105">
        <v>0</v>
      </c>
      <c r="Y63" s="105">
        <v>15.2</v>
      </c>
      <c r="Z63" s="105">
        <v>18.8</v>
      </c>
      <c r="AA63" s="105">
        <v>4.4000000000000004</v>
      </c>
      <c r="AB63" s="105">
        <v>2.2000000000000002</v>
      </c>
      <c r="AC63" s="105">
        <v>0</v>
      </c>
      <c r="AD63" s="105">
        <v>0</v>
      </c>
      <c r="AE63" s="105">
        <v>0</v>
      </c>
      <c r="AF63" s="105">
        <v>0</v>
      </c>
      <c r="AG63" s="96"/>
      <c r="AH63" s="20">
        <f t="shared" si="2"/>
        <v>35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-415</v>
      </c>
      <c r="C65" s="80">
        <v>-420</v>
      </c>
      <c r="D65" s="80">
        <v>-405.2</v>
      </c>
      <c r="E65" s="80">
        <v>-398</v>
      </c>
      <c r="F65" s="80">
        <v>-405.7</v>
      </c>
      <c r="G65" s="80">
        <v>-420</v>
      </c>
      <c r="H65" s="80">
        <v>-415</v>
      </c>
      <c r="I65" s="80">
        <v>-424</v>
      </c>
      <c r="J65" s="80">
        <v>-412</v>
      </c>
      <c r="K65" s="80">
        <v>-408</v>
      </c>
      <c r="L65" s="80">
        <v>-364</v>
      </c>
      <c r="M65" s="80">
        <v>-400</v>
      </c>
      <c r="N65" s="80">
        <v>-386</v>
      </c>
      <c r="O65" s="80">
        <v>-390</v>
      </c>
      <c r="P65" s="80">
        <v>-445</v>
      </c>
      <c r="Q65" s="80">
        <v>-397</v>
      </c>
      <c r="R65" s="80">
        <v>-402</v>
      </c>
      <c r="S65" s="80">
        <v>-400</v>
      </c>
      <c r="T65" s="80">
        <v>-380</v>
      </c>
      <c r="U65" s="80">
        <v>-392</v>
      </c>
      <c r="V65" s="80">
        <v>-407</v>
      </c>
      <c r="W65" s="80">
        <v>-395.3</v>
      </c>
      <c r="X65" s="80">
        <v>-375</v>
      </c>
      <c r="Y65" s="80">
        <v>-406</v>
      </c>
      <c r="Z65" s="80">
        <v>-414</v>
      </c>
      <c r="AA65" s="80">
        <v>-385.9</v>
      </c>
      <c r="AB65" s="80">
        <v>-407.8</v>
      </c>
      <c r="AC65" s="80">
        <v>-391</v>
      </c>
      <c r="AD65" s="80">
        <v>-403</v>
      </c>
      <c r="AE65" s="80">
        <v>-411</v>
      </c>
      <c r="AF65" s="80">
        <v>-428</v>
      </c>
      <c r="AG65" s="102"/>
      <c r="AH65" s="20">
        <f t="shared" si="2"/>
        <v>-364</v>
      </c>
      <c r="AI65" s="19">
        <f t="shared" si="3"/>
        <v>-445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" si="13">SUMIF(B63:B73,"&gt;0")</f>
        <v>0</v>
      </c>
      <c r="C74" s="86">
        <f t="shared" ref="C74:AF74" si="14">SUMIF(C63:C73,"&gt;0")</f>
        <v>0</v>
      </c>
      <c r="D74" s="86">
        <f t="shared" si="14"/>
        <v>0</v>
      </c>
      <c r="E74" s="86">
        <f t="shared" si="14"/>
        <v>0</v>
      </c>
      <c r="F74" s="86">
        <f t="shared" si="14"/>
        <v>0</v>
      </c>
      <c r="G74" s="86">
        <f t="shared" si="14"/>
        <v>0</v>
      </c>
      <c r="H74" s="86">
        <f t="shared" si="14"/>
        <v>0</v>
      </c>
      <c r="I74" s="86">
        <f t="shared" si="14"/>
        <v>0</v>
      </c>
      <c r="J74" s="86">
        <f t="shared" si="14"/>
        <v>0</v>
      </c>
      <c r="K74" s="86">
        <f t="shared" si="14"/>
        <v>0</v>
      </c>
      <c r="L74" s="86">
        <f t="shared" si="14"/>
        <v>0</v>
      </c>
      <c r="M74" s="86">
        <f t="shared" si="14"/>
        <v>35</v>
      </c>
      <c r="N74" s="86">
        <f t="shared" si="14"/>
        <v>0</v>
      </c>
      <c r="O74" s="86">
        <f t="shared" si="14"/>
        <v>0</v>
      </c>
      <c r="P74" s="86">
        <f t="shared" si="14"/>
        <v>0</v>
      </c>
      <c r="Q74" s="86">
        <f t="shared" si="14"/>
        <v>0</v>
      </c>
      <c r="R74" s="86">
        <f t="shared" si="14"/>
        <v>12</v>
      </c>
      <c r="S74" s="86">
        <f t="shared" si="14"/>
        <v>0</v>
      </c>
      <c r="T74" s="86">
        <f t="shared" si="14"/>
        <v>0</v>
      </c>
      <c r="U74" s="86">
        <f t="shared" si="14"/>
        <v>0</v>
      </c>
      <c r="V74" s="86">
        <f t="shared" si="14"/>
        <v>0</v>
      </c>
      <c r="W74" s="86">
        <f t="shared" si="14"/>
        <v>0</v>
      </c>
      <c r="X74" s="86">
        <f t="shared" si="14"/>
        <v>0</v>
      </c>
      <c r="Y74" s="86">
        <v>15.2</v>
      </c>
      <c r="Z74" s="86">
        <f t="shared" si="14"/>
        <v>18.8</v>
      </c>
      <c r="AA74" s="86">
        <f t="shared" si="14"/>
        <v>4.4000000000000004</v>
      </c>
      <c r="AB74" s="86">
        <f t="shared" si="14"/>
        <v>2.2000000000000002</v>
      </c>
      <c r="AC74" s="86">
        <f t="shared" si="14"/>
        <v>0</v>
      </c>
      <c r="AD74" s="86">
        <f t="shared" si="14"/>
        <v>0</v>
      </c>
      <c r="AE74" s="86">
        <f t="shared" si="14"/>
        <v>0</v>
      </c>
      <c r="AF74" s="86">
        <f t="shared" si="14"/>
        <v>0</v>
      </c>
      <c r="AG74" s="85">
        <f>SUM(AG63:AG73)</f>
        <v>0</v>
      </c>
      <c r="AH74" s="20">
        <f t="shared" si="2"/>
        <v>35</v>
      </c>
      <c r="AI74" s="19">
        <f t="shared" si="3"/>
        <v>0</v>
      </c>
      <c r="AK74" s="41"/>
    </row>
    <row r="75" spans="1:37" x14ac:dyDescent="0.25">
      <c r="A75" s="97" t="s">
        <v>164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>
        <v>0</v>
      </c>
      <c r="Z75" s="93">
        <v>0</v>
      </c>
      <c r="AA75" s="93">
        <v>0</v>
      </c>
      <c r="AB75" s="93"/>
      <c r="AC75" s="93"/>
      <c r="AD75" s="93"/>
      <c r="AE75" s="93"/>
      <c r="AF75" s="93"/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>
        <v>0</v>
      </c>
      <c r="Z76" s="103">
        <v>0</v>
      </c>
      <c r="AA76" s="103">
        <v>0</v>
      </c>
      <c r="AB76" s="103"/>
      <c r="AC76" s="103"/>
      <c r="AD76" s="103"/>
      <c r="AE76" s="103"/>
      <c r="AF76" s="103"/>
      <c r="AG76" s="102">
        <v>14.4</v>
      </c>
      <c r="AH76" s="20">
        <f t="shared" ref="AH76:AH109" si="15">MAX(B76:AF76)</f>
        <v>0</v>
      </c>
      <c r="AI76" s="19">
        <f t="shared" ref="AI76:AI109" si="16">MIN(B76:AF76)</f>
        <v>0</v>
      </c>
      <c r="AK76" s="41"/>
    </row>
    <row r="77" spans="1:37" ht="15.75" thickBot="1" x14ac:dyDescent="0.3">
      <c r="A77" s="91" t="s">
        <v>162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>
        <v>0</v>
      </c>
      <c r="Z77" s="90">
        <v>0</v>
      </c>
      <c r="AA77" s="90">
        <v>0</v>
      </c>
      <c r="AB77" s="90"/>
      <c r="AC77" s="90"/>
      <c r="AD77" s="90"/>
      <c r="AE77" s="90"/>
      <c r="AF77" s="90"/>
      <c r="AG77" s="89">
        <v>2</v>
      </c>
      <c r="AH77" s="20">
        <f t="shared" si="15"/>
        <v>0</v>
      </c>
      <c r="AI77" s="19">
        <f t="shared" si="16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15"/>
        <v>0</v>
      </c>
      <c r="AI78" s="19">
        <f t="shared" si="16"/>
        <v>0</v>
      </c>
    </row>
    <row r="79" spans="1:37" ht="15.75" thickBot="1" x14ac:dyDescent="0.3">
      <c r="A79" s="87" t="s">
        <v>160</v>
      </c>
      <c r="B79" s="98">
        <f t="shared" ref="B79" si="17">B40+B44+B62+B58+B74+B78</f>
        <v>1281.24</v>
      </c>
      <c r="C79" s="98">
        <f t="shared" ref="C79:AG79" si="18">C40+C44+C62+C58+C74+C78</f>
        <v>1242.44</v>
      </c>
      <c r="D79" s="98">
        <f t="shared" si="18"/>
        <v>1230.7399999999998</v>
      </c>
      <c r="E79" s="98">
        <f t="shared" si="18"/>
        <v>1211.6400000000001</v>
      </c>
      <c r="F79" s="98">
        <f t="shared" si="18"/>
        <v>1212.24</v>
      </c>
      <c r="G79" s="98">
        <f t="shared" si="18"/>
        <v>1145.54</v>
      </c>
      <c r="H79" s="98">
        <f t="shared" si="18"/>
        <v>1133.6400000000001</v>
      </c>
      <c r="I79" s="98">
        <f t="shared" si="18"/>
        <v>1119.2399999999998</v>
      </c>
      <c r="J79" s="98">
        <f t="shared" si="18"/>
        <v>1119.2399999999998</v>
      </c>
      <c r="K79" s="98">
        <f t="shared" si="18"/>
        <v>1111.6399999999999</v>
      </c>
      <c r="L79" s="98">
        <f t="shared" si="18"/>
        <v>1090.8399999999999</v>
      </c>
      <c r="M79" s="98">
        <f t="shared" si="18"/>
        <v>1235.8399999999999</v>
      </c>
      <c r="N79" s="98">
        <f t="shared" si="18"/>
        <v>1200.8399999999999</v>
      </c>
      <c r="O79" s="98">
        <f t="shared" si="18"/>
        <v>1303.44</v>
      </c>
      <c r="P79" s="98">
        <f t="shared" si="18"/>
        <v>1276.04</v>
      </c>
      <c r="Q79" s="98">
        <f t="shared" si="18"/>
        <v>1176.74</v>
      </c>
      <c r="R79" s="98">
        <f t="shared" si="18"/>
        <v>1158.6399999999999</v>
      </c>
      <c r="S79" s="98">
        <f t="shared" si="18"/>
        <v>1176.1399999999999</v>
      </c>
      <c r="T79" s="98">
        <f t="shared" si="18"/>
        <v>1212.9000000000001</v>
      </c>
      <c r="U79" s="98">
        <f t="shared" si="18"/>
        <v>1206.54</v>
      </c>
      <c r="V79" s="98">
        <f t="shared" si="18"/>
        <v>1205.54</v>
      </c>
      <c r="W79" s="98">
        <f t="shared" si="18"/>
        <v>1250.6399999999999</v>
      </c>
      <c r="X79" s="98">
        <f t="shared" si="18"/>
        <v>1390.6399999999999</v>
      </c>
      <c r="Y79" s="98">
        <f t="shared" si="18"/>
        <v>1492.8400000000001</v>
      </c>
      <c r="Z79" s="98">
        <f t="shared" si="18"/>
        <v>1460.84</v>
      </c>
      <c r="AA79" s="98">
        <f t="shared" si="18"/>
        <v>1439.44</v>
      </c>
      <c r="AB79" s="98">
        <f t="shared" si="18"/>
        <v>1434.94</v>
      </c>
      <c r="AC79" s="98">
        <f t="shared" si="18"/>
        <v>1406.6399999999999</v>
      </c>
      <c r="AD79" s="98">
        <f t="shared" si="18"/>
        <v>1379.94</v>
      </c>
      <c r="AE79" s="98">
        <f t="shared" si="18"/>
        <v>1319.44</v>
      </c>
      <c r="AF79" s="98">
        <f t="shared" si="18"/>
        <v>1272.04</v>
      </c>
      <c r="AG79" s="101">
        <f t="shared" si="18"/>
        <v>1897.1900000000003</v>
      </c>
      <c r="AH79" s="20">
        <f t="shared" si="15"/>
        <v>1492.8400000000001</v>
      </c>
      <c r="AI79" s="19">
        <f t="shared" si="16"/>
        <v>1090.8399999999999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15"/>
        <v>0</v>
      </c>
      <c r="AI80" s="19">
        <f t="shared" si="16"/>
        <v>0</v>
      </c>
    </row>
    <row r="81" spans="1:37" ht="15.75" thickBot="1" x14ac:dyDescent="0.3">
      <c r="A81" s="87" t="s">
        <v>158</v>
      </c>
      <c r="B81" s="98">
        <f t="shared" ref="B81" si="19">B79+B80</f>
        <v>1281.24</v>
      </c>
      <c r="C81" s="98">
        <f t="shared" ref="C81:AF81" si="20">C79+C80</f>
        <v>1242.44</v>
      </c>
      <c r="D81" s="98">
        <f t="shared" si="20"/>
        <v>1230.7399999999998</v>
      </c>
      <c r="E81" s="98">
        <f t="shared" si="20"/>
        <v>1211.6400000000001</v>
      </c>
      <c r="F81" s="98">
        <f t="shared" si="20"/>
        <v>1212.24</v>
      </c>
      <c r="G81" s="98">
        <f t="shared" si="20"/>
        <v>1145.54</v>
      </c>
      <c r="H81" s="98">
        <f t="shared" si="20"/>
        <v>1133.6400000000001</v>
      </c>
      <c r="I81" s="98">
        <f t="shared" si="20"/>
        <v>1119.2399999999998</v>
      </c>
      <c r="J81" s="98">
        <f t="shared" si="20"/>
        <v>1119.2399999999998</v>
      </c>
      <c r="K81" s="98">
        <f t="shared" si="20"/>
        <v>1111.6399999999999</v>
      </c>
      <c r="L81" s="98">
        <f t="shared" si="20"/>
        <v>1090.8399999999999</v>
      </c>
      <c r="M81" s="98">
        <f t="shared" si="20"/>
        <v>1235.8399999999999</v>
      </c>
      <c r="N81" s="98">
        <f t="shared" si="20"/>
        <v>1200.8399999999999</v>
      </c>
      <c r="O81" s="98">
        <f t="shared" si="20"/>
        <v>1303.44</v>
      </c>
      <c r="P81" s="98">
        <f t="shared" si="20"/>
        <v>1276.04</v>
      </c>
      <c r="Q81" s="98">
        <f t="shared" si="20"/>
        <v>1176.74</v>
      </c>
      <c r="R81" s="98">
        <f t="shared" si="20"/>
        <v>1158.6399999999999</v>
      </c>
      <c r="S81" s="98">
        <f t="shared" si="20"/>
        <v>1176.1399999999999</v>
      </c>
      <c r="T81" s="98">
        <f t="shared" si="20"/>
        <v>1212.9000000000001</v>
      </c>
      <c r="U81" s="98">
        <f t="shared" si="20"/>
        <v>1206.54</v>
      </c>
      <c r="V81" s="98">
        <f t="shared" si="20"/>
        <v>1205.54</v>
      </c>
      <c r="W81" s="98">
        <f t="shared" si="20"/>
        <v>1250.6399999999999</v>
      </c>
      <c r="X81" s="98">
        <f t="shared" si="20"/>
        <v>1390.6399999999999</v>
      </c>
      <c r="Y81" s="98">
        <v>1492.8400000000001</v>
      </c>
      <c r="Z81" s="98">
        <f t="shared" si="20"/>
        <v>1460.84</v>
      </c>
      <c r="AA81" s="98">
        <f t="shared" si="20"/>
        <v>1439.44</v>
      </c>
      <c r="AB81" s="98">
        <f t="shared" si="20"/>
        <v>1434.94</v>
      </c>
      <c r="AC81" s="98">
        <f t="shared" si="20"/>
        <v>1406.6399999999999</v>
      </c>
      <c r="AD81" s="98">
        <f t="shared" si="20"/>
        <v>1379.94</v>
      </c>
      <c r="AE81" s="98">
        <f t="shared" si="20"/>
        <v>1319.44</v>
      </c>
      <c r="AF81" s="98">
        <f t="shared" si="20"/>
        <v>1272.04</v>
      </c>
      <c r="AG81" s="85">
        <f>AG78+AG74+AG62+AG58+AG40+AG80</f>
        <v>1359.0900000000001</v>
      </c>
      <c r="AH81" s="20">
        <f t="shared" si="15"/>
        <v>1492.8400000000001</v>
      </c>
      <c r="AI81" s="19">
        <f t="shared" si="16"/>
        <v>1090.8399999999999</v>
      </c>
    </row>
    <row r="82" spans="1:37" ht="15.75" thickBot="1" x14ac:dyDescent="0.3">
      <c r="A82" s="87" t="s">
        <v>157</v>
      </c>
      <c r="B82" s="98">
        <f t="shared" ref="B82" si="21">B81-B89</f>
        <v>866.24</v>
      </c>
      <c r="C82" s="98">
        <f t="shared" ref="C82:AF82" si="22">C81-C89</f>
        <v>822.44</v>
      </c>
      <c r="D82" s="98">
        <f t="shared" si="22"/>
        <v>825.53999999999974</v>
      </c>
      <c r="E82" s="98">
        <f t="shared" si="22"/>
        <v>813.6400000000001</v>
      </c>
      <c r="F82" s="98">
        <f t="shared" si="22"/>
        <v>806.54</v>
      </c>
      <c r="G82" s="98">
        <f t="shared" si="22"/>
        <v>725.54</v>
      </c>
      <c r="H82" s="98">
        <f t="shared" si="22"/>
        <v>718.6400000000001</v>
      </c>
      <c r="I82" s="98">
        <f t="shared" si="22"/>
        <v>695.23999999999978</v>
      </c>
      <c r="J82" s="98">
        <f t="shared" si="22"/>
        <v>707.23999999999978</v>
      </c>
      <c r="K82" s="98">
        <f t="shared" si="22"/>
        <v>703.63999999999987</v>
      </c>
      <c r="L82" s="98">
        <f t="shared" si="22"/>
        <v>726.83999999999992</v>
      </c>
      <c r="M82" s="98">
        <f t="shared" si="22"/>
        <v>835.83999999999992</v>
      </c>
      <c r="N82" s="98">
        <f t="shared" si="22"/>
        <v>814.83999999999992</v>
      </c>
      <c r="O82" s="98">
        <f t="shared" si="22"/>
        <v>913.44</v>
      </c>
      <c r="P82" s="98">
        <f t="shared" si="22"/>
        <v>831.04</v>
      </c>
      <c r="Q82" s="98">
        <f t="shared" si="22"/>
        <v>779.74</v>
      </c>
      <c r="R82" s="98">
        <f t="shared" si="22"/>
        <v>756.63999999999987</v>
      </c>
      <c r="S82" s="98">
        <f t="shared" si="22"/>
        <v>776.13999999999987</v>
      </c>
      <c r="T82" s="98">
        <f t="shared" si="22"/>
        <v>832.90000000000009</v>
      </c>
      <c r="U82" s="98">
        <f t="shared" si="22"/>
        <v>814.54</v>
      </c>
      <c r="V82" s="98">
        <f t="shared" si="22"/>
        <v>798.54</v>
      </c>
      <c r="W82" s="98">
        <f t="shared" si="22"/>
        <v>855.33999999999992</v>
      </c>
      <c r="X82" s="98">
        <f t="shared" si="22"/>
        <v>1015.6399999999999</v>
      </c>
      <c r="Y82" s="98">
        <v>1086.8400000000001</v>
      </c>
      <c r="Z82" s="98">
        <f t="shared" si="22"/>
        <v>1046.8399999999999</v>
      </c>
      <c r="AA82" s="98">
        <f t="shared" si="22"/>
        <v>1053.54</v>
      </c>
      <c r="AB82" s="98">
        <f t="shared" si="22"/>
        <v>1027.1400000000001</v>
      </c>
      <c r="AC82" s="98">
        <f t="shared" si="22"/>
        <v>1015.6399999999999</v>
      </c>
      <c r="AD82" s="98">
        <f t="shared" si="22"/>
        <v>976.94</v>
      </c>
      <c r="AE82" s="98">
        <f t="shared" si="22"/>
        <v>908.44</v>
      </c>
      <c r="AF82" s="98">
        <f t="shared" si="22"/>
        <v>844.04</v>
      </c>
      <c r="AG82" s="85"/>
      <c r="AH82" s="20">
        <f t="shared" si="15"/>
        <v>1086.8400000000001</v>
      </c>
      <c r="AI82" s="19">
        <f t="shared" si="16"/>
        <v>695.23999999999978</v>
      </c>
    </row>
    <row r="83" spans="1:37" x14ac:dyDescent="0.25">
      <c r="A83" s="97" t="s">
        <v>156</v>
      </c>
      <c r="B83" s="93">
        <f t="shared" ref="B83" si="23">IF(B66&lt;0,B66*-1,0)</f>
        <v>0</v>
      </c>
      <c r="C83" s="93">
        <f t="shared" ref="C83:AF83" si="24">IF(C66&lt;0,C66*-1,0)</f>
        <v>0</v>
      </c>
      <c r="D83" s="93">
        <f t="shared" si="24"/>
        <v>0</v>
      </c>
      <c r="E83" s="93">
        <f t="shared" si="24"/>
        <v>0</v>
      </c>
      <c r="F83" s="93">
        <f t="shared" si="24"/>
        <v>0</v>
      </c>
      <c r="G83" s="93">
        <f t="shared" si="24"/>
        <v>0</v>
      </c>
      <c r="H83" s="93">
        <f t="shared" si="24"/>
        <v>0</v>
      </c>
      <c r="I83" s="93">
        <f t="shared" si="24"/>
        <v>0</v>
      </c>
      <c r="J83" s="93">
        <f t="shared" si="24"/>
        <v>0</v>
      </c>
      <c r="K83" s="93">
        <f t="shared" si="24"/>
        <v>0</v>
      </c>
      <c r="L83" s="93">
        <f t="shared" si="24"/>
        <v>0</v>
      </c>
      <c r="M83" s="93">
        <f t="shared" si="24"/>
        <v>0</v>
      </c>
      <c r="N83" s="93">
        <f t="shared" si="24"/>
        <v>0</v>
      </c>
      <c r="O83" s="93">
        <f t="shared" si="24"/>
        <v>0</v>
      </c>
      <c r="P83" s="93">
        <f t="shared" si="24"/>
        <v>0</v>
      </c>
      <c r="Q83" s="93">
        <f t="shared" si="24"/>
        <v>0</v>
      </c>
      <c r="R83" s="93">
        <f t="shared" si="24"/>
        <v>0</v>
      </c>
      <c r="S83" s="93">
        <f t="shared" si="24"/>
        <v>0</v>
      </c>
      <c r="T83" s="93">
        <f t="shared" si="24"/>
        <v>0</v>
      </c>
      <c r="U83" s="93">
        <f t="shared" si="24"/>
        <v>0</v>
      </c>
      <c r="V83" s="93">
        <f t="shared" si="24"/>
        <v>0</v>
      </c>
      <c r="W83" s="93">
        <f t="shared" si="24"/>
        <v>0</v>
      </c>
      <c r="X83" s="93">
        <f t="shared" si="24"/>
        <v>0</v>
      </c>
      <c r="Y83" s="93">
        <v>0</v>
      </c>
      <c r="Z83" s="93">
        <f t="shared" si="24"/>
        <v>0</v>
      </c>
      <c r="AA83" s="93">
        <f t="shared" si="24"/>
        <v>0</v>
      </c>
      <c r="AB83" s="93">
        <f t="shared" si="24"/>
        <v>0</v>
      </c>
      <c r="AC83" s="93">
        <f t="shared" si="24"/>
        <v>0</v>
      </c>
      <c r="AD83" s="93">
        <f t="shared" si="24"/>
        <v>0</v>
      </c>
      <c r="AE83" s="93">
        <f t="shared" si="24"/>
        <v>0</v>
      </c>
      <c r="AF83" s="93">
        <f t="shared" si="24"/>
        <v>0</v>
      </c>
      <c r="AG83" s="96"/>
      <c r="AH83" s="20">
        <f t="shared" si="15"/>
        <v>0</v>
      </c>
      <c r="AI83" s="19">
        <f t="shared" si="16"/>
        <v>0</v>
      </c>
    </row>
    <row r="84" spans="1:37" x14ac:dyDescent="0.25">
      <c r="A84" s="95" t="s">
        <v>155</v>
      </c>
      <c r="B84" s="93">
        <f t="shared" ref="B84" si="25">IF(B64&lt;0,B64*-1,0)</f>
        <v>0</v>
      </c>
      <c r="C84" s="93">
        <f t="shared" ref="C84:AF84" si="26">IF(C64&lt;0,C64*-1,0)</f>
        <v>0</v>
      </c>
      <c r="D84" s="93">
        <f t="shared" si="26"/>
        <v>0</v>
      </c>
      <c r="E84" s="93">
        <f t="shared" si="26"/>
        <v>0</v>
      </c>
      <c r="F84" s="93">
        <f t="shared" si="26"/>
        <v>0</v>
      </c>
      <c r="G84" s="93">
        <f t="shared" si="26"/>
        <v>0</v>
      </c>
      <c r="H84" s="93">
        <f t="shared" si="26"/>
        <v>0</v>
      </c>
      <c r="I84" s="93">
        <f t="shared" si="26"/>
        <v>0</v>
      </c>
      <c r="J84" s="93">
        <f t="shared" si="26"/>
        <v>0</v>
      </c>
      <c r="K84" s="93">
        <f t="shared" si="26"/>
        <v>0</v>
      </c>
      <c r="L84" s="93">
        <f t="shared" si="26"/>
        <v>0</v>
      </c>
      <c r="M84" s="93">
        <f t="shared" si="26"/>
        <v>0</v>
      </c>
      <c r="N84" s="93">
        <f t="shared" si="26"/>
        <v>0</v>
      </c>
      <c r="O84" s="93">
        <f t="shared" si="26"/>
        <v>0</v>
      </c>
      <c r="P84" s="93">
        <f t="shared" si="26"/>
        <v>0</v>
      </c>
      <c r="Q84" s="93">
        <f t="shared" si="26"/>
        <v>0</v>
      </c>
      <c r="R84" s="93">
        <f t="shared" si="26"/>
        <v>0</v>
      </c>
      <c r="S84" s="93">
        <f t="shared" si="26"/>
        <v>0</v>
      </c>
      <c r="T84" s="93">
        <f t="shared" si="26"/>
        <v>0</v>
      </c>
      <c r="U84" s="93">
        <f t="shared" si="26"/>
        <v>0</v>
      </c>
      <c r="V84" s="93">
        <f t="shared" si="26"/>
        <v>0</v>
      </c>
      <c r="W84" s="93">
        <f t="shared" si="26"/>
        <v>0</v>
      </c>
      <c r="X84" s="93">
        <f t="shared" si="26"/>
        <v>0</v>
      </c>
      <c r="Y84" s="93">
        <v>0</v>
      </c>
      <c r="Z84" s="93">
        <f t="shared" si="26"/>
        <v>0</v>
      </c>
      <c r="AA84" s="93">
        <f t="shared" si="26"/>
        <v>0</v>
      </c>
      <c r="AB84" s="93">
        <f t="shared" si="26"/>
        <v>0</v>
      </c>
      <c r="AC84" s="93">
        <f t="shared" si="26"/>
        <v>0</v>
      </c>
      <c r="AD84" s="93">
        <f t="shared" si="26"/>
        <v>0</v>
      </c>
      <c r="AE84" s="93">
        <f t="shared" si="26"/>
        <v>0</v>
      </c>
      <c r="AF84" s="93">
        <f t="shared" si="26"/>
        <v>0</v>
      </c>
      <c r="AG84" s="94"/>
      <c r="AH84" s="20">
        <f t="shared" si="15"/>
        <v>0</v>
      </c>
      <c r="AI84" s="19">
        <f t="shared" si="16"/>
        <v>0</v>
      </c>
    </row>
    <row r="85" spans="1:37" x14ac:dyDescent="0.25">
      <c r="A85" s="91" t="s">
        <v>154</v>
      </c>
      <c r="B85" s="93">
        <f t="shared" ref="B85" si="27">IF(B67&lt;0,B67*-1,0)</f>
        <v>0</v>
      </c>
      <c r="C85" s="93">
        <f t="shared" ref="C85:AF85" si="28">IF(C67&lt;0,C67*-1,0)</f>
        <v>0</v>
      </c>
      <c r="D85" s="93">
        <f t="shared" si="28"/>
        <v>0</v>
      </c>
      <c r="E85" s="93">
        <f t="shared" si="28"/>
        <v>0</v>
      </c>
      <c r="F85" s="93">
        <f t="shared" si="28"/>
        <v>0</v>
      </c>
      <c r="G85" s="93">
        <f t="shared" si="28"/>
        <v>0</v>
      </c>
      <c r="H85" s="93">
        <f t="shared" si="28"/>
        <v>0</v>
      </c>
      <c r="I85" s="93">
        <f t="shared" si="28"/>
        <v>0</v>
      </c>
      <c r="J85" s="93">
        <f t="shared" si="28"/>
        <v>0</v>
      </c>
      <c r="K85" s="93">
        <f t="shared" si="28"/>
        <v>0</v>
      </c>
      <c r="L85" s="93">
        <f t="shared" si="28"/>
        <v>0</v>
      </c>
      <c r="M85" s="93">
        <f t="shared" si="28"/>
        <v>0</v>
      </c>
      <c r="N85" s="93">
        <f t="shared" si="28"/>
        <v>0</v>
      </c>
      <c r="O85" s="93">
        <f t="shared" si="28"/>
        <v>0</v>
      </c>
      <c r="P85" s="93">
        <f t="shared" si="28"/>
        <v>0</v>
      </c>
      <c r="Q85" s="93">
        <f t="shared" si="28"/>
        <v>0</v>
      </c>
      <c r="R85" s="93">
        <f t="shared" si="28"/>
        <v>0</v>
      </c>
      <c r="S85" s="93">
        <f t="shared" si="28"/>
        <v>0</v>
      </c>
      <c r="T85" s="93">
        <f t="shared" si="28"/>
        <v>0</v>
      </c>
      <c r="U85" s="93">
        <f t="shared" si="28"/>
        <v>0</v>
      </c>
      <c r="V85" s="93">
        <f t="shared" si="28"/>
        <v>0</v>
      </c>
      <c r="W85" s="93">
        <f t="shared" si="28"/>
        <v>0</v>
      </c>
      <c r="X85" s="93">
        <f t="shared" si="28"/>
        <v>0</v>
      </c>
      <c r="Y85" s="93">
        <v>0</v>
      </c>
      <c r="Z85" s="93">
        <f t="shared" si="28"/>
        <v>0</v>
      </c>
      <c r="AA85" s="93">
        <f t="shared" si="28"/>
        <v>0</v>
      </c>
      <c r="AB85" s="93">
        <f t="shared" si="28"/>
        <v>0</v>
      </c>
      <c r="AC85" s="93">
        <f t="shared" si="28"/>
        <v>0</v>
      </c>
      <c r="AD85" s="93">
        <f t="shared" si="28"/>
        <v>0</v>
      </c>
      <c r="AE85" s="93">
        <f t="shared" si="28"/>
        <v>0</v>
      </c>
      <c r="AF85" s="93">
        <f t="shared" si="28"/>
        <v>0</v>
      </c>
      <c r="AG85" s="92"/>
      <c r="AH85" s="20">
        <f t="shared" si="15"/>
        <v>0</v>
      </c>
      <c r="AI85" s="19">
        <f t="shared" si="16"/>
        <v>0</v>
      </c>
    </row>
    <row r="86" spans="1:37" x14ac:dyDescent="0.25">
      <c r="A86" s="91" t="s">
        <v>153</v>
      </c>
      <c r="B86" s="93">
        <f t="shared" ref="B86" si="29">IF(B65&lt;0,B65*-1,0)</f>
        <v>415</v>
      </c>
      <c r="C86" s="93">
        <f t="shared" ref="C86:AF86" si="30">IF(C65&lt;0,C65*-1,0)</f>
        <v>420</v>
      </c>
      <c r="D86" s="93">
        <f t="shared" si="30"/>
        <v>405.2</v>
      </c>
      <c r="E86" s="93">
        <f t="shared" si="30"/>
        <v>398</v>
      </c>
      <c r="F86" s="93">
        <f t="shared" si="30"/>
        <v>405.7</v>
      </c>
      <c r="G86" s="93">
        <f t="shared" si="30"/>
        <v>420</v>
      </c>
      <c r="H86" s="93">
        <f t="shared" si="30"/>
        <v>415</v>
      </c>
      <c r="I86" s="93">
        <f t="shared" si="30"/>
        <v>424</v>
      </c>
      <c r="J86" s="93">
        <f t="shared" si="30"/>
        <v>412</v>
      </c>
      <c r="K86" s="93">
        <f t="shared" si="30"/>
        <v>408</v>
      </c>
      <c r="L86" s="93">
        <f t="shared" si="30"/>
        <v>364</v>
      </c>
      <c r="M86" s="93">
        <f t="shared" si="30"/>
        <v>400</v>
      </c>
      <c r="N86" s="93">
        <f t="shared" si="30"/>
        <v>386</v>
      </c>
      <c r="O86" s="93">
        <f t="shared" si="30"/>
        <v>390</v>
      </c>
      <c r="P86" s="93">
        <f t="shared" si="30"/>
        <v>445</v>
      </c>
      <c r="Q86" s="93">
        <f t="shared" si="30"/>
        <v>397</v>
      </c>
      <c r="R86" s="93">
        <f t="shared" si="30"/>
        <v>402</v>
      </c>
      <c r="S86" s="93">
        <f t="shared" si="30"/>
        <v>400</v>
      </c>
      <c r="T86" s="93">
        <f t="shared" si="30"/>
        <v>380</v>
      </c>
      <c r="U86" s="93">
        <f t="shared" si="30"/>
        <v>392</v>
      </c>
      <c r="V86" s="93">
        <f t="shared" si="30"/>
        <v>407</v>
      </c>
      <c r="W86" s="93">
        <f t="shared" si="30"/>
        <v>395.3</v>
      </c>
      <c r="X86" s="93">
        <f t="shared" si="30"/>
        <v>375</v>
      </c>
      <c r="Y86" s="93">
        <v>406</v>
      </c>
      <c r="Z86" s="93">
        <f t="shared" si="30"/>
        <v>414</v>
      </c>
      <c r="AA86" s="93">
        <f t="shared" si="30"/>
        <v>385.9</v>
      </c>
      <c r="AB86" s="93">
        <f t="shared" si="30"/>
        <v>407.8</v>
      </c>
      <c r="AC86" s="93">
        <f t="shared" si="30"/>
        <v>391</v>
      </c>
      <c r="AD86" s="93">
        <f t="shared" si="30"/>
        <v>403</v>
      </c>
      <c r="AE86" s="93">
        <f t="shared" si="30"/>
        <v>411</v>
      </c>
      <c r="AF86" s="93">
        <f t="shared" si="30"/>
        <v>428</v>
      </c>
      <c r="AG86" s="92"/>
      <c r="AH86" s="20">
        <f t="shared" si="15"/>
        <v>445</v>
      </c>
      <c r="AI86" s="19">
        <f t="shared" si="16"/>
        <v>364</v>
      </c>
    </row>
    <row r="87" spans="1:37" x14ac:dyDescent="0.25">
      <c r="A87" s="91" t="s">
        <v>152</v>
      </c>
      <c r="B87" s="93">
        <f t="shared" ref="B87" si="31">IF(B63&lt;0,B63*-1,0)</f>
        <v>0</v>
      </c>
      <c r="C87" s="93">
        <f t="shared" ref="C87:AF87" si="32">IF(C63&lt;0,C63*-1,0)</f>
        <v>0</v>
      </c>
      <c r="D87" s="93">
        <f t="shared" si="32"/>
        <v>0</v>
      </c>
      <c r="E87" s="93">
        <f t="shared" si="32"/>
        <v>0</v>
      </c>
      <c r="F87" s="93">
        <f t="shared" si="32"/>
        <v>0</v>
      </c>
      <c r="G87" s="93">
        <f t="shared" si="32"/>
        <v>0</v>
      </c>
      <c r="H87" s="93">
        <f t="shared" si="32"/>
        <v>0</v>
      </c>
      <c r="I87" s="93">
        <f t="shared" si="32"/>
        <v>0</v>
      </c>
      <c r="J87" s="93">
        <f t="shared" si="32"/>
        <v>0</v>
      </c>
      <c r="K87" s="93">
        <f t="shared" si="32"/>
        <v>0</v>
      </c>
      <c r="L87" s="93">
        <f t="shared" si="32"/>
        <v>0</v>
      </c>
      <c r="M87" s="93">
        <f t="shared" si="32"/>
        <v>0</v>
      </c>
      <c r="N87" s="93">
        <f t="shared" si="32"/>
        <v>0</v>
      </c>
      <c r="O87" s="93">
        <f t="shared" si="32"/>
        <v>0</v>
      </c>
      <c r="P87" s="93">
        <f t="shared" si="32"/>
        <v>0</v>
      </c>
      <c r="Q87" s="93">
        <f t="shared" si="32"/>
        <v>0</v>
      </c>
      <c r="R87" s="93">
        <f t="shared" si="32"/>
        <v>0</v>
      </c>
      <c r="S87" s="93">
        <f t="shared" si="32"/>
        <v>0</v>
      </c>
      <c r="T87" s="93">
        <f t="shared" si="32"/>
        <v>0</v>
      </c>
      <c r="U87" s="93">
        <f t="shared" si="32"/>
        <v>0</v>
      </c>
      <c r="V87" s="93">
        <f t="shared" si="32"/>
        <v>0</v>
      </c>
      <c r="W87" s="93">
        <f t="shared" si="32"/>
        <v>0</v>
      </c>
      <c r="X87" s="93">
        <f t="shared" si="32"/>
        <v>0</v>
      </c>
      <c r="Y87" s="93">
        <v>0</v>
      </c>
      <c r="Z87" s="93">
        <f t="shared" si="32"/>
        <v>0</v>
      </c>
      <c r="AA87" s="93">
        <f t="shared" si="32"/>
        <v>0</v>
      </c>
      <c r="AB87" s="93">
        <f t="shared" si="32"/>
        <v>0</v>
      </c>
      <c r="AC87" s="93">
        <f t="shared" si="32"/>
        <v>0</v>
      </c>
      <c r="AD87" s="93">
        <f t="shared" si="32"/>
        <v>0</v>
      </c>
      <c r="AE87" s="93">
        <f t="shared" si="32"/>
        <v>0</v>
      </c>
      <c r="AF87" s="93">
        <f t="shared" si="32"/>
        <v>0</v>
      </c>
      <c r="AG87" s="92"/>
      <c r="AH87" s="20">
        <f t="shared" si="15"/>
        <v>0</v>
      </c>
      <c r="AI87" s="19">
        <f t="shared" si="16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>
        <v>0</v>
      </c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15"/>
        <v>0</v>
      </c>
      <c r="AI88" s="19">
        <f t="shared" si="16"/>
        <v>0</v>
      </c>
    </row>
    <row r="89" spans="1:37" ht="15.75" thickBot="1" x14ac:dyDescent="0.3">
      <c r="A89" s="88" t="s">
        <v>150</v>
      </c>
      <c r="B89" s="86">
        <f t="shared" ref="B89" si="33">SUM(B83:B88)</f>
        <v>415</v>
      </c>
      <c r="C89" s="86">
        <f t="shared" ref="C89:AF89" si="34">SUM(C83:C88)</f>
        <v>420</v>
      </c>
      <c r="D89" s="86">
        <f t="shared" si="34"/>
        <v>405.2</v>
      </c>
      <c r="E89" s="86">
        <f t="shared" si="34"/>
        <v>398</v>
      </c>
      <c r="F89" s="86">
        <f t="shared" si="34"/>
        <v>405.7</v>
      </c>
      <c r="G89" s="86">
        <f t="shared" si="34"/>
        <v>420</v>
      </c>
      <c r="H89" s="86">
        <f t="shared" si="34"/>
        <v>415</v>
      </c>
      <c r="I89" s="86">
        <f t="shared" si="34"/>
        <v>424</v>
      </c>
      <c r="J89" s="86">
        <f t="shared" si="34"/>
        <v>412</v>
      </c>
      <c r="K89" s="86">
        <f t="shared" si="34"/>
        <v>408</v>
      </c>
      <c r="L89" s="86">
        <f t="shared" si="34"/>
        <v>364</v>
      </c>
      <c r="M89" s="86">
        <f t="shared" si="34"/>
        <v>400</v>
      </c>
      <c r="N89" s="86">
        <f t="shared" si="34"/>
        <v>386</v>
      </c>
      <c r="O89" s="86">
        <f t="shared" si="34"/>
        <v>390</v>
      </c>
      <c r="P89" s="86">
        <f t="shared" si="34"/>
        <v>445</v>
      </c>
      <c r="Q89" s="86">
        <f t="shared" si="34"/>
        <v>397</v>
      </c>
      <c r="R89" s="86">
        <f t="shared" si="34"/>
        <v>402</v>
      </c>
      <c r="S89" s="86">
        <f t="shared" si="34"/>
        <v>400</v>
      </c>
      <c r="T89" s="86">
        <f t="shared" si="34"/>
        <v>380</v>
      </c>
      <c r="U89" s="86">
        <f t="shared" si="34"/>
        <v>392</v>
      </c>
      <c r="V89" s="86">
        <f t="shared" si="34"/>
        <v>407</v>
      </c>
      <c r="W89" s="86">
        <f t="shared" si="34"/>
        <v>395.3</v>
      </c>
      <c r="X89" s="86">
        <f t="shared" si="34"/>
        <v>375</v>
      </c>
      <c r="Y89" s="86">
        <f t="shared" si="34"/>
        <v>406</v>
      </c>
      <c r="Z89" s="86">
        <f t="shared" si="34"/>
        <v>414</v>
      </c>
      <c r="AA89" s="86">
        <f t="shared" si="34"/>
        <v>385.9</v>
      </c>
      <c r="AB89" s="86">
        <f t="shared" si="34"/>
        <v>407.8</v>
      </c>
      <c r="AC89" s="86">
        <f t="shared" si="34"/>
        <v>391</v>
      </c>
      <c r="AD89" s="86">
        <f t="shared" si="34"/>
        <v>403</v>
      </c>
      <c r="AE89" s="86">
        <f t="shared" si="34"/>
        <v>411</v>
      </c>
      <c r="AF89" s="86">
        <f t="shared" si="34"/>
        <v>428</v>
      </c>
      <c r="AG89" s="85"/>
      <c r="AH89" s="20">
        <f t="shared" si="15"/>
        <v>445</v>
      </c>
      <c r="AI89" s="19">
        <f t="shared" si="16"/>
        <v>364</v>
      </c>
      <c r="AK89" s="41"/>
    </row>
    <row r="90" spans="1:37" ht="15.75" thickBot="1" x14ac:dyDescent="0.3">
      <c r="A90" s="87" t="s">
        <v>149</v>
      </c>
      <c r="B90" s="86">
        <f t="shared" ref="B90" si="35">B74-B89</f>
        <v>-415</v>
      </c>
      <c r="C90" s="86">
        <f t="shared" ref="C90:AF90" si="36">C74-C89</f>
        <v>-420</v>
      </c>
      <c r="D90" s="86">
        <f t="shared" si="36"/>
        <v>-405.2</v>
      </c>
      <c r="E90" s="86">
        <f t="shared" si="36"/>
        <v>-398</v>
      </c>
      <c r="F90" s="86">
        <f t="shared" si="36"/>
        <v>-405.7</v>
      </c>
      <c r="G90" s="86">
        <f t="shared" si="36"/>
        <v>-420</v>
      </c>
      <c r="H90" s="86">
        <f t="shared" si="36"/>
        <v>-415</v>
      </c>
      <c r="I90" s="86">
        <f t="shared" si="36"/>
        <v>-424</v>
      </c>
      <c r="J90" s="86">
        <f t="shared" si="36"/>
        <v>-412</v>
      </c>
      <c r="K90" s="86">
        <f t="shared" si="36"/>
        <v>-408</v>
      </c>
      <c r="L90" s="86">
        <f t="shared" si="36"/>
        <v>-364</v>
      </c>
      <c r="M90" s="86">
        <f t="shared" si="36"/>
        <v>-365</v>
      </c>
      <c r="N90" s="86">
        <f t="shared" si="36"/>
        <v>-386</v>
      </c>
      <c r="O90" s="86">
        <f t="shared" si="36"/>
        <v>-390</v>
      </c>
      <c r="P90" s="86">
        <f t="shared" si="36"/>
        <v>-445</v>
      </c>
      <c r="Q90" s="86">
        <f t="shared" si="36"/>
        <v>-397</v>
      </c>
      <c r="R90" s="86">
        <f t="shared" si="36"/>
        <v>-390</v>
      </c>
      <c r="S90" s="86">
        <f t="shared" si="36"/>
        <v>-400</v>
      </c>
      <c r="T90" s="86">
        <f t="shared" si="36"/>
        <v>-380</v>
      </c>
      <c r="U90" s="86">
        <f t="shared" si="36"/>
        <v>-392</v>
      </c>
      <c r="V90" s="86">
        <f t="shared" si="36"/>
        <v>-407</v>
      </c>
      <c r="W90" s="86">
        <f t="shared" si="36"/>
        <v>-395.3</v>
      </c>
      <c r="X90" s="86">
        <f t="shared" si="36"/>
        <v>-375</v>
      </c>
      <c r="Y90" s="86">
        <v>-390.8</v>
      </c>
      <c r="Z90" s="86">
        <f t="shared" si="36"/>
        <v>-395.2</v>
      </c>
      <c r="AA90" s="86">
        <f t="shared" si="36"/>
        <v>-381.5</v>
      </c>
      <c r="AB90" s="86">
        <f t="shared" si="36"/>
        <v>-405.6</v>
      </c>
      <c r="AC90" s="86">
        <f t="shared" si="36"/>
        <v>-391</v>
      </c>
      <c r="AD90" s="86">
        <f t="shared" si="36"/>
        <v>-403</v>
      </c>
      <c r="AE90" s="86">
        <f t="shared" si="36"/>
        <v>-411</v>
      </c>
      <c r="AF90" s="86">
        <f t="shared" si="36"/>
        <v>-428</v>
      </c>
      <c r="AG90" s="85"/>
      <c r="AH90" s="20">
        <f t="shared" si="15"/>
        <v>-364</v>
      </c>
      <c r="AI90" s="19">
        <f t="shared" si="16"/>
        <v>-445</v>
      </c>
    </row>
    <row r="91" spans="1:37" x14ac:dyDescent="0.25">
      <c r="A91" s="47" t="s">
        <v>148</v>
      </c>
      <c r="B91" s="84">
        <v>50.04</v>
      </c>
      <c r="C91" s="84">
        <v>50.02</v>
      </c>
      <c r="D91" s="84">
        <v>49.996000000000002</v>
      </c>
      <c r="E91" s="84">
        <v>49.978000000000002</v>
      </c>
      <c r="F91" s="84">
        <v>50.076000000000001</v>
      </c>
      <c r="G91" s="84">
        <v>50.045000000000002</v>
      </c>
      <c r="H91" s="84">
        <v>50.02</v>
      </c>
      <c r="I91" s="84">
        <v>50.04</v>
      </c>
      <c r="J91" s="84">
        <v>50.030999999999999</v>
      </c>
      <c r="K91" s="84">
        <v>50.04</v>
      </c>
      <c r="L91" s="84">
        <v>49.997999999999998</v>
      </c>
      <c r="M91" s="84">
        <v>50</v>
      </c>
      <c r="N91" s="84">
        <v>49.98</v>
      </c>
      <c r="O91" s="84">
        <v>49.96</v>
      </c>
      <c r="P91" s="84">
        <v>49.91</v>
      </c>
      <c r="Q91" s="84">
        <v>49.98</v>
      </c>
      <c r="R91" s="84">
        <v>50.05</v>
      </c>
      <c r="S91" s="84">
        <v>50.058</v>
      </c>
      <c r="T91" s="84">
        <v>50.027999999999999</v>
      </c>
      <c r="U91" s="84">
        <v>49.96</v>
      </c>
      <c r="V91" s="84">
        <v>49.973999999999997</v>
      </c>
      <c r="W91" s="84">
        <v>50.023000000000003</v>
      </c>
      <c r="X91" s="84">
        <v>49.878999999999998</v>
      </c>
      <c r="Y91" s="84">
        <v>49.872999999999998</v>
      </c>
      <c r="Z91" s="84">
        <v>49.984999999999999</v>
      </c>
      <c r="AA91" s="84">
        <v>50.012999999999998</v>
      </c>
      <c r="AB91" s="84">
        <v>49.96</v>
      </c>
      <c r="AC91" s="84">
        <v>50.021000000000001</v>
      </c>
      <c r="AD91" s="84">
        <v>50.036000000000001</v>
      </c>
      <c r="AE91" s="84">
        <v>50.015000000000001</v>
      </c>
      <c r="AF91" s="84">
        <v>50.01</v>
      </c>
      <c r="AG91" s="83"/>
      <c r="AH91" s="20">
        <f t="shared" si="15"/>
        <v>50.076000000000001</v>
      </c>
      <c r="AI91" s="19">
        <f t="shared" si="16"/>
        <v>49.872999999999998</v>
      </c>
    </row>
    <row r="92" spans="1:37" x14ac:dyDescent="0.25">
      <c r="A92" s="44" t="s">
        <v>147</v>
      </c>
      <c r="B92" s="80">
        <v>129.9</v>
      </c>
      <c r="C92" s="80">
        <v>129.19999999999999</v>
      </c>
      <c r="D92" s="80">
        <v>130</v>
      </c>
      <c r="E92" s="80">
        <v>130</v>
      </c>
      <c r="F92" s="80">
        <v>129.9</v>
      </c>
      <c r="G92" s="80">
        <v>128.9</v>
      </c>
      <c r="H92" s="80">
        <v>129.4</v>
      </c>
      <c r="I92" s="80">
        <v>129.5</v>
      </c>
      <c r="J92" s="80">
        <v>129.69999999999999</v>
      </c>
      <c r="K92" s="80">
        <v>129.69999999999999</v>
      </c>
      <c r="L92" s="80">
        <v>129.4</v>
      </c>
      <c r="M92" s="80">
        <v>129.4</v>
      </c>
      <c r="N92" s="80">
        <v>129.4</v>
      </c>
      <c r="O92" s="80">
        <v>129.4</v>
      </c>
      <c r="P92" s="80">
        <v>127.9</v>
      </c>
      <c r="Q92" s="80">
        <v>128.69999999999999</v>
      </c>
      <c r="R92" s="80">
        <v>128.30000000000001</v>
      </c>
      <c r="S92" s="80">
        <v>128.30000000000001</v>
      </c>
      <c r="T92" s="80">
        <v>128.19999999999999</v>
      </c>
      <c r="U92" s="80">
        <v>128.19999999999999</v>
      </c>
      <c r="V92" s="80">
        <v>128.19999999999999</v>
      </c>
      <c r="W92" s="80">
        <v>128</v>
      </c>
      <c r="X92" s="80">
        <v>126</v>
      </c>
      <c r="Y92" s="80">
        <v>124.6</v>
      </c>
      <c r="Z92" s="80">
        <v>126.5</v>
      </c>
      <c r="AA92" s="80">
        <v>126.2</v>
      </c>
      <c r="AB92" s="80">
        <v>126.6</v>
      </c>
      <c r="AC92" s="80">
        <v>127.7</v>
      </c>
      <c r="AD92" s="80">
        <v>127.3</v>
      </c>
      <c r="AE92" s="80">
        <v>127.9</v>
      </c>
      <c r="AF92" s="80">
        <v>127.4</v>
      </c>
      <c r="AG92" s="79"/>
      <c r="AH92" s="20">
        <f t="shared" si="15"/>
        <v>130</v>
      </c>
      <c r="AI92" s="19">
        <f t="shared" si="16"/>
        <v>124.6</v>
      </c>
    </row>
    <row r="93" spans="1:37" x14ac:dyDescent="0.25">
      <c r="A93" s="44" t="s">
        <v>146</v>
      </c>
      <c r="B93" s="80">
        <v>133.1</v>
      </c>
      <c r="C93" s="80">
        <v>132.80000000000001</v>
      </c>
      <c r="D93" s="80">
        <v>133.4</v>
      </c>
      <c r="E93" s="80">
        <v>133.19999999999999</v>
      </c>
      <c r="F93" s="80">
        <v>132.9</v>
      </c>
      <c r="G93" s="80">
        <v>132.1</v>
      </c>
      <c r="H93" s="80">
        <v>132.4</v>
      </c>
      <c r="I93" s="80">
        <v>132</v>
      </c>
      <c r="J93" s="80">
        <v>131.9</v>
      </c>
      <c r="K93" s="80">
        <v>131.6</v>
      </c>
      <c r="L93" s="80">
        <v>131</v>
      </c>
      <c r="M93" s="80">
        <v>131</v>
      </c>
      <c r="N93" s="80">
        <v>131</v>
      </c>
      <c r="O93" s="80">
        <v>131</v>
      </c>
      <c r="P93" s="80">
        <v>130.6</v>
      </c>
      <c r="Q93" s="80">
        <v>131.19999999999999</v>
      </c>
      <c r="R93" s="80">
        <v>131</v>
      </c>
      <c r="S93" s="80">
        <v>130.9</v>
      </c>
      <c r="T93" s="80">
        <v>130.80000000000001</v>
      </c>
      <c r="U93" s="80">
        <v>130.6</v>
      </c>
      <c r="V93" s="80">
        <v>130.19999999999999</v>
      </c>
      <c r="W93" s="80">
        <v>130.5</v>
      </c>
      <c r="X93" s="80">
        <v>128.30000000000001</v>
      </c>
      <c r="Y93" s="80">
        <v>127.3</v>
      </c>
      <c r="Z93" s="80">
        <v>129</v>
      </c>
      <c r="AA93" s="80">
        <v>129</v>
      </c>
      <c r="AB93" s="80">
        <v>129.4</v>
      </c>
      <c r="AC93" s="80">
        <v>130.6</v>
      </c>
      <c r="AD93" s="80">
        <v>130</v>
      </c>
      <c r="AE93" s="80">
        <v>131</v>
      </c>
      <c r="AF93" s="80">
        <v>130.69999999999999</v>
      </c>
      <c r="AG93" s="79"/>
      <c r="AH93" s="20">
        <f t="shared" si="15"/>
        <v>133.4</v>
      </c>
      <c r="AI93" s="19">
        <f t="shared" si="16"/>
        <v>127.3</v>
      </c>
    </row>
    <row r="94" spans="1:37" x14ac:dyDescent="0.25">
      <c r="A94" s="44" t="s">
        <v>145</v>
      </c>
      <c r="B94" s="80">
        <v>131</v>
      </c>
      <c r="C94" s="80">
        <v>131.4</v>
      </c>
      <c r="D94" s="80">
        <v>131.69999999999999</v>
      </c>
      <c r="E94" s="80">
        <v>132.1</v>
      </c>
      <c r="F94" s="80">
        <v>133</v>
      </c>
      <c r="G94" s="80">
        <v>132.9</v>
      </c>
      <c r="H94" s="80">
        <v>133.30000000000001</v>
      </c>
      <c r="I94" s="80">
        <v>133.30000000000001</v>
      </c>
      <c r="J94" s="80">
        <v>133.1</v>
      </c>
      <c r="K94" s="80">
        <v>133.5</v>
      </c>
      <c r="L94" s="80">
        <v>132.30000000000001</v>
      </c>
      <c r="M94" s="80">
        <v>132.30000000000001</v>
      </c>
      <c r="N94" s="80">
        <v>132.30000000000001</v>
      </c>
      <c r="O94" s="80">
        <v>132.30000000000001</v>
      </c>
      <c r="P94" s="80">
        <v>129.69999999999999</v>
      </c>
      <c r="Q94" s="80">
        <v>129.1</v>
      </c>
      <c r="R94" s="80">
        <v>129.19999999999999</v>
      </c>
      <c r="S94" s="80">
        <v>131.5</v>
      </c>
      <c r="T94" s="80">
        <v>131.5</v>
      </c>
      <c r="U94" s="80">
        <v>131.69999999999999</v>
      </c>
      <c r="V94" s="80">
        <v>132.30000000000001</v>
      </c>
      <c r="W94" s="80">
        <v>131.19999999999999</v>
      </c>
      <c r="X94" s="80">
        <v>129.5</v>
      </c>
      <c r="Y94" s="80">
        <v>129.6</v>
      </c>
      <c r="Z94" s="80">
        <v>130.19999999999999</v>
      </c>
      <c r="AA94" s="80">
        <v>130.19999999999999</v>
      </c>
      <c r="AB94" s="80">
        <v>130.30000000000001</v>
      </c>
      <c r="AC94" s="80">
        <v>129.80000000000001</v>
      </c>
      <c r="AD94" s="80">
        <v>130.69999999999999</v>
      </c>
      <c r="AE94" s="80">
        <v>130.30000000000001</v>
      </c>
      <c r="AF94" s="80">
        <v>130</v>
      </c>
      <c r="AG94" s="79"/>
      <c r="AH94" s="20">
        <f t="shared" si="15"/>
        <v>133.5</v>
      </c>
      <c r="AI94" s="19">
        <f t="shared" si="16"/>
        <v>129.1</v>
      </c>
    </row>
    <row r="95" spans="1:37" x14ac:dyDescent="0.25">
      <c r="A95" s="82" t="s">
        <v>144</v>
      </c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79"/>
      <c r="AH95" s="20">
        <f t="shared" si="15"/>
        <v>0</v>
      </c>
      <c r="AI95" s="19">
        <f t="shared" si="16"/>
        <v>0</v>
      </c>
    </row>
    <row r="96" spans="1:37" x14ac:dyDescent="0.25">
      <c r="A96" s="82" t="s">
        <v>143</v>
      </c>
      <c r="B96" s="66">
        <v>134.19999999999999</v>
      </c>
      <c r="C96" s="66">
        <v>132.9</v>
      </c>
      <c r="D96" s="66">
        <v>133.4</v>
      </c>
      <c r="E96" s="66">
        <v>132.6</v>
      </c>
      <c r="F96" s="66">
        <v>133.1</v>
      </c>
      <c r="G96" s="66">
        <v>133.1</v>
      </c>
      <c r="H96" s="66">
        <v>133.80000000000001</v>
      </c>
      <c r="I96" s="66">
        <v>133</v>
      </c>
      <c r="J96" s="66">
        <v>132.30000000000001</v>
      </c>
      <c r="K96" s="66">
        <v>132.1</v>
      </c>
      <c r="L96" s="66">
        <v>131.9</v>
      </c>
      <c r="M96" s="66">
        <v>131.9</v>
      </c>
      <c r="N96" s="66">
        <v>131.9</v>
      </c>
      <c r="O96" s="66">
        <v>131.9</v>
      </c>
      <c r="P96" s="66">
        <v>131.19999999999999</v>
      </c>
      <c r="Q96" s="66">
        <v>132.6</v>
      </c>
      <c r="R96" s="66">
        <v>130.1</v>
      </c>
      <c r="S96" s="66">
        <v>129.69999999999999</v>
      </c>
      <c r="T96" s="66"/>
      <c r="U96" s="66">
        <v>131</v>
      </c>
      <c r="V96" s="66">
        <v>131.19999999999999</v>
      </c>
      <c r="W96" s="66">
        <v>130.69999999999999</v>
      </c>
      <c r="X96" s="66">
        <v>129.6</v>
      </c>
      <c r="Y96" s="66">
        <v>129.19999999999999</v>
      </c>
      <c r="Z96" s="66">
        <v>129.80000000000001</v>
      </c>
      <c r="AA96" s="66">
        <v>129.9</v>
      </c>
      <c r="AB96" s="66">
        <v>130.19999999999999</v>
      </c>
      <c r="AC96" s="66">
        <v>131</v>
      </c>
      <c r="AD96" s="66">
        <v>130.80000000000001</v>
      </c>
      <c r="AE96" s="66">
        <v>132.1</v>
      </c>
      <c r="AF96" s="66">
        <v>130.6</v>
      </c>
      <c r="AG96" s="81"/>
      <c r="AH96" s="20">
        <f t="shared" si="15"/>
        <v>134.19999999999999</v>
      </c>
      <c r="AI96" s="19">
        <f t="shared" si="16"/>
        <v>129.19999999999999</v>
      </c>
    </row>
    <row r="97" spans="1:37" x14ac:dyDescent="0.25">
      <c r="A97" s="44" t="s">
        <v>142</v>
      </c>
      <c r="B97" s="80">
        <v>136.5</v>
      </c>
      <c r="C97" s="80">
        <v>134</v>
      </c>
      <c r="D97" s="80">
        <v>134.4</v>
      </c>
      <c r="E97" s="80">
        <v>132.5</v>
      </c>
      <c r="F97" s="80">
        <v>133.4</v>
      </c>
      <c r="G97" s="80">
        <v>133.9</v>
      </c>
      <c r="H97" s="80">
        <v>134</v>
      </c>
      <c r="I97" s="80">
        <v>133.1</v>
      </c>
      <c r="J97" s="80">
        <v>132.5</v>
      </c>
      <c r="K97" s="80">
        <v>1323</v>
      </c>
      <c r="L97" s="80">
        <v>131.19999999999999</v>
      </c>
      <c r="M97" s="80">
        <v>131.19999999999999</v>
      </c>
      <c r="N97" s="80">
        <v>131.19999999999999</v>
      </c>
      <c r="O97" s="80">
        <v>131.19999999999999</v>
      </c>
      <c r="P97" s="80">
        <v>133.5</v>
      </c>
      <c r="Q97" s="80">
        <v>134.6</v>
      </c>
      <c r="R97" s="80">
        <v>136</v>
      </c>
      <c r="S97" s="80">
        <v>132.1</v>
      </c>
      <c r="T97" s="80"/>
      <c r="U97" s="80">
        <v>132.30000000000001</v>
      </c>
      <c r="V97" s="80">
        <v>132</v>
      </c>
      <c r="W97" s="80">
        <v>131.69999999999999</v>
      </c>
      <c r="X97" s="80">
        <v>134.6</v>
      </c>
      <c r="Y97" s="80">
        <v>134.9</v>
      </c>
      <c r="Z97" s="80">
        <v>135.6</v>
      </c>
      <c r="AA97" s="80">
        <v>129.6</v>
      </c>
      <c r="AB97" s="80">
        <v>130.6</v>
      </c>
      <c r="AC97" s="80">
        <v>133.1</v>
      </c>
      <c r="AD97" s="80">
        <v>133.5</v>
      </c>
      <c r="AE97" s="80">
        <v>134.9</v>
      </c>
      <c r="AF97" s="80">
        <v>130.4</v>
      </c>
      <c r="AG97" s="79"/>
      <c r="AH97" s="20">
        <f t="shared" si="15"/>
        <v>1323</v>
      </c>
      <c r="AI97" s="19">
        <f t="shared" si="16"/>
        <v>129.6</v>
      </c>
    </row>
    <row r="98" spans="1:37" ht="15.75" thickBot="1" x14ac:dyDescent="0.3">
      <c r="A98" s="44" t="s">
        <v>141</v>
      </c>
      <c r="B98" s="77">
        <v>67</v>
      </c>
      <c r="C98" s="77">
        <v>67</v>
      </c>
      <c r="D98" s="77">
        <v>67.099999999999994</v>
      </c>
      <c r="E98" s="77">
        <v>67</v>
      </c>
      <c r="F98" s="77">
        <v>67</v>
      </c>
      <c r="G98" s="77">
        <v>66.400000000000006</v>
      </c>
      <c r="H98" s="77">
        <v>66.599999999999994</v>
      </c>
      <c r="I98" s="77">
        <v>66.400000000000006</v>
      </c>
      <c r="J98" s="77">
        <v>66.2</v>
      </c>
      <c r="K98" s="77">
        <v>66.2</v>
      </c>
      <c r="L98" s="77">
        <v>66.099999999999994</v>
      </c>
      <c r="M98" s="77">
        <v>66.099999999999994</v>
      </c>
      <c r="N98" s="77">
        <v>66.099999999999994</v>
      </c>
      <c r="O98" s="77">
        <v>66.099999999999994</v>
      </c>
      <c r="P98" s="77">
        <v>65.900000000000006</v>
      </c>
      <c r="Q98" s="77">
        <v>66.3</v>
      </c>
      <c r="R98" s="77">
        <v>66.099999999999994</v>
      </c>
      <c r="S98" s="77">
        <v>66</v>
      </c>
      <c r="T98" s="77"/>
      <c r="U98" s="77">
        <v>66.099999999999994</v>
      </c>
      <c r="V98" s="77">
        <v>66.3</v>
      </c>
      <c r="W98" s="77">
        <v>66.099999999999994</v>
      </c>
      <c r="X98" s="77">
        <v>64.900000000000006</v>
      </c>
      <c r="Y98" s="77">
        <v>64.3</v>
      </c>
      <c r="Z98" s="77">
        <v>65.3</v>
      </c>
      <c r="AA98" s="77">
        <v>65.3</v>
      </c>
      <c r="AB98" s="77">
        <v>65.599999999999994</v>
      </c>
      <c r="AC98" s="77">
        <v>66.2</v>
      </c>
      <c r="AD98" s="77">
        <v>65.8</v>
      </c>
      <c r="AE98" s="77">
        <v>66.400000000000006</v>
      </c>
      <c r="AF98" s="77">
        <v>66.3</v>
      </c>
      <c r="AG98" s="76"/>
      <c r="AH98" s="20">
        <f t="shared" si="15"/>
        <v>67.099999999999994</v>
      </c>
      <c r="AI98" s="19">
        <f t="shared" si="16"/>
        <v>64.3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15"/>
        <v>0</v>
      </c>
      <c r="AI99" s="19">
        <f t="shared" si="16"/>
        <v>0</v>
      </c>
    </row>
    <row r="100" spans="1:37" ht="15.75" thickBot="1" x14ac:dyDescent="0.3">
      <c r="A100" s="75" t="s">
        <v>140</v>
      </c>
      <c r="B100" s="74">
        <f t="shared" ref="B100" si="37">SUM(B15,B20,B22:B23,B48,B50:B51,B53,B55,B101:B105,B127,B133,B139,B148,B150,B162,B169,B172:B173,B180,B182,B184,B188:B190,B192:B194,B199,B205:B206,B208:B210,B218,B223)</f>
        <v>49.100000000000009</v>
      </c>
      <c r="C100" s="74">
        <f t="shared" ref="C100:AF100" si="38">SUM(C15,C20,C22:C23,C48,C50:C51,C53,C55,C101:C105,C127,C133,C139,C148,C150,C162,C169,C172:C173,C180,C182,C184,C188:C190,C192:C194,C199,C205:C206,C208:C210,C218,C223)</f>
        <v>53.440000000000012</v>
      </c>
      <c r="D100" s="74">
        <f t="shared" si="38"/>
        <v>25.740000000000002</v>
      </c>
      <c r="E100" s="74">
        <f t="shared" si="38"/>
        <v>33.340000000000018</v>
      </c>
      <c r="F100" s="74">
        <f t="shared" si="38"/>
        <v>39.940000000000005</v>
      </c>
      <c r="G100" s="74">
        <f t="shared" si="38"/>
        <v>32.44</v>
      </c>
      <c r="H100" s="74">
        <f t="shared" si="38"/>
        <v>46.739999999999995</v>
      </c>
      <c r="I100" s="74">
        <f t="shared" si="38"/>
        <v>70.639999999999986</v>
      </c>
      <c r="J100" s="74">
        <f t="shared" si="38"/>
        <v>78.84</v>
      </c>
      <c r="K100" s="74">
        <f t="shared" si="38"/>
        <v>80.44</v>
      </c>
      <c r="L100" s="74">
        <f t="shared" si="38"/>
        <v>95.94</v>
      </c>
      <c r="M100" s="74">
        <f t="shared" si="38"/>
        <v>95.34</v>
      </c>
      <c r="N100" s="74">
        <f t="shared" si="38"/>
        <v>95.34</v>
      </c>
      <c r="O100" s="74">
        <f t="shared" si="38"/>
        <v>90.44</v>
      </c>
      <c r="P100" s="74">
        <f t="shared" si="38"/>
        <v>90.04</v>
      </c>
      <c r="Q100" s="74">
        <f t="shared" si="38"/>
        <v>84.2</v>
      </c>
      <c r="R100" s="74">
        <f t="shared" si="38"/>
        <v>79.900000000000006</v>
      </c>
      <c r="S100" s="74">
        <f t="shared" si="38"/>
        <v>75.5</v>
      </c>
      <c r="T100" s="74">
        <f t="shared" si="38"/>
        <v>94.899999999999977</v>
      </c>
      <c r="U100" s="74">
        <f t="shared" si="38"/>
        <v>85.8</v>
      </c>
      <c r="V100" s="74">
        <f t="shared" si="38"/>
        <v>89.9</v>
      </c>
      <c r="W100" s="74">
        <f t="shared" si="38"/>
        <v>105.3</v>
      </c>
      <c r="X100" s="74">
        <f t="shared" si="38"/>
        <v>146.30000000000001</v>
      </c>
      <c r="Y100" s="74">
        <f t="shared" si="38"/>
        <v>107.7</v>
      </c>
      <c r="Z100" s="74">
        <f t="shared" si="38"/>
        <v>127.30000000000001</v>
      </c>
      <c r="AA100" s="74">
        <f t="shared" si="38"/>
        <v>117.19999999999997</v>
      </c>
      <c r="AB100" s="74">
        <f t="shared" si="38"/>
        <v>106.39999999999999</v>
      </c>
      <c r="AC100" s="74">
        <f t="shared" si="38"/>
        <v>99</v>
      </c>
      <c r="AD100" s="74">
        <f t="shared" si="38"/>
        <v>77.899999999999977</v>
      </c>
      <c r="AE100" s="74">
        <f t="shared" si="38"/>
        <v>57</v>
      </c>
      <c r="AF100" s="74">
        <f t="shared" si="38"/>
        <v>44.2</v>
      </c>
      <c r="AG100" s="73"/>
      <c r="AH100" s="20">
        <f t="shared" si="15"/>
        <v>146.30000000000001</v>
      </c>
      <c r="AI100" s="19">
        <f t="shared" si="16"/>
        <v>25.740000000000002</v>
      </c>
    </row>
    <row r="101" spans="1:37" x14ac:dyDescent="0.25">
      <c r="A101" s="47" t="s">
        <v>139</v>
      </c>
      <c r="B101" s="72">
        <v>5.4</v>
      </c>
      <c r="C101" s="72">
        <v>11.8</v>
      </c>
      <c r="D101" s="72">
        <v>8.9</v>
      </c>
      <c r="E101" s="72">
        <v>10.4</v>
      </c>
      <c r="F101" s="72">
        <v>11.6</v>
      </c>
      <c r="G101" s="72">
        <v>14.6</v>
      </c>
      <c r="H101" s="72">
        <v>17.3</v>
      </c>
      <c r="I101" s="72">
        <v>19.100000000000001</v>
      </c>
      <c r="J101" s="72">
        <v>19.100000000000001</v>
      </c>
      <c r="K101" s="72">
        <v>17.600000000000001</v>
      </c>
      <c r="L101" s="72">
        <v>12.4</v>
      </c>
      <c r="M101" s="72"/>
      <c r="N101" s="72"/>
      <c r="O101" s="72">
        <v>1.6</v>
      </c>
      <c r="P101" s="72">
        <v>8.5</v>
      </c>
      <c r="Q101" s="72">
        <v>16.8</v>
      </c>
      <c r="R101" s="72">
        <v>26.3</v>
      </c>
      <c r="S101" s="72">
        <v>14.1</v>
      </c>
      <c r="T101" s="72">
        <v>34.200000000000003</v>
      </c>
      <c r="U101" s="72">
        <v>35.5</v>
      </c>
      <c r="V101" s="72">
        <v>35.5</v>
      </c>
      <c r="W101" s="72">
        <v>31.9</v>
      </c>
      <c r="X101" s="72">
        <v>33.1</v>
      </c>
      <c r="Y101" s="72">
        <v>35.700000000000003</v>
      </c>
      <c r="Z101" s="72">
        <v>29.6</v>
      </c>
      <c r="AA101" s="72">
        <v>22.6</v>
      </c>
      <c r="AB101" s="72">
        <v>25.7</v>
      </c>
      <c r="AC101" s="72">
        <v>24.8</v>
      </c>
      <c r="AD101" s="72">
        <v>26.9</v>
      </c>
      <c r="AE101" s="72">
        <v>29.2</v>
      </c>
      <c r="AF101" s="72">
        <v>35.4</v>
      </c>
      <c r="AG101" s="70">
        <v>75</v>
      </c>
      <c r="AH101" s="20">
        <f t="shared" si="15"/>
        <v>35.700000000000003</v>
      </c>
      <c r="AI101" s="19">
        <f t="shared" si="16"/>
        <v>1.6</v>
      </c>
    </row>
    <row r="102" spans="1:37" x14ac:dyDescent="0.25">
      <c r="A102" s="44" t="s">
        <v>138</v>
      </c>
      <c r="B102" s="71">
        <v>18.100000000000001</v>
      </c>
      <c r="C102" s="71">
        <v>24.9</v>
      </c>
      <c r="D102" s="71">
        <v>21.2</v>
      </c>
      <c r="E102" s="71">
        <v>26.3</v>
      </c>
      <c r="F102" s="71">
        <v>27.8</v>
      </c>
      <c r="G102" s="71">
        <v>29.2</v>
      </c>
      <c r="H102" s="71">
        <v>29.7</v>
      </c>
      <c r="I102" s="71">
        <v>31.1</v>
      </c>
      <c r="J102" s="71">
        <v>29.3</v>
      </c>
      <c r="K102" s="71">
        <v>28.5</v>
      </c>
      <c r="L102" s="71">
        <v>22.2</v>
      </c>
      <c r="M102" s="71"/>
      <c r="N102" s="71"/>
      <c r="O102" s="71">
        <v>7.5</v>
      </c>
      <c r="P102" s="71">
        <v>15.2</v>
      </c>
      <c r="Q102" s="71">
        <v>26.7</v>
      </c>
      <c r="R102" s="71">
        <v>40.299999999999997</v>
      </c>
      <c r="S102" s="71">
        <v>19.399999999999999</v>
      </c>
      <c r="T102" s="71">
        <v>51.8</v>
      </c>
      <c r="U102" s="71">
        <v>54.8</v>
      </c>
      <c r="V102" s="71">
        <v>55.4</v>
      </c>
      <c r="W102" s="71">
        <v>48.4</v>
      </c>
      <c r="X102" s="71">
        <v>49.1</v>
      </c>
      <c r="Y102" s="71">
        <v>-21.5</v>
      </c>
      <c r="Z102" s="71">
        <v>45.2</v>
      </c>
      <c r="AA102" s="71">
        <v>34.799999999999997</v>
      </c>
      <c r="AB102" s="71">
        <v>39.4</v>
      </c>
      <c r="AC102" s="71">
        <v>39.200000000000003</v>
      </c>
      <c r="AD102" s="71">
        <v>44.6</v>
      </c>
      <c r="AE102" s="71">
        <v>46.6</v>
      </c>
      <c r="AF102" s="71">
        <v>55.6</v>
      </c>
      <c r="AG102" s="70">
        <v>240</v>
      </c>
      <c r="AH102" s="20">
        <f t="shared" si="15"/>
        <v>55.6</v>
      </c>
      <c r="AI102" s="19">
        <f t="shared" si="16"/>
        <v>-21.5</v>
      </c>
    </row>
    <row r="103" spans="1:37" x14ac:dyDescent="0.25">
      <c r="A103" s="44" t="s">
        <v>137</v>
      </c>
      <c r="B103" s="71">
        <f>-57.4-60.7</f>
        <v>-118.1</v>
      </c>
      <c r="C103" s="71">
        <f>-61-64.7</f>
        <v>-125.7</v>
      </c>
      <c r="D103" s="71">
        <f>-67.1-71</f>
        <v>-138.1</v>
      </c>
      <c r="E103" s="71">
        <f>-61-66</f>
        <v>-127</v>
      </c>
      <c r="F103" s="71">
        <v>-123.3</v>
      </c>
      <c r="G103" s="71">
        <f>-56-59</f>
        <v>-115</v>
      </c>
      <c r="H103" s="71">
        <f>-55-58</f>
        <v>-113</v>
      </c>
      <c r="I103" s="71">
        <f>-42-49</f>
        <v>-91</v>
      </c>
      <c r="J103" s="71">
        <v>-80</v>
      </c>
      <c r="K103" s="71">
        <f>-34-37</f>
        <v>-71</v>
      </c>
      <c r="L103" s="71">
        <f>-22.9-24.5</f>
        <v>-47.4</v>
      </c>
      <c r="M103" s="71"/>
      <c r="N103" s="71"/>
      <c r="O103" s="71">
        <v>-27</v>
      </c>
      <c r="P103" s="71">
        <f>-18.1-19.4</f>
        <v>-37.5</v>
      </c>
      <c r="Q103" s="71">
        <f>-20.9-22.7</f>
        <v>-43.599999999999994</v>
      </c>
      <c r="R103" s="71">
        <f>-31.5-34.1</f>
        <v>-65.599999999999994</v>
      </c>
      <c r="S103" s="71">
        <v>-32.6</v>
      </c>
      <c r="T103" s="71">
        <v>-52</v>
      </c>
      <c r="U103" s="71">
        <v>-56</v>
      </c>
      <c r="V103" s="71">
        <f>-25-28</f>
        <v>-53</v>
      </c>
      <c r="W103" s="71">
        <f>-13.1-14.3</f>
        <v>-27.4</v>
      </c>
      <c r="X103" s="71">
        <f>-7-8</f>
        <v>-15</v>
      </c>
      <c r="Y103" s="71">
        <v>2</v>
      </c>
      <c r="Z103" s="71">
        <v>-31.9</v>
      </c>
      <c r="AA103" s="71">
        <f>-12.6-13.8</f>
        <v>-26.4</v>
      </c>
      <c r="AB103" s="71">
        <f>-19.3-20.9</f>
        <v>-40.200000000000003</v>
      </c>
      <c r="AC103" s="71">
        <f>-27.4-29.5</f>
        <v>-56.9</v>
      </c>
      <c r="AD103" s="71">
        <f>-32.4-35.5</f>
        <v>-67.900000000000006</v>
      </c>
      <c r="AE103" s="71">
        <f>-43.8-47.5</f>
        <v>-91.3</v>
      </c>
      <c r="AF103" s="71">
        <f>-49.5-52.6</f>
        <v>-102.1</v>
      </c>
      <c r="AG103" s="70">
        <v>240</v>
      </c>
      <c r="AH103" s="20">
        <f t="shared" si="15"/>
        <v>2</v>
      </c>
      <c r="AI103" s="19">
        <f t="shared" si="16"/>
        <v>-138.1</v>
      </c>
    </row>
    <row r="104" spans="1:37" x14ac:dyDescent="0.25">
      <c r="A104" s="44" t="s">
        <v>136</v>
      </c>
      <c r="B104" s="71">
        <v>1.7</v>
      </c>
      <c r="C104" s="71">
        <v>0</v>
      </c>
      <c r="D104" s="71">
        <v>1.3</v>
      </c>
      <c r="E104" s="71">
        <v>1.2</v>
      </c>
      <c r="F104" s="71">
        <v>1.4</v>
      </c>
      <c r="G104" s="71">
        <v>4</v>
      </c>
      <c r="H104" s="71">
        <v>5.3</v>
      </c>
      <c r="I104" s="71">
        <v>8.5</v>
      </c>
      <c r="J104" s="71">
        <v>7.5</v>
      </c>
      <c r="K104" s="71">
        <v>10</v>
      </c>
      <c r="L104" s="71">
        <v>13.4</v>
      </c>
      <c r="M104" s="71"/>
      <c r="N104" s="71"/>
      <c r="O104" s="71">
        <v>13</v>
      </c>
      <c r="P104" s="71">
        <v>0.2</v>
      </c>
      <c r="Q104" s="71">
        <v>2.2000000000000002</v>
      </c>
      <c r="R104" s="71">
        <v>-3.1</v>
      </c>
      <c r="S104" s="71">
        <v>-0.6</v>
      </c>
      <c r="T104" s="71">
        <v>0</v>
      </c>
      <c r="U104" s="71">
        <v>-1.3</v>
      </c>
      <c r="V104" s="71">
        <v>-1</v>
      </c>
      <c r="W104" s="71">
        <v>0.3</v>
      </c>
      <c r="X104" s="71">
        <v>2</v>
      </c>
      <c r="Y104" s="71">
        <v>0</v>
      </c>
      <c r="Z104" s="71">
        <v>1.9</v>
      </c>
      <c r="AA104" s="71">
        <v>0.2</v>
      </c>
      <c r="AB104" s="71">
        <v>-2.4</v>
      </c>
      <c r="AC104" s="71">
        <v>8</v>
      </c>
      <c r="AD104" s="71">
        <v>7.1</v>
      </c>
      <c r="AE104" s="71">
        <v>5.3</v>
      </c>
      <c r="AF104" s="71">
        <v>2.7</v>
      </c>
      <c r="AG104" s="70">
        <v>60</v>
      </c>
      <c r="AH104" s="20">
        <f t="shared" si="15"/>
        <v>13.4</v>
      </c>
      <c r="AI104" s="19">
        <f t="shared" si="16"/>
        <v>-3.1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/>
      <c r="N105" s="68"/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9">
        <v>120</v>
      </c>
      <c r="AH105" s="20">
        <f t="shared" si="15"/>
        <v>0</v>
      </c>
      <c r="AI105" s="19">
        <f t="shared" si="16"/>
        <v>0</v>
      </c>
    </row>
    <row r="106" spans="1:37" x14ac:dyDescent="0.25">
      <c r="A106" s="40" t="s">
        <v>134</v>
      </c>
      <c r="B106" s="68">
        <v>-11.8</v>
      </c>
      <c r="C106" s="68">
        <v>-31</v>
      </c>
      <c r="D106" s="68">
        <v>-21.3</v>
      </c>
      <c r="E106" s="68">
        <v>-26.1</v>
      </c>
      <c r="F106" s="68">
        <v>-27.9</v>
      </c>
      <c r="G106" s="68">
        <v>-33.299999999999997</v>
      </c>
      <c r="H106" s="68">
        <v>-40.4</v>
      </c>
      <c r="I106" s="68">
        <v>-31.3</v>
      </c>
      <c r="J106" s="68">
        <v>-16.5</v>
      </c>
      <c r="K106" s="68">
        <v>-18</v>
      </c>
      <c r="L106" s="68">
        <v>7.4</v>
      </c>
      <c r="M106" s="68"/>
      <c r="N106" s="68"/>
      <c r="O106" s="68">
        <v>42</v>
      </c>
      <c r="P106" s="68">
        <v>36.1</v>
      </c>
      <c r="Q106" s="68">
        <v>28</v>
      </c>
      <c r="R106" s="68">
        <v>10</v>
      </c>
      <c r="S106" s="68">
        <v>37</v>
      </c>
      <c r="T106" s="68">
        <v>11</v>
      </c>
      <c r="U106" s="68">
        <v>3.7</v>
      </c>
      <c r="V106" s="68">
        <v>12.2</v>
      </c>
      <c r="W106" s="68">
        <v>36.1</v>
      </c>
      <c r="X106" s="68">
        <v>44.3</v>
      </c>
      <c r="Y106" s="68">
        <v>41.9</v>
      </c>
      <c r="Z106" s="68">
        <v>43.4</v>
      </c>
      <c r="AA106" s="68">
        <v>56.7</v>
      </c>
      <c r="AB106" s="68">
        <v>49</v>
      </c>
      <c r="AC106" s="68">
        <v>34.1</v>
      </c>
      <c r="AD106" s="68">
        <v>24.2</v>
      </c>
      <c r="AE106" s="68">
        <v>6.9</v>
      </c>
      <c r="AF106" s="68">
        <v>-7.6</v>
      </c>
      <c r="AG106" s="69"/>
      <c r="AH106" s="20">
        <f t="shared" si="15"/>
        <v>56.7</v>
      </c>
      <c r="AI106" s="19">
        <f t="shared" si="16"/>
        <v>-40.4</v>
      </c>
    </row>
    <row r="107" spans="1:37" x14ac:dyDescent="0.25">
      <c r="A107" s="40" t="s">
        <v>133</v>
      </c>
      <c r="B107" s="68">
        <v>26.5</v>
      </c>
      <c r="C107" s="68">
        <v>32.4</v>
      </c>
      <c r="D107" s="68">
        <v>28.5</v>
      </c>
      <c r="E107" s="68">
        <v>21.5</v>
      </c>
      <c r="F107" s="68">
        <v>13.8</v>
      </c>
      <c r="G107" s="68">
        <v>-12.9</v>
      </c>
      <c r="H107" s="68">
        <v>-13.6</v>
      </c>
      <c r="I107" s="68">
        <v>-13.6</v>
      </c>
      <c r="J107" s="68">
        <v>-5.5</v>
      </c>
      <c r="K107" s="68">
        <v>-3.9</v>
      </c>
      <c r="L107" s="68">
        <v>-47.3</v>
      </c>
      <c r="M107" s="68"/>
      <c r="N107" s="68"/>
      <c r="O107" s="68">
        <v>73</v>
      </c>
      <c r="P107" s="68">
        <v>43.9</v>
      </c>
      <c r="Q107" s="68">
        <v>31.7</v>
      </c>
      <c r="R107" s="68">
        <v>7.8</v>
      </c>
      <c r="S107" s="68">
        <v>5.2</v>
      </c>
      <c r="T107" s="68">
        <v>30.5</v>
      </c>
      <c r="U107" s="68">
        <v>28.3</v>
      </c>
      <c r="V107" s="68">
        <v>29.1</v>
      </c>
      <c r="W107" s="68">
        <v>39</v>
      </c>
      <c r="X107" s="68">
        <v>15</v>
      </c>
      <c r="Y107" s="68">
        <v>33.1</v>
      </c>
      <c r="Z107" s="68">
        <v>18.899999999999999</v>
      </c>
      <c r="AA107" s="68">
        <v>50.3</v>
      </c>
      <c r="AB107" s="68">
        <v>41.2</v>
      </c>
      <c r="AC107" s="68">
        <v>46</v>
      </c>
      <c r="AD107" s="68">
        <v>26.7</v>
      </c>
      <c r="AE107" s="68">
        <v>26.4</v>
      </c>
      <c r="AF107" s="68">
        <v>-0.5</v>
      </c>
      <c r="AG107" s="48"/>
      <c r="AH107" s="20">
        <f t="shared" si="15"/>
        <v>73</v>
      </c>
      <c r="AI107" s="19">
        <f t="shared" si="16"/>
        <v>-47.3</v>
      </c>
    </row>
    <row r="108" spans="1:37" x14ac:dyDescent="0.25">
      <c r="A108" s="67" t="s">
        <v>132</v>
      </c>
      <c r="B108" s="66">
        <v>105.1</v>
      </c>
      <c r="C108" s="66">
        <v>107.9</v>
      </c>
      <c r="D108" s="66">
        <v>108.4</v>
      </c>
      <c r="E108" s="66">
        <v>109.7</v>
      </c>
      <c r="F108" s="66">
        <v>115</v>
      </c>
      <c r="G108" s="66">
        <v>115</v>
      </c>
      <c r="H108" s="66">
        <v>112</v>
      </c>
      <c r="I108" s="66">
        <v>113.1</v>
      </c>
      <c r="J108" s="66">
        <v>118</v>
      </c>
      <c r="K108" s="66">
        <v>115</v>
      </c>
      <c r="L108" s="66">
        <v>114.3</v>
      </c>
      <c r="M108" s="66"/>
      <c r="N108" s="66"/>
      <c r="O108" s="66">
        <v>81</v>
      </c>
      <c r="P108" s="66">
        <v>115.3</v>
      </c>
      <c r="Q108" s="66">
        <v>117.6</v>
      </c>
      <c r="R108" s="66">
        <v>113.4</v>
      </c>
      <c r="S108" s="66">
        <v>113.3</v>
      </c>
      <c r="T108" s="66">
        <v>114.6</v>
      </c>
      <c r="U108" s="66">
        <v>102.5</v>
      </c>
      <c r="V108" s="66">
        <v>105.3</v>
      </c>
      <c r="W108" s="66">
        <v>102</v>
      </c>
      <c r="X108" s="66">
        <v>94</v>
      </c>
      <c r="Y108" s="66">
        <v>98.3</v>
      </c>
      <c r="Z108" s="66">
        <v>99.6</v>
      </c>
      <c r="AA108" s="66">
        <v>100.1</v>
      </c>
      <c r="AB108" s="66">
        <v>101.6</v>
      </c>
      <c r="AC108" s="66">
        <v>103</v>
      </c>
      <c r="AD108" s="66">
        <v>98.1</v>
      </c>
      <c r="AE108" s="66">
        <v>110.4</v>
      </c>
      <c r="AF108" s="66">
        <v>114.1</v>
      </c>
      <c r="AG108" s="48"/>
      <c r="AH108" s="20">
        <f t="shared" si="15"/>
        <v>118</v>
      </c>
      <c r="AI108" s="19">
        <f t="shared" si="16"/>
        <v>81</v>
      </c>
    </row>
    <row r="109" spans="1:37" ht="15.75" thickBot="1" x14ac:dyDescent="0.3">
      <c r="A109" s="67" t="s">
        <v>131</v>
      </c>
      <c r="B109" s="66">
        <v>74.2</v>
      </c>
      <c r="C109" s="66">
        <v>87.6</v>
      </c>
      <c r="D109" s="66">
        <v>91.2</v>
      </c>
      <c r="E109" s="66">
        <v>81.7</v>
      </c>
      <c r="F109" s="66">
        <v>87</v>
      </c>
      <c r="G109" s="66">
        <v>85</v>
      </c>
      <c r="H109" s="66">
        <v>77.2</v>
      </c>
      <c r="I109" s="66">
        <v>64.900000000000006</v>
      </c>
      <c r="J109" s="66">
        <v>69.5</v>
      </c>
      <c r="K109" s="66">
        <v>52.7</v>
      </c>
      <c r="L109" s="66">
        <v>28.5</v>
      </c>
      <c r="M109" s="66"/>
      <c r="N109" s="66"/>
      <c r="O109" s="66">
        <v>7</v>
      </c>
      <c r="P109" s="66">
        <v>16.3</v>
      </c>
      <c r="Q109" s="66">
        <v>26.3</v>
      </c>
      <c r="R109" s="66">
        <v>19</v>
      </c>
      <c r="S109" s="66">
        <v>19.600000000000001</v>
      </c>
      <c r="T109" s="66">
        <v>38.299999999999997</v>
      </c>
      <c r="U109" s="66">
        <v>38.299999999999997</v>
      </c>
      <c r="V109" s="66">
        <v>37.799999999999997</v>
      </c>
      <c r="W109" s="66">
        <v>19.600000000000001</v>
      </c>
      <c r="X109" s="66">
        <v>13.6</v>
      </c>
      <c r="Y109" s="66">
        <v>29.2</v>
      </c>
      <c r="Z109" s="66">
        <v>24.5</v>
      </c>
      <c r="AA109" s="66">
        <v>12.6</v>
      </c>
      <c r="AB109" s="66">
        <v>53</v>
      </c>
      <c r="AC109" s="66">
        <v>38</v>
      </c>
      <c r="AD109" s="66">
        <v>48.8</v>
      </c>
      <c r="AE109" s="66">
        <v>63.1</v>
      </c>
      <c r="AF109" s="66">
        <v>75.8</v>
      </c>
      <c r="AG109" s="48"/>
      <c r="AH109" s="20">
        <f t="shared" si="15"/>
        <v>91.2</v>
      </c>
      <c r="AI109" s="19">
        <f t="shared" si="16"/>
        <v>7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39">SUM(B111:B215)</f>
        <v>0</v>
      </c>
      <c r="C216" s="36">
        <f t="shared" si="39"/>
        <v>0</v>
      </c>
      <c r="D216" s="36">
        <f t="shared" si="39"/>
        <v>0</v>
      </c>
      <c r="E216" s="36">
        <f t="shared" si="39"/>
        <v>0</v>
      </c>
      <c r="F216" s="36">
        <f t="shared" si="39"/>
        <v>0</v>
      </c>
      <c r="G216" s="36">
        <f t="shared" si="39"/>
        <v>0</v>
      </c>
      <c r="H216" s="36">
        <f t="shared" si="39"/>
        <v>0</v>
      </c>
      <c r="I216" s="36">
        <f t="shared" si="39"/>
        <v>0</v>
      </c>
      <c r="J216" s="36">
        <f t="shared" si="39"/>
        <v>0</v>
      </c>
      <c r="K216" s="36">
        <f t="shared" si="39"/>
        <v>0</v>
      </c>
      <c r="L216" s="36">
        <f t="shared" si="39"/>
        <v>0</v>
      </c>
      <c r="M216" s="36">
        <f t="shared" si="39"/>
        <v>0</v>
      </c>
      <c r="N216" s="36">
        <f t="shared" si="39"/>
        <v>0</v>
      </c>
      <c r="O216" s="36">
        <f t="shared" si="39"/>
        <v>0</v>
      </c>
      <c r="P216" s="36">
        <f t="shared" si="39"/>
        <v>0</v>
      </c>
      <c r="Q216" s="36">
        <f t="shared" si="39"/>
        <v>0</v>
      </c>
      <c r="R216" s="36">
        <f t="shared" si="39"/>
        <v>0</v>
      </c>
      <c r="S216" s="36">
        <f t="shared" si="39"/>
        <v>0</v>
      </c>
      <c r="T216" s="36">
        <f t="shared" si="39"/>
        <v>0</v>
      </c>
      <c r="U216" s="36">
        <f t="shared" si="39"/>
        <v>0</v>
      </c>
      <c r="V216" s="36">
        <f t="shared" si="39"/>
        <v>0</v>
      </c>
      <c r="W216" s="36">
        <f t="shared" si="39"/>
        <v>0</v>
      </c>
      <c r="X216" s="36">
        <f t="shared" si="39"/>
        <v>0</v>
      </c>
      <c r="Y216" s="36">
        <f t="shared" si="39"/>
        <v>0</v>
      </c>
      <c r="Z216" s="36">
        <f t="shared" si="39"/>
        <v>0</v>
      </c>
      <c r="AA216" s="36">
        <f t="shared" si="39"/>
        <v>0</v>
      </c>
      <c r="AB216" s="36">
        <f t="shared" si="39"/>
        <v>0</v>
      </c>
      <c r="AC216" s="36">
        <f t="shared" si="39"/>
        <v>0</v>
      </c>
      <c r="AD216" s="36">
        <f t="shared" si="39"/>
        <v>0</v>
      </c>
      <c r="AE216" s="36">
        <f t="shared" si="39"/>
        <v>0</v>
      </c>
      <c r="AF216" s="51">
        <f t="shared" si="39"/>
        <v>0</v>
      </c>
      <c r="AG216" s="50">
        <f t="shared" si="39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40">AF218</f>
        <v>0</v>
      </c>
      <c r="C218" s="46">
        <v>0.3</v>
      </c>
      <c r="D218" s="46">
        <f t="shared" ref="D218:P223" si="41">C218</f>
        <v>0.3</v>
      </c>
      <c r="E218" s="46">
        <f t="shared" si="41"/>
        <v>0.3</v>
      </c>
      <c r="F218" s="46">
        <f t="shared" si="41"/>
        <v>0.3</v>
      </c>
      <c r="G218" s="46">
        <f t="shared" si="41"/>
        <v>0.3</v>
      </c>
      <c r="H218" s="46">
        <f t="shared" si="41"/>
        <v>0.3</v>
      </c>
      <c r="I218" s="46">
        <f t="shared" si="41"/>
        <v>0.3</v>
      </c>
      <c r="J218" s="46">
        <f t="shared" si="41"/>
        <v>0.3</v>
      </c>
      <c r="K218" s="46">
        <f t="shared" si="41"/>
        <v>0.3</v>
      </c>
      <c r="L218" s="46">
        <f t="shared" si="41"/>
        <v>0.3</v>
      </c>
      <c r="M218" s="46">
        <f t="shared" si="41"/>
        <v>0.3</v>
      </c>
      <c r="N218" s="46">
        <f t="shared" si="41"/>
        <v>0.3</v>
      </c>
      <c r="O218" s="46">
        <f t="shared" si="41"/>
        <v>0.3</v>
      </c>
      <c r="P218" s="46">
        <f t="shared" si="41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40"/>
        <v>0</v>
      </c>
      <c r="C219" s="43">
        <v>0.4</v>
      </c>
      <c r="D219" s="43">
        <f t="shared" si="41"/>
        <v>0.4</v>
      </c>
      <c r="E219" s="43">
        <f t="shared" si="41"/>
        <v>0.4</v>
      </c>
      <c r="F219" s="43">
        <f t="shared" si="41"/>
        <v>0.4</v>
      </c>
      <c r="G219" s="43">
        <f t="shared" si="41"/>
        <v>0.4</v>
      </c>
      <c r="H219" s="43">
        <f t="shared" si="41"/>
        <v>0.4</v>
      </c>
      <c r="I219" s="43">
        <f t="shared" si="41"/>
        <v>0.4</v>
      </c>
      <c r="J219" s="43">
        <f t="shared" si="41"/>
        <v>0.4</v>
      </c>
      <c r="K219" s="43">
        <f t="shared" si="41"/>
        <v>0.4</v>
      </c>
      <c r="L219" s="43">
        <f t="shared" si="41"/>
        <v>0.4</v>
      </c>
      <c r="M219" s="43">
        <f t="shared" si="41"/>
        <v>0.4</v>
      </c>
      <c r="N219" s="43">
        <f t="shared" si="41"/>
        <v>0.4</v>
      </c>
      <c r="O219" s="43">
        <f t="shared" si="41"/>
        <v>0.4</v>
      </c>
      <c r="P219" s="43">
        <f t="shared" si="41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40"/>
        <v>0</v>
      </c>
      <c r="C220" s="43">
        <v>1.5</v>
      </c>
      <c r="D220" s="43">
        <f t="shared" si="41"/>
        <v>1.5</v>
      </c>
      <c r="E220" s="43">
        <f t="shared" si="41"/>
        <v>1.5</v>
      </c>
      <c r="F220" s="43">
        <f t="shared" si="41"/>
        <v>1.5</v>
      </c>
      <c r="G220" s="43">
        <f t="shared" si="41"/>
        <v>1.5</v>
      </c>
      <c r="H220" s="43">
        <f t="shared" si="41"/>
        <v>1.5</v>
      </c>
      <c r="I220" s="43">
        <f t="shared" si="41"/>
        <v>1.5</v>
      </c>
      <c r="J220" s="43">
        <f t="shared" si="41"/>
        <v>1.5</v>
      </c>
      <c r="K220" s="43">
        <f t="shared" si="41"/>
        <v>1.5</v>
      </c>
      <c r="L220" s="43">
        <f t="shared" si="41"/>
        <v>1.5</v>
      </c>
      <c r="M220" s="43">
        <f t="shared" si="41"/>
        <v>1.5</v>
      </c>
      <c r="N220" s="43">
        <f t="shared" si="41"/>
        <v>1.5</v>
      </c>
      <c r="O220" s="43">
        <f t="shared" si="41"/>
        <v>1.5</v>
      </c>
      <c r="P220" s="43">
        <f t="shared" si="41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40"/>
        <v>0</v>
      </c>
      <c r="C221" s="43">
        <v>0.3</v>
      </c>
      <c r="D221" s="43">
        <f t="shared" si="41"/>
        <v>0.3</v>
      </c>
      <c r="E221" s="43">
        <f t="shared" si="41"/>
        <v>0.3</v>
      </c>
      <c r="F221" s="43">
        <f t="shared" si="41"/>
        <v>0.3</v>
      </c>
      <c r="G221" s="43">
        <f t="shared" si="41"/>
        <v>0.3</v>
      </c>
      <c r="H221" s="43">
        <f t="shared" si="41"/>
        <v>0.3</v>
      </c>
      <c r="I221" s="43">
        <f t="shared" si="41"/>
        <v>0.3</v>
      </c>
      <c r="J221" s="43">
        <f t="shared" si="41"/>
        <v>0.3</v>
      </c>
      <c r="K221" s="43">
        <f t="shared" si="41"/>
        <v>0.3</v>
      </c>
      <c r="L221" s="43">
        <f t="shared" si="41"/>
        <v>0.3</v>
      </c>
      <c r="M221" s="43">
        <f t="shared" si="41"/>
        <v>0.3</v>
      </c>
      <c r="N221" s="43">
        <f t="shared" si="41"/>
        <v>0.3</v>
      </c>
      <c r="O221" s="43">
        <f t="shared" si="41"/>
        <v>0.3</v>
      </c>
      <c r="P221" s="43">
        <f t="shared" si="41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40"/>
        <v>0</v>
      </c>
      <c r="C222" s="43">
        <v>0.4</v>
      </c>
      <c r="D222" s="43">
        <f t="shared" si="41"/>
        <v>0.4</v>
      </c>
      <c r="E222" s="43">
        <f t="shared" si="41"/>
        <v>0.4</v>
      </c>
      <c r="F222" s="43">
        <f t="shared" si="41"/>
        <v>0.4</v>
      </c>
      <c r="G222" s="43">
        <f t="shared" si="41"/>
        <v>0.4</v>
      </c>
      <c r="H222" s="43">
        <f t="shared" si="41"/>
        <v>0.4</v>
      </c>
      <c r="I222" s="43">
        <f t="shared" si="41"/>
        <v>0.4</v>
      </c>
      <c r="J222" s="43">
        <f t="shared" si="41"/>
        <v>0.4</v>
      </c>
      <c r="K222" s="43">
        <f t="shared" si="41"/>
        <v>0.4</v>
      </c>
      <c r="L222" s="43">
        <f t="shared" si="41"/>
        <v>0.4</v>
      </c>
      <c r="M222" s="43">
        <f t="shared" si="41"/>
        <v>0.4</v>
      </c>
      <c r="N222" s="43">
        <f t="shared" si="41"/>
        <v>0.4</v>
      </c>
      <c r="O222" s="43">
        <f t="shared" si="41"/>
        <v>0.4</v>
      </c>
      <c r="P222" s="43">
        <f t="shared" si="41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40"/>
        <v>0</v>
      </c>
      <c r="C223" s="39">
        <v>0.64</v>
      </c>
      <c r="D223" s="39">
        <f t="shared" si="41"/>
        <v>0.64</v>
      </c>
      <c r="E223" s="39">
        <f t="shared" si="41"/>
        <v>0.64</v>
      </c>
      <c r="F223" s="39">
        <f t="shared" si="41"/>
        <v>0.64</v>
      </c>
      <c r="G223" s="39">
        <f t="shared" si="41"/>
        <v>0.64</v>
      </c>
      <c r="H223" s="39">
        <f t="shared" si="41"/>
        <v>0.64</v>
      </c>
      <c r="I223" s="39">
        <f t="shared" si="41"/>
        <v>0.64</v>
      </c>
      <c r="J223" s="39">
        <f t="shared" si="41"/>
        <v>0.64</v>
      </c>
      <c r="K223" s="39">
        <f t="shared" si="41"/>
        <v>0.64</v>
      </c>
      <c r="L223" s="39">
        <f t="shared" si="41"/>
        <v>0.64</v>
      </c>
      <c r="M223" s="39">
        <f t="shared" si="41"/>
        <v>0.64</v>
      </c>
      <c r="N223" s="39">
        <f t="shared" si="41"/>
        <v>0.64</v>
      </c>
      <c r="O223" s="39">
        <f t="shared" si="41"/>
        <v>0.64</v>
      </c>
      <c r="P223" s="39">
        <f t="shared" si="41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42">SUM(B218:B223)</f>
        <v>0</v>
      </c>
      <c r="C224" s="36">
        <f t="shared" si="42"/>
        <v>3.54</v>
      </c>
      <c r="D224" s="36">
        <f t="shared" si="42"/>
        <v>3.54</v>
      </c>
      <c r="E224" s="36">
        <f t="shared" si="42"/>
        <v>3.54</v>
      </c>
      <c r="F224" s="36">
        <f t="shared" si="42"/>
        <v>3.54</v>
      </c>
      <c r="G224" s="36">
        <f t="shared" si="42"/>
        <v>3.54</v>
      </c>
      <c r="H224" s="36">
        <f t="shared" si="42"/>
        <v>3.54</v>
      </c>
      <c r="I224" s="36">
        <f t="shared" si="42"/>
        <v>3.54</v>
      </c>
      <c r="J224" s="36">
        <f t="shared" si="42"/>
        <v>3.54</v>
      </c>
      <c r="K224" s="36">
        <f t="shared" si="42"/>
        <v>3.54</v>
      </c>
      <c r="L224" s="36">
        <f t="shared" si="42"/>
        <v>3.54</v>
      </c>
      <c r="M224" s="36">
        <f t="shared" si="42"/>
        <v>3.54</v>
      </c>
      <c r="N224" s="36">
        <f t="shared" si="42"/>
        <v>3.54</v>
      </c>
      <c r="O224" s="36">
        <f t="shared" si="42"/>
        <v>3.54</v>
      </c>
      <c r="P224" s="36">
        <f t="shared" si="42"/>
        <v>3.54</v>
      </c>
      <c r="Q224" s="36">
        <f t="shared" si="42"/>
        <v>0</v>
      </c>
      <c r="R224" s="36">
        <f t="shared" si="42"/>
        <v>0</v>
      </c>
      <c r="S224" s="36">
        <f t="shared" si="42"/>
        <v>0</v>
      </c>
      <c r="T224" s="36">
        <f t="shared" si="42"/>
        <v>0</v>
      </c>
      <c r="U224" s="36">
        <f t="shared" si="42"/>
        <v>0</v>
      </c>
      <c r="V224" s="36">
        <f t="shared" si="42"/>
        <v>0</v>
      </c>
      <c r="W224" s="36">
        <f t="shared" si="42"/>
        <v>0</v>
      </c>
      <c r="X224" s="36">
        <f t="shared" si="42"/>
        <v>0</v>
      </c>
      <c r="Y224" s="36">
        <f t="shared" si="42"/>
        <v>0</v>
      </c>
      <c r="Z224" s="36">
        <f t="shared" si="42"/>
        <v>0</v>
      </c>
      <c r="AA224" s="36">
        <f t="shared" si="42"/>
        <v>0</v>
      </c>
      <c r="AB224" s="36">
        <f t="shared" si="42"/>
        <v>0</v>
      </c>
      <c r="AC224" s="36">
        <f t="shared" si="42"/>
        <v>0</v>
      </c>
      <c r="AD224" s="36">
        <f t="shared" si="42"/>
        <v>0</v>
      </c>
      <c r="AE224" s="36">
        <f t="shared" si="42"/>
        <v>0</v>
      </c>
      <c r="AF224" s="36">
        <f t="shared" si="42"/>
        <v>0</v>
      </c>
      <c r="AG224" s="35">
        <f t="shared" si="42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1235.8399999999999</v>
      </c>
      <c r="C233" s="16">
        <f>INDEX(G9:N9,1,MATCH(MAX(G81:N81),G81:N81,0))</f>
        <v>0.33333333333333331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20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2079/06/20)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2079/06/20)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43">B81</f>
        <v>1281.24</v>
      </c>
      <c r="U238" s="9">
        <f t="shared" si="43"/>
        <v>1242.44</v>
      </c>
      <c r="V238" s="9">
        <f t="shared" si="43"/>
        <v>1230.7399999999998</v>
      </c>
      <c r="W238" s="9">
        <f t="shared" si="43"/>
        <v>1211.6400000000001</v>
      </c>
      <c r="X238" s="9">
        <f t="shared" si="43"/>
        <v>1212.24</v>
      </c>
      <c r="Y238" s="9">
        <f t="shared" si="43"/>
        <v>1145.54</v>
      </c>
      <c r="Z238" s="9">
        <f t="shared" si="43"/>
        <v>1133.6400000000001</v>
      </c>
      <c r="AA238" s="9">
        <f t="shared" si="43"/>
        <v>1119.2399999999998</v>
      </c>
      <c r="AB238" s="9">
        <f t="shared" si="43"/>
        <v>1119.2399999999998</v>
      </c>
      <c r="AC238" s="9">
        <f t="shared" si="43"/>
        <v>1111.6399999999999</v>
      </c>
      <c r="AD238" s="9">
        <f t="shared" si="43"/>
        <v>1090.8399999999999</v>
      </c>
      <c r="AE238" s="9">
        <f t="shared" si="43"/>
        <v>1235.8399999999999</v>
      </c>
      <c r="AF238" s="9">
        <f t="shared" si="43"/>
        <v>1200.8399999999999</v>
      </c>
      <c r="AG238" s="9">
        <f t="shared" si="43"/>
        <v>1303.44</v>
      </c>
      <c r="AH238" s="9">
        <f t="shared" si="43"/>
        <v>1276.04</v>
      </c>
      <c r="AI238" s="9">
        <f t="shared" si="43"/>
        <v>1176.74</v>
      </c>
      <c r="AJ238" s="9">
        <f t="shared" si="43"/>
        <v>1158.6399999999999</v>
      </c>
      <c r="AK238" s="9">
        <f t="shared" si="43"/>
        <v>1176.1399999999999</v>
      </c>
      <c r="AL238" s="9">
        <f t="shared" si="43"/>
        <v>1212.9000000000001</v>
      </c>
      <c r="AM238" s="9">
        <f t="shared" si="43"/>
        <v>1206.54</v>
      </c>
      <c r="AN238" s="9">
        <f t="shared" si="43"/>
        <v>1205.54</v>
      </c>
      <c r="AO238" s="9">
        <f t="shared" si="43"/>
        <v>1250.6399999999999</v>
      </c>
      <c r="AP238" s="9">
        <f t="shared" si="43"/>
        <v>1390.6399999999999</v>
      </c>
      <c r="AQ238" s="9">
        <f t="shared" si="43"/>
        <v>1492.8400000000001</v>
      </c>
      <c r="AR238" s="9">
        <f t="shared" si="43"/>
        <v>1460.84</v>
      </c>
      <c r="AS238" s="9">
        <f t="shared" si="43"/>
        <v>1439.44</v>
      </c>
      <c r="AT238" s="9">
        <f t="shared" si="43"/>
        <v>1434.94</v>
      </c>
      <c r="AU238" s="9">
        <f t="shared" si="43"/>
        <v>1406.6399999999999</v>
      </c>
      <c r="AV238" s="9">
        <f t="shared" si="43"/>
        <v>1379.94</v>
      </c>
      <c r="AW238" s="9">
        <f t="shared" si="43"/>
        <v>1319.44</v>
      </c>
      <c r="AX238" s="9">
        <f t="shared" si="43"/>
        <v>1272.04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44">C223</f>
        <v>0.64</v>
      </c>
      <c r="C259" s="4">
        <f t="shared" si="44"/>
        <v>0.64</v>
      </c>
      <c r="D259" s="4">
        <f t="shared" si="44"/>
        <v>0.64</v>
      </c>
      <c r="E259" s="4">
        <f t="shared" si="44"/>
        <v>0.64</v>
      </c>
      <c r="F259" s="4">
        <f t="shared" si="44"/>
        <v>0.64</v>
      </c>
      <c r="G259" s="4">
        <f t="shared" si="44"/>
        <v>0.64</v>
      </c>
      <c r="H259" s="4">
        <f t="shared" si="44"/>
        <v>0.64</v>
      </c>
      <c r="I259" s="4">
        <f t="shared" si="44"/>
        <v>0.64</v>
      </c>
      <c r="J259" s="4">
        <f t="shared" si="44"/>
        <v>0.64</v>
      </c>
      <c r="K259" s="4">
        <f t="shared" si="44"/>
        <v>0.64</v>
      </c>
      <c r="L259" s="4">
        <f t="shared" si="44"/>
        <v>0.64</v>
      </c>
      <c r="M259" s="4">
        <f t="shared" si="44"/>
        <v>0.64</v>
      </c>
      <c r="N259" s="4">
        <f t="shared" si="44"/>
        <v>0.64</v>
      </c>
      <c r="O259" s="4">
        <f t="shared" si="44"/>
        <v>0.64</v>
      </c>
      <c r="P259" s="4">
        <f t="shared" si="44"/>
        <v>0</v>
      </c>
      <c r="Q259" s="4">
        <f t="shared" si="44"/>
        <v>0</v>
      </c>
      <c r="R259" s="4">
        <f t="shared" si="44"/>
        <v>0</v>
      </c>
      <c r="S259" s="4">
        <f t="shared" si="44"/>
        <v>0</v>
      </c>
      <c r="T259" s="4">
        <f t="shared" si="44"/>
        <v>0</v>
      </c>
      <c r="U259" s="4">
        <f t="shared" si="44"/>
        <v>0</v>
      </c>
      <c r="V259" s="4">
        <f t="shared" si="44"/>
        <v>0</v>
      </c>
      <c r="W259" s="4">
        <f t="shared" si="44"/>
        <v>0</v>
      </c>
      <c r="X259" s="4">
        <f t="shared" si="44"/>
        <v>0</v>
      </c>
      <c r="Y259" s="4">
        <f t="shared" si="44"/>
        <v>0</v>
      </c>
      <c r="Z259" s="4">
        <f t="shared" si="44"/>
        <v>0</v>
      </c>
      <c r="AA259" s="4">
        <f t="shared" si="44"/>
        <v>0</v>
      </c>
      <c r="AB259" s="4">
        <f t="shared" si="44"/>
        <v>0</v>
      </c>
      <c r="AC259" s="4">
        <f t="shared" si="44"/>
        <v>0</v>
      </c>
      <c r="AD259" s="4">
        <f t="shared" si="44"/>
        <v>0</v>
      </c>
      <c r="AE259" s="4">
        <f t="shared" si="44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45">IF(B227&lt;100,"",B227-520)</f>
        <v/>
      </c>
      <c r="C260" s="3" t="str">
        <f t="shared" si="45"/>
        <v/>
      </c>
      <c r="D260" s="3" t="str">
        <f t="shared" si="45"/>
        <v/>
      </c>
      <c r="E260" s="3" t="str">
        <f t="shared" si="45"/>
        <v/>
      </c>
      <c r="F260" s="3" t="str">
        <f t="shared" si="45"/>
        <v/>
      </c>
      <c r="G260" s="3" t="str">
        <f t="shared" si="45"/>
        <v/>
      </c>
      <c r="H260" s="3" t="str">
        <f t="shared" si="45"/>
        <v/>
      </c>
      <c r="I260" s="3" t="str">
        <f t="shared" si="45"/>
        <v/>
      </c>
      <c r="J260" s="3" t="str">
        <f t="shared" si="45"/>
        <v/>
      </c>
      <c r="K260" s="3" t="str">
        <f t="shared" si="45"/>
        <v/>
      </c>
      <c r="L260" s="3" t="str">
        <f t="shared" si="45"/>
        <v/>
      </c>
      <c r="M260" s="3" t="str">
        <f t="shared" si="45"/>
        <v/>
      </c>
      <c r="N260" s="3" t="str">
        <f t="shared" si="45"/>
        <v/>
      </c>
      <c r="O260" s="3" t="str">
        <f t="shared" si="45"/>
        <v/>
      </c>
      <c r="P260" s="3" t="str">
        <f t="shared" si="45"/>
        <v/>
      </c>
      <c r="Q260" s="3" t="str">
        <f t="shared" si="45"/>
        <v/>
      </c>
      <c r="R260" s="3" t="str">
        <f t="shared" si="45"/>
        <v/>
      </c>
      <c r="S260" s="3" t="str">
        <f t="shared" si="45"/>
        <v/>
      </c>
      <c r="T260" s="3" t="str">
        <f t="shared" si="45"/>
        <v/>
      </c>
      <c r="U260" s="3" t="str">
        <f t="shared" si="45"/>
        <v/>
      </c>
      <c r="V260" s="3" t="str">
        <f t="shared" si="45"/>
        <v/>
      </c>
      <c r="W260" s="3" t="str">
        <f t="shared" si="45"/>
        <v/>
      </c>
      <c r="X260" s="3" t="str">
        <f t="shared" si="45"/>
        <v/>
      </c>
      <c r="Y260" s="3" t="str">
        <f t="shared" si="45"/>
        <v/>
      </c>
      <c r="Z260" s="3" t="str">
        <f t="shared" si="45"/>
        <v/>
      </c>
      <c r="AA260" s="3" t="str">
        <f t="shared" si="45"/>
        <v/>
      </c>
      <c r="AB260" s="3" t="str">
        <f t="shared" si="45"/>
        <v/>
      </c>
      <c r="AC260" s="3" t="str">
        <f t="shared" si="45"/>
        <v/>
      </c>
      <c r="AD260" s="3" t="str">
        <f t="shared" si="45"/>
        <v/>
      </c>
      <c r="AE260" s="3" t="str">
        <f t="shared" si="45"/>
        <v/>
      </c>
      <c r="AF260" s="3" t="str">
        <f t="shared" si="45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46">IF(B228&lt;100,"",B228-620)</f>
        <v/>
      </c>
      <c r="C261" s="3" t="str">
        <f t="shared" si="46"/>
        <v/>
      </c>
      <c r="D261" s="3" t="str">
        <f t="shared" si="46"/>
        <v/>
      </c>
      <c r="E261" s="3" t="str">
        <f t="shared" si="46"/>
        <v/>
      </c>
      <c r="F261" s="3" t="str">
        <f t="shared" si="46"/>
        <v/>
      </c>
      <c r="G261" s="3" t="str">
        <f t="shared" si="46"/>
        <v/>
      </c>
      <c r="H261" s="3" t="str">
        <f t="shared" si="46"/>
        <v/>
      </c>
      <c r="I261" s="3" t="str">
        <f t="shared" si="46"/>
        <v/>
      </c>
      <c r="J261" s="3" t="str">
        <f t="shared" si="46"/>
        <v/>
      </c>
      <c r="K261" s="3" t="str">
        <f t="shared" si="46"/>
        <v/>
      </c>
      <c r="L261" s="3" t="str">
        <f t="shared" si="46"/>
        <v/>
      </c>
      <c r="M261" s="3" t="str">
        <f t="shared" si="46"/>
        <v/>
      </c>
      <c r="N261" s="3" t="str">
        <f t="shared" si="46"/>
        <v/>
      </c>
      <c r="O261" s="3" t="str">
        <f t="shared" si="46"/>
        <v/>
      </c>
      <c r="P261" s="3" t="str">
        <f t="shared" si="46"/>
        <v/>
      </c>
      <c r="Q261" s="3" t="str">
        <f t="shared" si="46"/>
        <v/>
      </c>
      <c r="R261" s="3" t="str">
        <f t="shared" si="46"/>
        <v/>
      </c>
      <c r="S261" s="3" t="str">
        <f t="shared" si="46"/>
        <v/>
      </c>
      <c r="T261" s="3" t="str">
        <f t="shared" si="46"/>
        <v/>
      </c>
      <c r="U261" s="3" t="str">
        <f t="shared" si="46"/>
        <v/>
      </c>
      <c r="V261" s="3" t="str">
        <f t="shared" si="46"/>
        <v/>
      </c>
      <c r="W261" s="3" t="str">
        <f t="shared" si="46"/>
        <v/>
      </c>
      <c r="X261" s="3" t="str">
        <f t="shared" si="46"/>
        <v/>
      </c>
      <c r="Y261" s="3" t="str">
        <f t="shared" si="46"/>
        <v/>
      </c>
      <c r="Z261" s="3" t="str">
        <f t="shared" si="46"/>
        <v/>
      </c>
      <c r="AA261" s="3" t="str">
        <f t="shared" si="46"/>
        <v/>
      </c>
      <c r="AB261" s="3" t="str">
        <f t="shared" si="46"/>
        <v/>
      </c>
      <c r="AC261" s="3" t="str">
        <f t="shared" si="46"/>
        <v/>
      </c>
      <c r="AD261" s="3" t="str">
        <f t="shared" si="46"/>
        <v/>
      </c>
      <c r="AE261" s="3" t="str">
        <f t="shared" si="46"/>
        <v/>
      </c>
      <c r="AF261" s="3" t="str">
        <f t="shared" si="46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47">IF(B229&lt;100,"",B229-330)</f>
        <v/>
      </c>
      <c r="C262" s="3" t="str">
        <f t="shared" si="47"/>
        <v/>
      </c>
      <c r="D262" s="3" t="str">
        <f t="shared" si="47"/>
        <v/>
      </c>
      <c r="E262" s="3" t="str">
        <f t="shared" si="47"/>
        <v/>
      </c>
      <c r="F262" s="3" t="str">
        <f t="shared" si="47"/>
        <v/>
      </c>
      <c r="G262" s="3" t="str">
        <f t="shared" si="47"/>
        <v/>
      </c>
      <c r="H262" s="3" t="str">
        <f t="shared" si="47"/>
        <v/>
      </c>
      <c r="I262" s="3" t="str">
        <f t="shared" si="47"/>
        <v/>
      </c>
      <c r="J262" s="3" t="str">
        <f t="shared" si="47"/>
        <v/>
      </c>
      <c r="K262" s="3" t="str">
        <f t="shared" si="47"/>
        <v/>
      </c>
      <c r="L262" s="3" t="str">
        <f t="shared" si="47"/>
        <v/>
      </c>
      <c r="M262" s="3" t="str">
        <f t="shared" si="47"/>
        <v/>
      </c>
      <c r="N262" s="3" t="str">
        <f t="shared" si="47"/>
        <v/>
      </c>
      <c r="O262" s="3" t="str">
        <f t="shared" si="47"/>
        <v/>
      </c>
      <c r="P262" s="3" t="str">
        <f t="shared" si="47"/>
        <v/>
      </c>
      <c r="Q262" s="3" t="str">
        <f t="shared" si="47"/>
        <v/>
      </c>
      <c r="R262" s="3" t="str">
        <f t="shared" si="47"/>
        <v/>
      </c>
      <c r="S262" s="3" t="str">
        <f t="shared" si="47"/>
        <v/>
      </c>
      <c r="T262" s="3" t="str">
        <f t="shared" si="47"/>
        <v/>
      </c>
      <c r="U262" s="3" t="str">
        <f t="shared" si="47"/>
        <v/>
      </c>
      <c r="V262" s="3" t="str">
        <f t="shared" si="47"/>
        <v/>
      </c>
      <c r="W262" s="3" t="str">
        <f t="shared" si="47"/>
        <v/>
      </c>
      <c r="X262" s="3" t="str">
        <f t="shared" si="47"/>
        <v/>
      </c>
      <c r="Y262" s="3" t="str">
        <f t="shared" si="47"/>
        <v/>
      </c>
      <c r="Z262" s="3" t="str">
        <f t="shared" si="47"/>
        <v/>
      </c>
      <c r="AA262" s="3" t="str">
        <f t="shared" si="47"/>
        <v/>
      </c>
      <c r="AB262" s="3" t="str">
        <f t="shared" si="47"/>
        <v/>
      </c>
      <c r="AC262" s="3" t="str">
        <f t="shared" si="47"/>
        <v/>
      </c>
      <c r="AD262" s="3" t="str">
        <f t="shared" si="47"/>
        <v/>
      </c>
      <c r="AE262" s="3" t="str">
        <f t="shared" si="47"/>
        <v/>
      </c>
      <c r="AF262" s="3" t="str">
        <f t="shared" si="47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48">IF(B230&lt;100,"",B230-1500)</f>
        <v/>
      </c>
      <c r="C263" s="3" t="str">
        <f t="shared" si="48"/>
        <v/>
      </c>
      <c r="D263" s="3" t="str">
        <f t="shared" si="48"/>
        <v/>
      </c>
      <c r="E263" s="3" t="str">
        <f t="shared" si="48"/>
        <v/>
      </c>
      <c r="F263" s="3" t="str">
        <f t="shared" si="48"/>
        <v/>
      </c>
      <c r="G263" s="3" t="str">
        <f t="shared" si="48"/>
        <v/>
      </c>
      <c r="H263" s="3" t="str">
        <f t="shared" si="48"/>
        <v/>
      </c>
      <c r="I263" s="3" t="str">
        <f t="shared" si="48"/>
        <v/>
      </c>
      <c r="J263" s="3" t="str">
        <f t="shared" si="48"/>
        <v/>
      </c>
      <c r="K263" s="3" t="str">
        <f t="shared" si="48"/>
        <v/>
      </c>
      <c r="L263" s="3" t="str">
        <f t="shared" si="48"/>
        <v/>
      </c>
      <c r="M263" s="3" t="str">
        <f t="shared" si="48"/>
        <v/>
      </c>
      <c r="N263" s="3" t="str">
        <f t="shared" si="48"/>
        <v/>
      </c>
      <c r="O263" s="3" t="str">
        <f t="shared" si="48"/>
        <v/>
      </c>
      <c r="P263" s="3" t="str">
        <f t="shared" si="48"/>
        <v/>
      </c>
      <c r="Q263" s="3" t="str">
        <f t="shared" si="48"/>
        <v/>
      </c>
      <c r="R263" s="3" t="str">
        <f t="shared" si="48"/>
        <v/>
      </c>
      <c r="S263" s="3" t="str">
        <f t="shared" si="48"/>
        <v/>
      </c>
      <c r="T263" s="3" t="str">
        <f t="shared" si="48"/>
        <v/>
      </c>
      <c r="U263" s="3" t="str">
        <f t="shared" si="48"/>
        <v/>
      </c>
      <c r="V263" s="3" t="str">
        <f t="shared" si="48"/>
        <v/>
      </c>
      <c r="W263" s="3" t="str">
        <f t="shared" si="48"/>
        <v/>
      </c>
      <c r="X263" s="3" t="str">
        <f t="shared" si="48"/>
        <v/>
      </c>
      <c r="Y263" s="3" t="str">
        <f t="shared" si="48"/>
        <v/>
      </c>
      <c r="Z263" s="3" t="str">
        <f t="shared" si="48"/>
        <v/>
      </c>
      <c r="AA263" s="3" t="str">
        <f t="shared" si="48"/>
        <v/>
      </c>
      <c r="AB263" s="3" t="str">
        <f t="shared" si="48"/>
        <v/>
      </c>
      <c r="AC263" s="3" t="str">
        <f t="shared" si="48"/>
        <v/>
      </c>
      <c r="AD263" s="3" t="str">
        <f t="shared" si="48"/>
        <v/>
      </c>
      <c r="AE263" s="3" t="str">
        <f t="shared" si="48"/>
        <v/>
      </c>
      <c r="AF263" s="3" t="str">
        <f t="shared" si="48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6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64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Y22:Z22 S20:Z21 S23:Z23 S16:AF16 U11:AF11 AA20:AF23">
    <cfRule type="expression" dxfId="4525" priority="360">
      <formula>B$9&gt;=20/24</formula>
    </cfRule>
    <cfRule type="expression" dxfId="4524" priority="361">
      <formula>AND(B$9&gt;=14/24,B$9&lt;20/24)</formula>
    </cfRule>
    <cfRule type="expression" dxfId="4523" priority="362">
      <formula>AND(B$9&gt;=8/24,B$9&lt;14/24)</formula>
    </cfRule>
    <cfRule type="expression" dxfId="4522" priority="363">
      <formula>B$9&lt;8/24</formula>
    </cfRule>
  </conditionalFormatting>
  <conditionalFormatting sqref="AL4:AL6">
    <cfRule type="iconSet" priority="359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4521" priority="355">
      <formula>S$9&gt;=20/24</formula>
    </cfRule>
    <cfRule type="expression" dxfId="4520" priority="356">
      <formula>AND(S$9&gt;=14/24,S$9&lt;20/24)</formula>
    </cfRule>
    <cfRule type="expression" dxfId="4519" priority="357">
      <formula>AND(S$9&gt;=8/24,S$9&lt;14/24)</formula>
    </cfRule>
    <cfRule type="expression" dxfId="4518" priority="358">
      <formula>S$9&lt;8/24</formula>
    </cfRule>
  </conditionalFormatting>
  <conditionalFormatting sqref="AG57 Y22:Z22 S20:Z21 S23:Z23 K37:AF37 S11:AF16 S18:AF18 AA20:AF23 S39:AF39">
    <cfRule type="expression" dxfId="4517" priority="354">
      <formula>K11&gt;$AG11</formula>
    </cfRule>
  </conditionalFormatting>
  <conditionalFormatting sqref="A91:A101 A11:A14 A51:A78 A87:A89 A194:A224 A38:A49 A110:A181 A34:A35 A83:A85 A80:A81 A103:A105 A31:A32 A18:A29 A16">
    <cfRule type="expression" dxfId="4516" priority="353">
      <formula>$AH11=0</formula>
    </cfRule>
  </conditionalFormatting>
  <conditionalFormatting sqref="A106">
    <cfRule type="expression" dxfId="4515" priority="352">
      <formula>$AH106=0</formula>
    </cfRule>
  </conditionalFormatting>
  <conditionalFormatting sqref="AL35">
    <cfRule type="iconSet" priority="35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514" priority="350">
      <formula>$AH37=0</formula>
    </cfRule>
  </conditionalFormatting>
  <conditionalFormatting sqref="A90">
    <cfRule type="expression" dxfId="4513" priority="349">
      <formula>$AH90=0</formula>
    </cfRule>
  </conditionalFormatting>
  <conditionalFormatting sqref="A15">
    <cfRule type="expression" dxfId="4512" priority="348">
      <formula>$AH15=0</formula>
    </cfRule>
  </conditionalFormatting>
  <conditionalFormatting sqref="A188:A193">
    <cfRule type="expression" dxfId="4511" priority="347">
      <formula>$AH188=0</formula>
    </cfRule>
  </conditionalFormatting>
  <conditionalFormatting sqref="A182:A187">
    <cfRule type="expression" dxfId="4510" priority="346">
      <formula>$AH182=0</formula>
    </cfRule>
  </conditionalFormatting>
  <conditionalFormatting sqref="A50">
    <cfRule type="expression" dxfId="4509" priority="345">
      <formula>$AH50=0</formula>
    </cfRule>
  </conditionalFormatting>
  <conditionalFormatting sqref="A86">
    <cfRule type="expression" dxfId="4508" priority="344">
      <formula>$AH86=0</formula>
    </cfRule>
  </conditionalFormatting>
  <conditionalFormatting sqref="C91:AF91">
    <cfRule type="expression" dxfId="4507" priority="340">
      <formula>C$9&gt;=20/24</formula>
    </cfRule>
    <cfRule type="expression" dxfId="4506" priority="341">
      <formula>AND(C$9&gt;=14/24,C$9&lt;20/24)</formula>
    </cfRule>
    <cfRule type="expression" dxfId="4505" priority="342">
      <formula>AND(C$9&gt;=8/24,C$9&lt;14/24)</formula>
    </cfRule>
    <cfRule type="expression" dxfId="4504" priority="343">
      <formula>C$9&lt;8/24</formula>
    </cfRule>
  </conditionalFormatting>
  <conditionalFormatting sqref="AL36">
    <cfRule type="iconSet" priority="33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503" priority="366">
      <formula>C$9&gt;=20/24</formula>
    </cfRule>
    <cfRule type="expression" dxfId="4502" priority="367">
      <formula>AND(C$9&gt;=14/24,C$9&lt;20/24)</formula>
    </cfRule>
    <cfRule type="expression" dxfId="4501" priority="368">
      <formula>AND(C$9&gt;=8/24,C$9&lt;14/24)</formula>
    </cfRule>
    <cfRule type="expression" dxfId="4500" priority="369">
      <formula>C$9&lt;8/24</formula>
    </cfRule>
  </conditionalFormatting>
  <conditionalFormatting sqref="A225">
    <cfRule type="expression" dxfId="4499" priority="370">
      <formula>$AH225=0</formula>
    </cfRule>
  </conditionalFormatting>
  <conditionalFormatting sqref="AG237">
    <cfRule type="expression" dxfId="4498" priority="371">
      <formula>B$9&gt;=20/24</formula>
    </cfRule>
    <cfRule type="expression" dxfId="4497" priority="372">
      <formula>AND(B$9&gt;=14/24,B$9&lt;20/24)</formula>
    </cfRule>
    <cfRule type="expression" dxfId="4496" priority="373">
      <formula>AND(B$9&gt;=8/24,B$9&lt;14/24)</formula>
    </cfRule>
    <cfRule type="expression" dxfId="4495" priority="374">
      <formula>B$9&lt;8/24</formula>
    </cfRule>
  </conditionalFormatting>
  <conditionalFormatting sqref="S8">
    <cfRule type="expression" dxfId="4494" priority="335">
      <formula>U$9&gt;=20/24</formula>
    </cfRule>
    <cfRule type="expression" dxfId="4493" priority="336">
      <formula>AND(U$9&gt;=14/24,U$9&lt;20/24)</formula>
    </cfRule>
    <cfRule type="expression" dxfId="4492" priority="337">
      <formula>AND(U$9&gt;=8/24,U$9&lt;14/24)</formula>
    </cfRule>
    <cfRule type="expression" dxfId="4491" priority="338">
      <formula>U$9&lt;8/24</formula>
    </cfRule>
  </conditionalFormatting>
  <conditionalFormatting sqref="AB8">
    <cfRule type="expression" dxfId="4490" priority="331">
      <formula>AD$9&gt;=20/24</formula>
    </cfRule>
    <cfRule type="expression" dxfId="4489" priority="332">
      <formula>AND(AD$9&gt;=14/24,AD$9&lt;20/24)</formula>
    </cfRule>
    <cfRule type="expression" dxfId="4488" priority="333">
      <formula>AND(AD$9&gt;=8/24,AD$9&lt;14/24)</formula>
    </cfRule>
    <cfRule type="expression" dxfId="4487" priority="334">
      <formula>AD$9&lt;8/24</formula>
    </cfRule>
  </conditionalFormatting>
  <conditionalFormatting sqref="AH237:AX237">
    <cfRule type="expression" dxfId="4486" priority="375">
      <formula>AG$9&gt;=20/24</formula>
    </cfRule>
    <cfRule type="expression" dxfId="4485" priority="376">
      <formula>AND(AG$9&gt;=14/24,AG$9&lt;20/24)</formula>
    </cfRule>
    <cfRule type="expression" dxfId="4484" priority="377">
      <formula>AND(AG$9&gt;=8/24,AG$9&lt;14/24)</formula>
    </cfRule>
    <cfRule type="expression" dxfId="4483" priority="378">
      <formula>AG$9&lt;8/24</formula>
    </cfRule>
  </conditionalFormatting>
  <conditionalFormatting sqref="T237">
    <cfRule type="expression" dxfId="4482" priority="379">
      <formula>AX$9&gt;=20/24</formula>
    </cfRule>
    <cfRule type="expression" dxfId="4481" priority="380">
      <formula>AND(AX$9&gt;=14/24,AX$9&lt;20/24)</formula>
    </cfRule>
    <cfRule type="expression" dxfId="4480" priority="381">
      <formula>AND(AX$9&gt;=8/24,AX$9&lt;14/24)</formula>
    </cfRule>
    <cfRule type="expression" dxfId="4479" priority="382">
      <formula>AX$9&lt;8/24</formula>
    </cfRule>
  </conditionalFormatting>
  <conditionalFormatting sqref="A107:A108">
    <cfRule type="expression" dxfId="4478" priority="330">
      <formula>$AH107=0</formula>
    </cfRule>
  </conditionalFormatting>
  <conditionalFormatting sqref="S46:AF47 E63:AF63">
    <cfRule type="expression" dxfId="4477" priority="326">
      <formula>E$9&gt;=20/24</formula>
    </cfRule>
    <cfRule type="expression" dxfId="4476" priority="327">
      <formula>AND(E$9&gt;=14/24,E$9&lt;20/24)</formula>
    </cfRule>
    <cfRule type="expression" dxfId="4475" priority="328">
      <formula>AND(E$9&gt;=8/24,E$9&lt;14/24)</formula>
    </cfRule>
    <cfRule type="expression" dxfId="4474" priority="329">
      <formula>E$9&lt;8/24</formula>
    </cfRule>
  </conditionalFormatting>
  <conditionalFormatting sqref="S45:AF45">
    <cfRule type="expression" dxfId="4473" priority="322">
      <formula>S$9&gt;=20/24</formula>
    </cfRule>
    <cfRule type="expression" dxfId="4472" priority="323">
      <formula>AND(S$9&gt;=14/24,S$9&lt;20/24)</formula>
    </cfRule>
    <cfRule type="expression" dxfId="4471" priority="324">
      <formula>AND(S$9&gt;=8/24,S$9&lt;14/24)</formula>
    </cfRule>
    <cfRule type="expression" dxfId="4470" priority="325">
      <formula>S$9&lt;8/24</formula>
    </cfRule>
  </conditionalFormatting>
  <conditionalFormatting sqref="S45:AF47">
    <cfRule type="expression" dxfId="4469" priority="321">
      <formula>S45&gt;$AG45</formula>
    </cfRule>
  </conditionalFormatting>
  <conditionalFormatting sqref="C88:AF88 E64:S65 D92:AF98 L39:R39 S11:T14 C75:AF78 S59:AF61 T38:AF38 Y31:AF34 U12:AF14 S18:AF18 Y29:AF29 Y25:AF27 T64:AF73">
    <cfRule type="expression" dxfId="4468" priority="317">
      <formula>C$9&gt;=20/24</formula>
    </cfRule>
    <cfRule type="expression" dxfId="4467" priority="318">
      <formula>AND(C$9&gt;=14/24,C$9&lt;20/24)</formula>
    </cfRule>
    <cfRule type="expression" dxfId="4466" priority="319">
      <formula>AND(C$9&gt;=8/24,C$9&lt;14/24)</formula>
    </cfRule>
    <cfRule type="expression" dxfId="4465" priority="320">
      <formula>C$9&lt;8/24</formula>
    </cfRule>
  </conditionalFormatting>
  <conditionalFormatting sqref="Y35:AF35">
    <cfRule type="expression" dxfId="4464" priority="313">
      <formula>Y$9&gt;=20/24</formula>
    </cfRule>
    <cfRule type="expression" dxfId="4463" priority="314">
      <formula>AND(Y$9&gt;=14/24,Y$9&lt;20/24)</formula>
    </cfRule>
    <cfRule type="expression" dxfId="4462" priority="315">
      <formula>AND(Y$9&gt;=8/24,Y$9&lt;14/24)</formula>
    </cfRule>
    <cfRule type="expression" dxfId="4461" priority="316">
      <formula>Y$9&lt;8/24</formula>
    </cfRule>
  </conditionalFormatting>
  <conditionalFormatting sqref="C57:AF57 L39:R39 S11:T11 S59:AF61 T38:AF38 Y31:AF35 Y25:AF27 AB48:AF49 Y29:AF29">
    <cfRule type="expression" dxfId="4460" priority="312">
      <formula>C11&gt;$AG11</formula>
    </cfRule>
  </conditionalFormatting>
  <conditionalFormatting sqref="Y37:AF37">
    <cfRule type="expression" dxfId="4459" priority="308">
      <formula>Y$9&gt;=20/24</formula>
    </cfRule>
    <cfRule type="expression" dxfId="4458" priority="309">
      <formula>AND(Y$9&gt;=14/24,Y$9&lt;20/24)</formula>
    </cfRule>
    <cfRule type="expression" dxfId="4457" priority="310">
      <formula>AND(Y$9&gt;=8/24,Y$9&lt;14/24)</formula>
    </cfRule>
    <cfRule type="expression" dxfId="4456" priority="311">
      <formula>Y$9&lt;8/24</formula>
    </cfRule>
  </conditionalFormatting>
  <conditionalFormatting sqref="S15:AF15">
    <cfRule type="expression" dxfId="4455" priority="304">
      <formula>S$9&gt;=20/24</formula>
    </cfRule>
    <cfRule type="expression" dxfId="4454" priority="305">
      <formula>AND(S$9&gt;=14/24,S$9&lt;20/24)</formula>
    </cfRule>
    <cfRule type="expression" dxfId="4453" priority="306">
      <formula>AND(S$9&gt;=8/24,S$9&lt;14/24)</formula>
    </cfRule>
    <cfRule type="expression" dxfId="4452" priority="307">
      <formula>S$9&lt;8/24</formula>
    </cfRule>
  </conditionalFormatting>
  <conditionalFormatting sqref="Y36:AF36">
    <cfRule type="expression" dxfId="4451" priority="300">
      <formula>Y$9&gt;=20/24</formula>
    </cfRule>
    <cfRule type="expression" dxfId="4450" priority="301">
      <formula>AND(Y$9&gt;=14/24,Y$9&lt;20/24)</formula>
    </cfRule>
    <cfRule type="expression" dxfId="4449" priority="302">
      <formula>AND(Y$9&gt;=8/24,Y$9&lt;14/24)</formula>
    </cfRule>
    <cfRule type="expression" dxfId="4448" priority="303">
      <formula>Y$9&lt;8/24</formula>
    </cfRule>
  </conditionalFormatting>
  <conditionalFormatting sqref="Y36:AF36">
    <cfRule type="expression" dxfId="4447" priority="299">
      <formula>Y36&gt;$AG36</formula>
    </cfRule>
  </conditionalFormatting>
  <conditionalFormatting sqref="W48:AA49 AB50:AF56">
    <cfRule type="expression" dxfId="4446" priority="295">
      <formula>W$9&gt;=20/24</formula>
    </cfRule>
    <cfRule type="expression" dxfId="4445" priority="296">
      <formula>AND(W$9&gt;=14/24,W$9&lt;20/24)</formula>
    </cfRule>
    <cfRule type="expression" dxfId="4444" priority="297">
      <formula>AND(W$9&gt;=8/24,W$9&lt;14/24)</formula>
    </cfRule>
    <cfRule type="expression" dxfId="4443" priority="298">
      <formula>W$9&lt;8/24</formula>
    </cfRule>
  </conditionalFormatting>
  <conditionalFormatting sqref="W48:AA49 AB50:AF56">
    <cfRule type="expression" dxfId="4442" priority="294">
      <formula>W48&gt;$AG48</formula>
    </cfRule>
  </conditionalFormatting>
  <conditionalFormatting sqref="T52:T53 S48:V51 W50:AA51">
    <cfRule type="expression" dxfId="4441" priority="290">
      <formula>S$9&gt;=20/24</formula>
    </cfRule>
    <cfRule type="expression" dxfId="4440" priority="291">
      <formula>AND(S$9&gt;=14/24,S$9&lt;20/24)</formula>
    </cfRule>
    <cfRule type="expression" dxfId="4439" priority="292">
      <formula>AND(S$9&gt;=8/24,S$9&lt;14/24)</formula>
    </cfRule>
    <cfRule type="expression" dxfId="4438" priority="293">
      <formula>S$9&lt;8/24</formula>
    </cfRule>
  </conditionalFormatting>
  <conditionalFormatting sqref="T52:T53 S48:V51 W50:AA51">
    <cfRule type="expression" dxfId="4437" priority="289">
      <formula>S48&gt;$AG48</formula>
    </cfRule>
  </conditionalFormatting>
  <conditionalFormatting sqref="S31:X31 Y19:AF19 Y24:AF24">
    <cfRule type="expression" dxfId="4436" priority="281">
      <formula>S$9&gt;=20/24</formula>
    </cfRule>
    <cfRule type="expression" dxfId="4435" priority="282">
      <formula>AND(S$9&gt;=14/24,S$9&lt;20/24)</formula>
    </cfRule>
    <cfRule type="expression" dxfId="4434" priority="283">
      <formula>AND(S$9&gt;=8/24,S$9&lt;14/24)</formula>
    </cfRule>
    <cfRule type="expression" dxfId="4433" priority="284">
      <formula>S$9&lt;8/24</formula>
    </cfRule>
  </conditionalFormatting>
  <conditionalFormatting sqref="S31:X31 Y19:AF19 Y24:AF24">
    <cfRule type="expression" dxfId="4432" priority="280">
      <formula>S19&gt;$AG19</formula>
    </cfRule>
  </conditionalFormatting>
  <conditionalFormatting sqref="D45:R45">
    <cfRule type="expression" dxfId="4431" priority="276">
      <formula>D$9&gt;=20/24</formula>
    </cfRule>
    <cfRule type="expression" dxfId="4430" priority="277">
      <formula>AND(D$9&gt;=14/24,D$9&lt;20/24)</formula>
    </cfRule>
    <cfRule type="expression" dxfId="4429" priority="278">
      <formula>AND(D$9&gt;=8/24,D$9&lt;14/24)</formula>
    </cfRule>
    <cfRule type="expression" dxfId="4428" priority="279">
      <formula>D$9&lt;8/24</formula>
    </cfRule>
  </conditionalFormatting>
  <conditionalFormatting sqref="D45:R45">
    <cfRule type="expression" dxfId="4427" priority="275">
      <formula>D45&gt;$AG45</formula>
    </cfRule>
  </conditionalFormatting>
  <conditionalFormatting sqref="C80:AF80 I11:R11 C89:AF89">
    <cfRule type="expression" dxfId="4426" priority="262">
      <formula>C$9&gt;=20/24</formula>
    </cfRule>
    <cfRule type="expression" dxfId="4425" priority="263">
      <formula>AND(C$9&gt;=14/24,C$9&lt;20/24)</formula>
    </cfRule>
    <cfRule type="expression" dxfId="4424" priority="264">
      <formula>AND(C$9&gt;=8/24,C$9&lt;14/24)</formula>
    </cfRule>
    <cfRule type="expression" dxfId="4423" priority="265">
      <formula>C$9&lt;8/24</formula>
    </cfRule>
  </conditionalFormatting>
  <conditionalFormatting sqref="C39:K39">
    <cfRule type="expression" dxfId="4422" priority="258">
      <formula>C$9&gt;=20/24</formula>
    </cfRule>
    <cfRule type="expression" dxfId="4421" priority="259">
      <formula>AND(C$9&gt;=14/24,C$9&lt;20/24)</formula>
    </cfRule>
    <cfRule type="expression" dxfId="4420" priority="260">
      <formula>AND(C$9&gt;=8/24,C$9&lt;14/24)</formula>
    </cfRule>
    <cfRule type="expression" dxfId="4419" priority="261">
      <formula>C$9&lt;8/24</formula>
    </cfRule>
  </conditionalFormatting>
  <conditionalFormatting sqref="C39:K39 I11:R11">
    <cfRule type="expression" dxfId="4418" priority="257">
      <formula>C11&gt;$AG11</formula>
    </cfRule>
  </conditionalFormatting>
  <conditionalFormatting sqref="C63:D63 C38:S38 C46:R47">
    <cfRule type="expression" dxfId="4417" priority="249">
      <formula>C$9&gt;=20/24</formula>
    </cfRule>
    <cfRule type="expression" dxfId="4416" priority="250">
      <formula>AND(C$9&gt;=14/24,C$9&lt;20/24)</formula>
    </cfRule>
    <cfRule type="expression" dxfId="4415" priority="251">
      <formula>AND(C$9&gt;=8/24,C$9&lt;14/24)</formula>
    </cfRule>
    <cfRule type="expression" dxfId="4414" priority="252">
      <formula>C$9&lt;8/24</formula>
    </cfRule>
  </conditionalFormatting>
  <conditionalFormatting sqref="C45">
    <cfRule type="expression" dxfId="4413" priority="245">
      <formula>C$9&gt;=20/24</formula>
    </cfRule>
    <cfRule type="expression" dxfId="4412" priority="246">
      <formula>AND(C$9&gt;=14/24,C$9&lt;20/24)</formula>
    </cfRule>
    <cfRule type="expression" dxfId="4411" priority="247">
      <formula>AND(C$9&gt;=8/24,C$9&lt;14/24)</formula>
    </cfRule>
    <cfRule type="expression" dxfId="4410" priority="248">
      <formula>C$9&lt;8/24</formula>
    </cfRule>
  </conditionalFormatting>
  <conditionalFormatting sqref="C45:C47 C38:S38 D46:R47">
    <cfRule type="expression" dxfId="4409" priority="244">
      <formula>C38&gt;$AG38</formula>
    </cfRule>
  </conditionalFormatting>
  <conditionalFormatting sqref="C81:AF81 C62:AG62 C90:AF90 C92:C98 C64:D73 C59:R61 E66:S73 S25:X27 S29:X29 S32:X34 C79:AG79">
    <cfRule type="expression" dxfId="4408" priority="240">
      <formula>C$9&gt;=20/24</formula>
    </cfRule>
    <cfRule type="expression" dxfId="4407" priority="241">
      <formula>AND(C$9&gt;=14/24,C$9&lt;20/24)</formula>
    </cfRule>
    <cfRule type="expression" dxfId="4406" priority="242">
      <formula>AND(C$9&gt;=8/24,C$9&lt;14/24)</formula>
    </cfRule>
    <cfRule type="expression" dxfId="4405" priority="243">
      <formula>C$9&lt;8/24</formula>
    </cfRule>
  </conditionalFormatting>
  <conditionalFormatting sqref="S35:X35">
    <cfRule type="expression" dxfId="4404" priority="236">
      <formula>S$9&gt;=20/24</formula>
    </cfRule>
    <cfRule type="expression" dxfId="4403" priority="237">
      <formula>AND(S$9&gt;=14/24,S$9&lt;20/24)</formula>
    </cfRule>
    <cfRule type="expression" dxfId="4402" priority="238">
      <formula>AND(S$9&gt;=8/24,S$9&lt;14/24)</formula>
    </cfRule>
    <cfRule type="expression" dxfId="4401" priority="239">
      <formula>S$9&lt;8/24</formula>
    </cfRule>
  </conditionalFormatting>
  <conditionalFormatting sqref="C40:AG40 C58:AG58 C62:AG62 C59:R61 C48:L49 S25:X27 S32:X35 S29:X29 S28:AF28">
    <cfRule type="expression" dxfId="4400" priority="235">
      <formula>C25&gt;$AG25</formula>
    </cfRule>
  </conditionalFormatting>
  <conditionalFormatting sqref="K37:X37">
    <cfRule type="expression" dxfId="4399" priority="231">
      <formula>K$9&gt;=20/24</formula>
    </cfRule>
    <cfRule type="expression" dxfId="4398" priority="232">
      <formula>AND(K$9&gt;=14/24,K$9&lt;20/24)</formula>
    </cfRule>
    <cfRule type="expression" dxfId="4397" priority="233">
      <formula>AND(K$9&gt;=8/24,K$9&lt;14/24)</formula>
    </cfRule>
    <cfRule type="expression" dxfId="4396" priority="234">
      <formula>K$9&lt;8/24</formula>
    </cfRule>
  </conditionalFormatting>
  <conditionalFormatting sqref="S36:X36">
    <cfRule type="expression" dxfId="4395" priority="223">
      <formula>S$9&gt;=20/24</formula>
    </cfRule>
    <cfRule type="expression" dxfId="4394" priority="224">
      <formula>AND(S$9&gt;=14/24,S$9&lt;20/24)</formula>
    </cfRule>
    <cfRule type="expression" dxfId="4393" priority="225">
      <formula>AND(S$9&gt;=8/24,S$9&lt;14/24)</formula>
    </cfRule>
    <cfRule type="expression" dxfId="4392" priority="226">
      <formula>S$9&lt;8/24</formula>
    </cfRule>
  </conditionalFormatting>
  <conditionalFormatting sqref="S36:X36">
    <cfRule type="expression" dxfId="4391" priority="222">
      <formula>S36&gt;$AG36</formula>
    </cfRule>
  </conditionalFormatting>
  <conditionalFormatting sqref="S52:S56 C50:R56 T54:T56">
    <cfRule type="expression" dxfId="4390" priority="218">
      <formula>C$9&gt;=20/24</formula>
    </cfRule>
    <cfRule type="expression" dxfId="4389" priority="219">
      <formula>AND(C$9&gt;=14/24,C$9&lt;20/24)</formula>
    </cfRule>
    <cfRule type="expression" dxfId="4388" priority="220">
      <formula>AND(C$9&gt;=8/24,C$9&lt;14/24)</formula>
    </cfRule>
    <cfRule type="expression" dxfId="4387" priority="221">
      <formula>C$9&lt;8/24</formula>
    </cfRule>
  </conditionalFormatting>
  <conditionalFormatting sqref="S52:S56 C50:R56 T54:T56">
    <cfRule type="expression" dxfId="4386" priority="217">
      <formula>C50&gt;$AG50</formula>
    </cfRule>
  </conditionalFormatting>
  <conditionalFormatting sqref="S28:AF28">
    <cfRule type="expression" dxfId="4385" priority="213">
      <formula>S$9&gt;=20/24</formula>
    </cfRule>
    <cfRule type="expression" dxfId="4384" priority="214">
      <formula>AND(S$9&gt;=14/24,S$9&lt;20/24)</formula>
    </cfRule>
    <cfRule type="expression" dxfId="4383" priority="215">
      <formula>AND(S$9&gt;=8/24,S$9&lt;14/24)</formula>
    </cfRule>
    <cfRule type="expression" dxfId="4382" priority="216">
      <formula>S$9&lt;8/24</formula>
    </cfRule>
  </conditionalFormatting>
  <conditionalFormatting sqref="S19:X19 S24:X24">
    <cfRule type="expression" dxfId="4381" priority="209">
      <formula>S$9&gt;=20/24</formula>
    </cfRule>
    <cfRule type="expression" dxfId="4380" priority="210">
      <formula>AND(S$9&gt;=14/24,S$9&lt;20/24)</formula>
    </cfRule>
    <cfRule type="expression" dxfId="4379" priority="211">
      <formula>AND(S$9&gt;=8/24,S$9&lt;14/24)</formula>
    </cfRule>
    <cfRule type="expression" dxfId="4378" priority="212">
      <formula>S$9&lt;8/24</formula>
    </cfRule>
  </conditionalFormatting>
  <conditionalFormatting sqref="S19:X19 S24:X24">
    <cfRule type="expression" dxfId="4377" priority="208">
      <formula>S19&gt;$AG19</formula>
    </cfRule>
  </conditionalFormatting>
  <conditionalFormatting sqref="A36">
    <cfRule type="expression" dxfId="4376" priority="207">
      <formula>$AH36=0</formula>
    </cfRule>
  </conditionalFormatting>
  <conditionalFormatting sqref="C74:AF74">
    <cfRule type="expression" dxfId="4375" priority="203">
      <formula>C$9&gt;=20/24</formula>
    </cfRule>
    <cfRule type="expression" dxfId="4374" priority="204">
      <formula>AND(C$9&gt;=14/24,C$9&lt;20/24)</formula>
    </cfRule>
    <cfRule type="expression" dxfId="4373" priority="205">
      <formula>AND(C$9&gt;=8/24,C$9&lt;14/24)</formula>
    </cfRule>
    <cfRule type="expression" dxfId="4372" priority="206">
      <formula>C$9&lt;8/24</formula>
    </cfRule>
  </conditionalFormatting>
  <conditionalFormatting sqref="C83:AF87">
    <cfRule type="expression" dxfId="4371" priority="199">
      <formula>C$9&gt;=20/24</formula>
    </cfRule>
    <cfRule type="expression" dxfId="4370" priority="200">
      <formula>AND(C$9&gt;=14/24,C$9&lt;20/24)</formula>
    </cfRule>
    <cfRule type="expression" dxfId="4369" priority="201">
      <formula>AND(C$9&gt;=8/24,C$9&lt;14/24)</formula>
    </cfRule>
    <cfRule type="expression" dxfId="4368" priority="202">
      <formula>C$9&lt;8/24</formula>
    </cfRule>
  </conditionalFormatting>
  <conditionalFormatting sqref="AL37 AL34 AL18:AL29 AL7:AL16 AL31:AL32">
    <cfRule type="iconSet" priority="383">
      <iconSet iconSet="3TrafficLights2" reverse="1">
        <cfvo type="percent" val="0"/>
        <cfvo type="num" val="1"/>
        <cfvo type="num" val="1"/>
      </iconSet>
    </cfRule>
  </conditionalFormatting>
  <conditionalFormatting sqref="C41:AF43">
    <cfRule type="expression" dxfId="4367" priority="195">
      <formula>C$9&gt;=20/24</formula>
    </cfRule>
    <cfRule type="expression" dxfId="4366" priority="196">
      <formula>AND(C$9&gt;=14/24,C$9&lt;20/24)</formula>
    </cfRule>
    <cfRule type="expression" dxfId="4365" priority="197">
      <formula>AND(C$9&gt;=8/24,C$9&lt;14/24)</formula>
    </cfRule>
    <cfRule type="expression" dxfId="4364" priority="198">
      <formula>C$9&lt;8/24</formula>
    </cfRule>
  </conditionalFormatting>
  <conditionalFormatting sqref="C41:AF43">
    <cfRule type="expression" dxfId="4363" priority="194">
      <formula>C41&gt;$AG41</formula>
    </cfRule>
  </conditionalFormatting>
  <conditionalFormatting sqref="C44:AG44">
    <cfRule type="expression" dxfId="4362" priority="190">
      <formula>C$9&gt;=20/24</formula>
    </cfRule>
    <cfRule type="expression" dxfId="4361" priority="191">
      <formula>AND(C$9&gt;=14/24,C$9&lt;20/24)</formula>
    </cfRule>
    <cfRule type="expression" dxfId="4360" priority="192">
      <formula>AND(C$9&gt;=8/24,C$9&lt;14/24)</formula>
    </cfRule>
    <cfRule type="expression" dxfId="4359" priority="193">
      <formula>C$9&lt;8/24</formula>
    </cfRule>
  </conditionalFormatting>
  <conditionalFormatting sqref="C44:AG44">
    <cfRule type="expression" dxfId="4358" priority="189">
      <formula>C44&gt;$AG44</formula>
    </cfRule>
  </conditionalFormatting>
  <conditionalFormatting sqref="C99:AF99">
    <cfRule type="expression" dxfId="4357" priority="185">
      <formula>C$9&gt;=20/24</formula>
    </cfRule>
    <cfRule type="expression" dxfId="4356" priority="186">
      <formula>AND(C$9&gt;=14/24,C$9&lt;20/24)</formula>
    </cfRule>
    <cfRule type="expression" dxfId="4355" priority="187">
      <formula>AND(C$9&gt;=8/24,C$9&lt;14/24)</formula>
    </cfRule>
    <cfRule type="expression" dxfId="4354" priority="188">
      <formula>C$9&lt;8/24</formula>
    </cfRule>
  </conditionalFormatting>
  <conditionalFormatting sqref="B37:J37">
    <cfRule type="expression" dxfId="4353" priority="60">
      <formula>B$9&gt;=20/24</formula>
    </cfRule>
    <cfRule type="expression" dxfId="4352" priority="61">
      <formula>AND(B$9&gt;=14/24,B$9&lt;20/24)</formula>
    </cfRule>
    <cfRule type="expression" dxfId="4351" priority="62">
      <formula>AND(B$9&gt;=8/24,B$9&lt;14/24)</formula>
    </cfRule>
    <cfRule type="expression" dxfId="4350" priority="63">
      <formula>B$9&lt;8/24</formula>
    </cfRule>
  </conditionalFormatting>
  <conditionalFormatting sqref="AL33">
    <cfRule type="iconSet" priority="180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4349" priority="175">
      <formula>$AH33=0</formula>
    </cfRule>
  </conditionalFormatting>
  <conditionalFormatting sqref="A82">
    <cfRule type="expression" dxfId="4348" priority="173">
      <formula>$AH82=0</formula>
    </cfRule>
  </conditionalFormatting>
  <conditionalFormatting sqref="A79">
    <cfRule type="expression" dxfId="4347" priority="174">
      <formula>$AH79=0</formula>
    </cfRule>
  </conditionalFormatting>
  <conditionalFormatting sqref="A109">
    <cfRule type="expression" dxfId="4346" priority="164">
      <formula>$AH109=0</formula>
    </cfRule>
  </conditionalFormatting>
  <conditionalFormatting sqref="C102:AF102">
    <cfRule type="expression" dxfId="4345" priority="160">
      <formula>C$9&gt;=20/24</formula>
    </cfRule>
    <cfRule type="expression" dxfId="4344" priority="161">
      <formula>AND(C$9&gt;=14/24,C$9&lt;20/24)</formula>
    </cfRule>
    <cfRule type="expression" dxfId="4343" priority="162">
      <formula>AND(C$9&gt;=8/24,C$9&lt;14/24)</formula>
    </cfRule>
    <cfRule type="expression" dxfId="4342" priority="163">
      <formula>C$9&lt;8/24</formula>
    </cfRule>
  </conditionalFormatting>
  <conditionalFormatting sqref="A102">
    <cfRule type="expression" dxfId="4341" priority="159">
      <formula>$AH102=0</formula>
    </cfRule>
  </conditionalFormatting>
  <conditionalFormatting sqref="U52:AA56">
    <cfRule type="expression" dxfId="4340" priority="151">
      <formula>U$9&gt;=20/24</formula>
    </cfRule>
    <cfRule type="expression" dxfId="4339" priority="152">
      <formula>AND(U$9&gt;=14/24,U$9&lt;20/24)</formula>
    </cfRule>
    <cfRule type="expression" dxfId="4338" priority="153">
      <formula>AND(U$9&gt;=8/24,U$9&lt;14/24)</formula>
    </cfRule>
    <cfRule type="expression" dxfId="4337" priority="154">
      <formula>U$9&lt;8/24</formula>
    </cfRule>
  </conditionalFormatting>
  <conditionalFormatting sqref="U52:AA56">
    <cfRule type="expression" dxfId="4336" priority="150">
      <formula>U52&gt;$AG52</formula>
    </cfRule>
  </conditionalFormatting>
  <conditionalFormatting sqref="S17:AF17">
    <cfRule type="expression" dxfId="4335" priority="148">
      <formula>S17&gt;$AG17</formula>
    </cfRule>
  </conditionalFormatting>
  <conditionalFormatting sqref="A17">
    <cfRule type="expression" dxfId="4334" priority="147">
      <formula>$AH17=0</formula>
    </cfRule>
  </conditionalFormatting>
  <conditionalFormatting sqref="S17:AF17">
    <cfRule type="expression" dxfId="4333" priority="143">
      <formula>S$9&gt;=20/24</formula>
    </cfRule>
    <cfRule type="expression" dxfId="4332" priority="144">
      <formula>AND(S$9&gt;=14/24,S$9&lt;20/24)</formula>
    </cfRule>
    <cfRule type="expression" dxfId="4331" priority="145">
      <formula>AND(S$9&gt;=8/24,S$9&lt;14/24)</formula>
    </cfRule>
    <cfRule type="expression" dxfId="4330" priority="146">
      <formula>S$9&lt;8/24</formula>
    </cfRule>
  </conditionalFormatting>
  <conditionalFormatting sqref="AL17">
    <cfRule type="iconSet" priority="149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4329" priority="137">
      <formula>$AH30=0</formula>
    </cfRule>
  </conditionalFormatting>
  <conditionalFormatting sqref="Y30:AF30">
    <cfRule type="expression" dxfId="4328" priority="133">
      <formula>Y$9&gt;=20/24</formula>
    </cfRule>
    <cfRule type="expression" dxfId="4327" priority="134">
      <formula>AND(Y$9&gt;=14/24,Y$9&lt;20/24)</formula>
    </cfRule>
    <cfRule type="expression" dxfId="4326" priority="135">
      <formula>AND(Y$9&gt;=8/24,Y$9&lt;14/24)</formula>
    </cfRule>
    <cfRule type="expression" dxfId="4325" priority="136">
      <formula>Y$9&lt;8/24</formula>
    </cfRule>
  </conditionalFormatting>
  <conditionalFormatting sqref="Y30:AF30">
    <cfRule type="expression" dxfId="4324" priority="132">
      <formula>Y30&gt;$AG30</formula>
    </cfRule>
  </conditionalFormatting>
  <conditionalFormatting sqref="S30:X30">
    <cfRule type="expression" dxfId="4323" priority="128">
      <formula>S$9&gt;=20/24</formula>
    </cfRule>
    <cfRule type="expression" dxfId="4322" priority="129">
      <formula>AND(S$9&gt;=14/24,S$9&lt;20/24)</formula>
    </cfRule>
    <cfRule type="expression" dxfId="4321" priority="130">
      <formula>AND(S$9&gt;=8/24,S$9&lt;14/24)</formula>
    </cfRule>
    <cfRule type="expression" dxfId="4320" priority="131">
      <formula>S$9&lt;8/24</formula>
    </cfRule>
  </conditionalFormatting>
  <conditionalFormatting sqref="S30:X30">
    <cfRule type="expression" dxfId="4319" priority="127">
      <formula>S30&gt;$AG30</formula>
    </cfRule>
  </conditionalFormatting>
  <conditionalFormatting sqref="M48:R49">
    <cfRule type="expression" dxfId="4318" priority="2">
      <formula>M$9&gt;=20/24</formula>
    </cfRule>
    <cfRule type="expression" dxfId="4317" priority="3">
      <formula>AND(M$9&gt;=14/24,M$9&lt;20/24)</formula>
    </cfRule>
    <cfRule type="expression" dxfId="4316" priority="4">
      <formula>AND(M$9&gt;=8/24,M$9&lt;14/24)</formula>
    </cfRule>
    <cfRule type="expression" dxfId="4315" priority="5">
      <formula>M$9&lt;8/24</formula>
    </cfRule>
  </conditionalFormatting>
  <conditionalFormatting sqref="M48:R49">
    <cfRule type="expression" dxfId="4314" priority="1">
      <formula>M48&gt;$AG48</formula>
    </cfRule>
  </conditionalFormatting>
  <conditionalFormatting sqref="AL30">
    <cfRule type="iconSet" priority="138">
      <iconSet iconSet="3TrafficLights2" reverse="1">
        <cfvo type="percent" val="0"/>
        <cfvo type="num" val="1"/>
        <cfvo type="num" val="1"/>
      </iconSet>
    </cfRule>
  </conditionalFormatting>
  <conditionalFormatting sqref="B101 B103:B108 B11:H11 B16:R16 B20:R21 B23:R23 B22:X22">
    <cfRule type="expression" dxfId="4313" priority="118">
      <formula>B$9&gt;=20/24</formula>
    </cfRule>
    <cfRule type="expression" dxfId="4312" priority="119">
      <formula>AND(B$9&gt;=14/24,B$9&lt;20/24)</formula>
    </cfRule>
    <cfRule type="expression" dxfId="4311" priority="120">
      <formula>AND(B$9&gt;=8/24,B$9&lt;14/24)</formula>
    </cfRule>
    <cfRule type="expression" dxfId="4310" priority="121">
      <formula>B$9&lt;8/24</formula>
    </cfRule>
  </conditionalFormatting>
  <conditionalFormatting sqref="B39">
    <cfRule type="expression" dxfId="4309" priority="114">
      <formula>B$9&gt;=20/24</formula>
    </cfRule>
    <cfRule type="expression" dxfId="4308" priority="115">
      <formula>AND(B$9&gt;=14/24,B$9&lt;20/24)</formula>
    </cfRule>
    <cfRule type="expression" dxfId="4307" priority="116">
      <formula>AND(B$9&gt;=8/24,B$9&lt;14/24)</formula>
    </cfRule>
    <cfRule type="expression" dxfId="4306" priority="117">
      <formula>B$9&lt;8/24</formula>
    </cfRule>
  </conditionalFormatting>
  <conditionalFormatting sqref="B39 B11:H16 B37:J37 I12:R16 B18:R18 B20:R21 B23:R23 B22:X22">
    <cfRule type="expression" dxfId="4305" priority="113">
      <formula>B11&gt;$AG11</formula>
    </cfRule>
  </conditionalFormatting>
  <conditionalFormatting sqref="B91">
    <cfRule type="expression" dxfId="4304" priority="109">
      <formula>B$9&gt;=20/24</formula>
    </cfRule>
    <cfRule type="expression" dxfId="4303" priority="110">
      <formula>AND(B$9&gt;=14/24,B$9&lt;20/24)</formula>
    </cfRule>
    <cfRule type="expression" dxfId="4302" priority="111">
      <formula>AND(B$9&gt;=8/24,B$9&lt;14/24)</formula>
    </cfRule>
    <cfRule type="expression" dxfId="4301" priority="112">
      <formula>B$9&lt;8/24</formula>
    </cfRule>
  </conditionalFormatting>
  <conditionalFormatting sqref="B46:B47 B63 B38">
    <cfRule type="expression" dxfId="4300" priority="105">
      <formula>B$9&gt;=20/24</formula>
    </cfRule>
    <cfRule type="expression" dxfId="4299" priority="106">
      <formula>AND(B$9&gt;=14/24,B$9&lt;20/24)</formula>
    </cfRule>
    <cfRule type="expression" dxfId="4298" priority="107">
      <formula>AND(B$9&gt;=8/24,B$9&lt;14/24)</formula>
    </cfRule>
    <cfRule type="expression" dxfId="4297" priority="108">
      <formula>B$9&lt;8/24</formula>
    </cfRule>
  </conditionalFormatting>
  <conditionalFormatting sqref="B45">
    <cfRule type="expression" dxfId="4296" priority="101">
      <formula>B$9&gt;=20/24</formula>
    </cfRule>
    <cfRule type="expression" dxfId="4295" priority="102">
      <formula>AND(B$9&gt;=14/24,B$9&lt;20/24)</formula>
    </cfRule>
    <cfRule type="expression" dxfId="4294" priority="103">
      <formula>AND(B$9&gt;=8/24,B$9&lt;14/24)</formula>
    </cfRule>
    <cfRule type="expression" dxfId="4293" priority="104">
      <formula>B$9&lt;8/24</formula>
    </cfRule>
  </conditionalFormatting>
  <conditionalFormatting sqref="B45:B47 B38">
    <cfRule type="expression" dxfId="4292" priority="100">
      <formula>B38&gt;$AG38</formula>
    </cfRule>
  </conditionalFormatting>
  <conditionalFormatting sqref="B88 B75:B78 B64:B73 B59:B61 B92:B98 B12:R14 B18:R18 B25:R27 B29:R29 B31:R33">
    <cfRule type="expression" dxfId="4291" priority="96">
      <formula>B$9&gt;=20/24</formula>
    </cfRule>
    <cfRule type="expression" dxfId="4290" priority="97">
      <formula>AND(B$9&gt;=14/24,B$9&lt;20/24)</formula>
    </cfRule>
    <cfRule type="expression" dxfId="4289" priority="98">
      <formula>AND(B$9&gt;=8/24,B$9&lt;14/24)</formula>
    </cfRule>
    <cfRule type="expression" dxfId="4288" priority="99">
      <formula>B$9&lt;8/24</formula>
    </cfRule>
  </conditionalFormatting>
  <conditionalFormatting sqref="B48:B49 B57 B59:B61 B25:R29 B31:R33">
    <cfRule type="expression" dxfId="4287" priority="95">
      <formula>B25&gt;$AG25</formula>
    </cfRule>
  </conditionalFormatting>
  <conditionalFormatting sqref="B15:R15">
    <cfRule type="expression" dxfId="4286" priority="91">
      <formula>B$9&gt;=20/24</formula>
    </cfRule>
    <cfRule type="expression" dxfId="4285" priority="92">
      <formula>AND(B$9&gt;=14/24,B$9&lt;20/24)</formula>
    </cfRule>
    <cfRule type="expression" dxfId="4284" priority="93">
      <formula>AND(B$9&gt;=8/24,B$9&lt;14/24)</formula>
    </cfRule>
    <cfRule type="expression" dxfId="4283" priority="94">
      <formula>B$9&lt;8/24</formula>
    </cfRule>
  </conditionalFormatting>
  <conditionalFormatting sqref="B50:B56">
    <cfRule type="expression" dxfId="4282" priority="87">
      <formula>B$9&gt;=20/24</formula>
    </cfRule>
    <cfRule type="expression" dxfId="4281" priority="88">
      <formula>AND(B$9&gt;=14/24,B$9&lt;20/24)</formula>
    </cfRule>
    <cfRule type="expression" dxfId="4280" priority="89">
      <formula>AND(B$9&gt;=8/24,B$9&lt;14/24)</formula>
    </cfRule>
    <cfRule type="expression" dxfId="4279" priority="90">
      <formula>B$9&lt;8/24</formula>
    </cfRule>
  </conditionalFormatting>
  <conditionalFormatting sqref="B50:B56">
    <cfRule type="expression" dxfId="4278" priority="86">
      <formula>B50&gt;$AG50</formula>
    </cfRule>
  </conditionalFormatting>
  <conditionalFormatting sqref="B28:R28">
    <cfRule type="expression" dxfId="4277" priority="82">
      <formula>B$9&gt;=20/24</formula>
    </cfRule>
    <cfRule type="expression" dxfId="4276" priority="83">
      <formula>AND(B$9&gt;=14/24,B$9&lt;20/24)</formula>
    </cfRule>
    <cfRule type="expression" dxfId="4275" priority="84">
      <formula>AND(B$9&gt;=8/24,B$9&lt;14/24)</formula>
    </cfRule>
    <cfRule type="expression" dxfId="4274" priority="85">
      <formula>B$9&lt;8/24</formula>
    </cfRule>
  </conditionalFormatting>
  <conditionalFormatting sqref="B19:R19 B24:R24">
    <cfRule type="expression" dxfId="4273" priority="78">
      <formula>B$9&gt;=20/24</formula>
    </cfRule>
    <cfRule type="expression" dxfId="4272" priority="79">
      <formula>AND(B$9&gt;=14/24,B$9&lt;20/24)</formula>
    </cfRule>
    <cfRule type="expression" dxfId="4271" priority="80">
      <formula>AND(B$9&gt;=8/24,B$9&lt;14/24)</formula>
    </cfRule>
    <cfRule type="expression" dxfId="4270" priority="81">
      <formula>B$9&lt;8/24</formula>
    </cfRule>
  </conditionalFormatting>
  <conditionalFormatting sqref="B19:R19 B24:R24">
    <cfRule type="expression" dxfId="4269" priority="77">
      <formula>B19&gt;$AG19</formula>
    </cfRule>
  </conditionalFormatting>
  <conditionalFormatting sqref="B80 B89">
    <cfRule type="expression" dxfId="4268" priority="73">
      <formula>B$9&gt;=20/24</formula>
    </cfRule>
    <cfRule type="expression" dxfId="4267" priority="74">
      <formula>AND(B$9&gt;=14/24,B$9&lt;20/24)</formula>
    </cfRule>
    <cfRule type="expression" dxfId="4266" priority="75">
      <formula>AND(B$9&gt;=8/24,B$9&lt;14/24)</formula>
    </cfRule>
    <cfRule type="expression" dxfId="4265" priority="76">
      <formula>B$9&lt;8/24</formula>
    </cfRule>
  </conditionalFormatting>
  <conditionalFormatting sqref="B81 B62 B79 B90 B34:R34">
    <cfRule type="expression" dxfId="4264" priority="69">
      <formula>B$9&gt;=20/24</formula>
    </cfRule>
    <cfRule type="expression" dxfId="4263" priority="70">
      <formula>AND(B$9&gt;=14/24,B$9&lt;20/24)</formula>
    </cfRule>
    <cfRule type="expression" dxfId="4262" priority="71">
      <formula>AND(B$9&gt;=8/24,B$9&lt;14/24)</formula>
    </cfRule>
    <cfRule type="expression" dxfId="4261" priority="72">
      <formula>B$9&lt;8/24</formula>
    </cfRule>
  </conditionalFormatting>
  <conditionalFormatting sqref="B35:R35">
    <cfRule type="expression" dxfId="4260" priority="65">
      <formula>B$9&gt;=20/24</formula>
    </cfRule>
    <cfRule type="expression" dxfId="4259" priority="66">
      <formula>AND(B$9&gt;=14/24,B$9&lt;20/24)</formula>
    </cfRule>
    <cfRule type="expression" dxfId="4258" priority="67">
      <formula>AND(B$9&gt;=8/24,B$9&lt;14/24)</formula>
    </cfRule>
    <cfRule type="expression" dxfId="4257" priority="68">
      <formula>B$9&lt;8/24</formula>
    </cfRule>
  </conditionalFormatting>
  <conditionalFormatting sqref="B58 B62 B40 B34:R35">
    <cfRule type="expression" dxfId="4256" priority="64">
      <formula>B34&gt;$AG34</formula>
    </cfRule>
  </conditionalFormatting>
  <conditionalFormatting sqref="B36:R36">
    <cfRule type="expression" dxfId="4255" priority="56">
      <formula>B$9&gt;=20/24</formula>
    </cfRule>
    <cfRule type="expression" dxfId="4254" priority="57">
      <formula>AND(B$9&gt;=14/24,B$9&lt;20/24)</formula>
    </cfRule>
    <cfRule type="expression" dxfId="4253" priority="58">
      <formula>AND(B$9&gt;=8/24,B$9&lt;14/24)</formula>
    </cfRule>
    <cfRule type="expression" dxfId="4252" priority="59">
      <formula>B$9&lt;8/24</formula>
    </cfRule>
  </conditionalFormatting>
  <conditionalFormatting sqref="B36:R36">
    <cfRule type="expression" dxfId="4251" priority="55">
      <formula>B36&gt;$AG36</formula>
    </cfRule>
  </conditionalFormatting>
  <conditionalFormatting sqref="B74">
    <cfRule type="expression" dxfId="4250" priority="51">
      <formula>B$9&gt;=20/24</formula>
    </cfRule>
    <cfRule type="expression" dxfId="4249" priority="52">
      <formula>AND(B$9&gt;=14/24,B$9&lt;20/24)</formula>
    </cfRule>
    <cfRule type="expression" dxfId="4248" priority="53">
      <formula>AND(B$9&gt;=8/24,B$9&lt;14/24)</formula>
    </cfRule>
    <cfRule type="expression" dxfId="4247" priority="54">
      <formula>B$9&lt;8/24</formula>
    </cfRule>
  </conditionalFormatting>
  <conditionalFormatting sqref="B83:B87">
    <cfRule type="expression" dxfId="4246" priority="47">
      <formula>B$9&gt;=20/24</formula>
    </cfRule>
    <cfRule type="expression" dxfId="4245" priority="48">
      <formula>AND(B$9&gt;=14/24,B$9&lt;20/24)</formula>
    </cfRule>
    <cfRule type="expression" dxfId="4244" priority="49">
      <formula>AND(B$9&gt;=8/24,B$9&lt;14/24)</formula>
    </cfRule>
    <cfRule type="expression" dxfId="4243" priority="50">
      <formula>B$9&lt;8/24</formula>
    </cfRule>
  </conditionalFormatting>
  <conditionalFormatting sqref="B41:B43">
    <cfRule type="expression" dxfId="4242" priority="43">
      <formula>B$9&gt;=20/24</formula>
    </cfRule>
    <cfRule type="expression" dxfId="4241" priority="44">
      <formula>AND(B$9&gt;=14/24,B$9&lt;20/24)</formula>
    </cfRule>
    <cfRule type="expression" dxfId="4240" priority="45">
      <formula>AND(B$9&gt;=8/24,B$9&lt;14/24)</formula>
    </cfRule>
    <cfRule type="expression" dxfId="4239" priority="46">
      <formula>B$9&lt;8/24</formula>
    </cfRule>
  </conditionalFormatting>
  <conditionalFormatting sqref="B41:B43">
    <cfRule type="expression" dxfId="4238" priority="42">
      <formula>B41&gt;$AG41</formula>
    </cfRule>
  </conditionalFormatting>
  <conditionalFormatting sqref="B44">
    <cfRule type="expression" dxfId="4237" priority="38">
      <formula>B$9&gt;=20/24</formula>
    </cfRule>
    <cfRule type="expression" dxfId="4236" priority="39">
      <formula>AND(B$9&gt;=14/24,B$9&lt;20/24)</formula>
    </cfRule>
    <cfRule type="expression" dxfId="4235" priority="40">
      <formula>AND(B$9&gt;=8/24,B$9&lt;14/24)</formula>
    </cfRule>
    <cfRule type="expression" dxfId="4234" priority="41">
      <formula>B$9&lt;8/24</formula>
    </cfRule>
  </conditionalFormatting>
  <conditionalFormatting sqref="B44">
    <cfRule type="expression" dxfId="4233" priority="37">
      <formula>B44&gt;$AG44</formula>
    </cfRule>
  </conditionalFormatting>
  <conditionalFormatting sqref="B99">
    <cfRule type="expression" dxfId="4232" priority="33">
      <formula>B$9&gt;=20/24</formula>
    </cfRule>
    <cfRule type="expression" dxfId="4231" priority="34">
      <formula>AND(B$9&gt;=14/24,B$9&lt;20/24)</formula>
    </cfRule>
    <cfRule type="expression" dxfId="4230" priority="35">
      <formula>AND(B$9&gt;=8/24,B$9&lt;14/24)</formula>
    </cfRule>
    <cfRule type="expression" dxfId="4229" priority="36">
      <formula>B$9&lt;8/24</formula>
    </cfRule>
  </conditionalFormatting>
  <conditionalFormatting sqref="B102">
    <cfRule type="expression" dxfId="4228" priority="21">
      <formula>B$9&gt;=20/24</formula>
    </cfRule>
    <cfRule type="expression" dxfId="4227" priority="22">
      <formula>AND(B$9&gt;=14/24,B$9&lt;20/24)</formula>
    </cfRule>
    <cfRule type="expression" dxfId="4226" priority="23">
      <formula>AND(B$9&gt;=8/24,B$9&lt;14/24)</formula>
    </cfRule>
    <cfRule type="expression" dxfId="4225" priority="24">
      <formula>B$9&lt;8/24</formula>
    </cfRule>
  </conditionalFormatting>
  <conditionalFormatting sqref="B17:R17">
    <cfRule type="expression" dxfId="4224" priority="20">
      <formula>B17&gt;$AG17</formula>
    </cfRule>
  </conditionalFormatting>
  <conditionalFormatting sqref="B17:R17">
    <cfRule type="expression" dxfId="4223" priority="16">
      <formula>B$9&gt;=20/24</formula>
    </cfRule>
    <cfRule type="expression" dxfId="4222" priority="17">
      <formula>AND(B$9&gt;=14/24,B$9&lt;20/24)</formula>
    </cfRule>
    <cfRule type="expression" dxfId="4221" priority="18">
      <formula>AND(B$9&gt;=8/24,B$9&lt;14/24)</formula>
    </cfRule>
    <cfRule type="expression" dxfId="4220" priority="19">
      <formula>B$9&lt;8/24</formula>
    </cfRule>
  </conditionalFormatting>
  <conditionalFormatting sqref="B30:R30">
    <cfRule type="expression" dxfId="4219" priority="12">
      <formula>B$9&gt;=20/24</formula>
    </cfRule>
    <cfRule type="expression" dxfId="4218" priority="13">
      <formula>AND(B$9&gt;=14/24,B$9&lt;20/24)</formula>
    </cfRule>
    <cfRule type="expression" dxfId="4217" priority="14">
      <formula>AND(B$9&gt;=8/24,B$9&lt;14/24)</formula>
    </cfRule>
    <cfRule type="expression" dxfId="4216" priority="15">
      <formula>B$9&lt;8/24</formula>
    </cfRule>
  </conditionalFormatting>
  <conditionalFormatting sqref="B30:R30">
    <cfRule type="expression" dxfId="4215" priority="11">
      <formula>B30&gt;$AG30</formula>
    </cfRule>
  </conditionalFormatting>
  <conditionalFormatting sqref="AJ7">
    <cfRule type="expression" dxfId="4214" priority="7">
      <formula>AJ$9&gt;=20/24</formula>
    </cfRule>
    <cfRule type="expression" dxfId="4213" priority="8">
      <formula>AND(AJ$9&gt;=14/24,AJ$9&lt;20/24)</formula>
    </cfRule>
    <cfRule type="expression" dxfId="4212" priority="9">
      <formula>AND(AJ$9&gt;=8/24,AJ$9&lt;14/24)</formula>
    </cfRule>
    <cfRule type="expression" dxfId="4211" priority="10">
      <formula>AJ$9&lt;8/24</formula>
    </cfRule>
  </conditionalFormatting>
  <conditionalFormatting sqref="AJ7">
    <cfRule type="expression" dxfId="4210" priority="6">
      <formula>AJ7&gt;$AG7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6" id="{0A84BC50-D160-42D1-9447-DB4AAFB439E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7" id="{7127EC1D-2201-4570-BE68-2D853992C54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8" id="{0F6CE75C-37B8-4A95-862E-506D0FE83BF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9" id="{EBC6038E-A0DD-4433-8B15-946E78B96909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C82:AF82</xm:sqref>
        </x14:conditionalFormatting>
        <x14:conditionalFormatting xmlns:xm="http://schemas.microsoft.com/office/excel/2006/main">
          <x14:cfRule type="expression" priority="169" id="{35195D49-49CF-49AB-9493-924160305FA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70" id="{EBCBE78F-D701-467D-A060-11BD945795D9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1" id="{0828B879-AED5-4EA8-AAE9-71EA7EBB4D90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72" id="{D1F98F36-FE77-4499-B439-505A18372CE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29" id="{F32FBD18-2828-4969-B210-7B1F8BEE6BA3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30" id="{1454DDAE-DE52-4949-A3DF-8AEA91A41D8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31" id="{30928B22-BFCC-4306-AF93-80ABB2C154A9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32" id="{878F0F82-69C0-470C-9380-5004AE279DC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</xm:sqref>
        </x14:conditionalFormatting>
        <x14:conditionalFormatting xmlns:xm="http://schemas.microsoft.com/office/excel/2006/main">
          <x14:cfRule type="expression" priority="25" id="{51159C72-414B-47D3-AAD8-D89B088945FC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6" id="{DA8ABEBA-C1A1-4BFC-AF2F-E69222887A0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7" id="{3A5ABAD3-F24D-472D-9B9B-65349FF1750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8" id="{D2CA5DFE-29B7-460A-9A34-C426712AB65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J7" sqref="AJ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25.5703125" style="1" bestFit="1" customWidth="1"/>
    <col min="37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2079/06/21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10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0</v>
      </c>
      <c r="X5" s="148">
        <f t="shared" si="0"/>
        <v>0</v>
      </c>
      <c r="Y5" s="148">
        <f t="shared" si="0"/>
        <v>43.5</v>
      </c>
      <c r="Z5" s="148">
        <f t="shared" si="0"/>
        <v>44.6</v>
      </c>
      <c r="AA5" s="148">
        <f t="shared" si="0"/>
        <v>0</v>
      </c>
      <c r="AB5" s="148">
        <f t="shared" si="0"/>
        <v>0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B74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1334MW at 9:00hr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Load=1212</v>
      </c>
      <c r="B7" s="137">
        <f t="shared" ref="B7:AF7" si="1">B81</f>
        <v>1340.04</v>
      </c>
      <c r="C7" s="137">
        <f t="shared" si="1"/>
        <v>1254.04</v>
      </c>
      <c r="D7" s="137">
        <f t="shared" si="1"/>
        <v>1232.8399999999999</v>
      </c>
      <c r="E7" s="137">
        <f t="shared" si="1"/>
        <v>1234.44</v>
      </c>
      <c r="F7" s="137">
        <f t="shared" si="1"/>
        <v>1226.6399999999999</v>
      </c>
      <c r="G7" s="137">
        <f t="shared" si="1"/>
        <v>1228.6399999999999</v>
      </c>
      <c r="H7" s="137">
        <f t="shared" si="1"/>
        <v>1214.3399999999999</v>
      </c>
      <c r="I7" s="137">
        <f t="shared" si="1"/>
        <v>1229.3399999999999</v>
      </c>
      <c r="J7" s="137">
        <f t="shared" si="1"/>
        <v>1228.3399999999999</v>
      </c>
      <c r="K7" s="137">
        <f t="shared" si="1"/>
        <v>1212.3399999999999</v>
      </c>
      <c r="L7" s="137">
        <f t="shared" si="1"/>
        <v>1232.3399999999999</v>
      </c>
      <c r="M7" s="137">
        <f t="shared" si="1"/>
        <v>1316.54</v>
      </c>
      <c r="N7" s="137">
        <f t="shared" si="1"/>
        <v>1333.54</v>
      </c>
      <c r="O7" s="137">
        <f t="shared" si="1"/>
        <v>1283.54</v>
      </c>
      <c r="P7" s="137">
        <f t="shared" si="1"/>
        <v>1370.54</v>
      </c>
      <c r="Q7" s="137">
        <f t="shared" si="1"/>
        <v>1350.34</v>
      </c>
      <c r="R7" s="137">
        <f t="shared" si="1"/>
        <v>1354.44</v>
      </c>
      <c r="S7" s="137">
        <f t="shared" si="1"/>
        <v>1337.34</v>
      </c>
      <c r="T7" s="137">
        <f t="shared" si="1"/>
        <v>1339.44</v>
      </c>
      <c r="U7" s="137">
        <f t="shared" si="1"/>
        <v>1325.24</v>
      </c>
      <c r="V7" s="137">
        <f t="shared" si="1"/>
        <v>1375.9399999999998</v>
      </c>
      <c r="W7" s="137">
        <f t="shared" si="1"/>
        <v>1385.04</v>
      </c>
      <c r="X7" s="137">
        <f t="shared" si="1"/>
        <v>1494.3400000000001</v>
      </c>
      <c r="Y7" s="137">
        <f t="shared" si="1"/>
        <v>1522.3400000000001</v>
      </c>
      <c r="Z7" s="137">
        <f t="shared" si="1"/>
        <v>1501.04</v>
      </c>
      <c r="AA7" s="137">
        <f t="shared" si="1"/>
        <v>1527.1399999999999</v>
      </c>
      <c r="AB7" s="137">
        <f t="shared" si="1"/>
        <v>1465.84</v>
      </c>
      <c r="AC7" s="137">
        <f t="shared" si="1"/>
        <v>1450.04</v>
      </c>
      <c r="AD7" s="137">
        <f t="shared" si="1"/>
        <v>1438.04</v>
      </c>
      <c r="AE7" s="137">
        <f t="shared" si="1"/>
        <v>1393.14</v>
      </c>
      <c r="AF7" s="137">
        <f t="shared" si="1"/>
        <v>1334.34</v>
      </c>
      <c r="AG7" s="136"/>
      <c r="AI7" s="135"/>
      <c r="AJ7" s="141">
        <f>(1700*24-(B7+C7+D7+E7+F7+G7+I7+K7+M7+N7+O7+P7+Q7+R7+S7+T7+U7+V7+X7+Z7+AB7+AD7+AE7+AF7))</f>
        <v>8828.0399999999972</v>
      </c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30.8</v>
      </c>
      <c r="C11" s="105">
        <v>30.8</v>
      </c>
      <c r="D11" s="105">
        <v>30.8</v>
      </c>
      <c r="E11" s="105">
        <v>26.7</v>
      </c>
      <c r="F11" s="105">
        <v>26.7</v>
      </c>
      <c r="G11" s="105">
        <v>26.7</v>
      </c>
      <c r="H11" s="105">
        <v>26.7</v>
      </c>
      <c r="I11" s="105">
        <v>26.7</v>
      </c>
      <c r="J11" s="105">
        <v>26.7</v>
      </c>
      <c r="K11" s="105">
        <v>26.7</v>
      </c>
      <c r="L11" s="105">
        <v>26.7</v>
      </c>
      <c r="M11" s="105">
        <v>26.7</v>
      </c>
      <c r="N11" s="105">
        <v>26.7</v>
      </c>
      <c r="O11" s="105">
        <v>26.7</v>
      </c>
      <c r="P11" s="105">
        <v>26.6</v>
      </c>
      <c r="Q11" s="105">
        <v>26.6</v>
      </c>
      <c r="R11" s="105">
        <v>26.6</v>
      </c>
      <c r="S11" s="105">
        <v>26.7</v>
      </c>
      <c r="T11" s="105">
        <v>26.7</v>
      </c>
      <c r="U11" s="128">
        <v>0</v>
      </c>
      <c r="V11" s="128">
        <v>0</v>
      </c>
      <c r="W11" s="128">
        <v>0</v>
      </c>
      <c r="X11" s="128">
        <v>25</v>
      </c>
      <c r="Y11" s="128">
        <v>53</v>
      </c>
      <c r="Z11" s="128">
        <v>53</v>
      </c>
      <c r="AA11" s="128">
        <v>53</v>
      </c>
      <c r="AB11" s="128">
        <v>40</v>
      </c>
      <c r="AC11" s="128">
        <v>40</v>
      </c>
      <c r="AD11" s="128">
        <v>40</v>
      </c>
      <c r="AE11" s="128">
        <v>40</v>
      </c>
      <c r="AF11" s="128">
        <v>41.1</v>
      </c>
      <c r="AG11" s="127">
        <v>52.4</v>
      </c>
      <c r="AH11" s="20">
        <f>MAX(B11:AF11)</f>
        <v>53</v>
      </c>
      <c r="AI11" s="19">
        <f>MIN(B11:AF11)</f>
        <v>0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50.4</v>
      </c>
      <c r="C12" s="105">
        <v>50.4</v>
      </c>
      <c r="D12" s="105">
        <v>50.4</v>
      </c>
      <c r="E12" s="105">
        <v>50.4</v>
      </c>
      <c r="F12" s="105">
        <v>50.4</v>
      </c>
      <c r="G12" s="105">
        <v>50.4</v>
      </c>
      <c r="H12" s="105">
        <v>50.4</v>
      </c>
      <c r="I12" s="105">
        <v>50.4</v>
      </c>
      <c r="J12" s="105">
        <v>50.4</v>
      </c>
      <c r="K12" s="105">
        <v>50.4</v>
      </c>
      <c r="L12" s="105">
        <v>50.4</v>
      </c>
      <c r="M12" s="105">
        <v>50.4</v>
      </c>
      <c r="N12" s="105">
        <v>50.4</v>
      </c>
      <c r="O12" s="105">
        <v>50.4</v>
      </c>
      <c r="P12" s="105">
        <v>50.1</v>
      </c>
      <c r="Q12" s="105">
        <v>50.1</v>
      </c>
      <c r="R12" s="105">
        <v>50.1</v>
      </c>
      <c r="S12" s="105">
        <v>50.2</v>
      </c>
      <c r="T12" s="105">
        <v>50.2</v>
      </c>
      <c r="U12" s="105">
        <v>50.3</v>
      </c>
      <c r="V12" s="105">
        <v>50.4</v>
      </c>
      <c r="W12" s="105">
        <v>50.6</v>
      </c>
      <c r="X12" s="105">
        <v>50.6</v>
      </c>
      <c r="Y12" s="105">
        <v>50.6</v>
      </c>
      <c r="Z12" s="105">
        <v>50.6</v>
      </c>
      <c r="AA12" s="105">
        <v>50.6</v>
      </c>
      <c r="AB12" s="105">
        <v>50.6</v>
      </c>
      <c r="AC12" s="105">
        <v>50.6</v>
      </c>
      <c r="AD12" s="105">
        <v>50.6</v>
      </c>
      <c r="AE12" s="105">
        <v>50.3</v>
      </c>
      <c r="AF12" s="105">
        <v>50.4</v>
      </c>
      <c r="AG12" s="126">
        <v>50</v>
      </c>
      <c r="AH12" s="20">
        <f t="shared" ref="AH12:AH75" si="2">MAX(B12:AF12)</f>
        <v>50.6</v>
      </c>
      <c r="AI12" s="19">
        <f t="shared" ref="AI12:AI75" si="3">MIN(B12:AF12)</f>
        <v>50.1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31</v>
      </c>
      <c r="C13" s="105">
        <v>31</v>
      </c>
      <c r="D13" s="105">
        <v>31</v>
      </c>
      <c r="E13" s="105">
        <v>31</v>
      </c>
      <c r="F13" s="105">
        <v>31.2</v>
      </c>
      <c r="G13" s="105">
        <v>31.2</v>
      </c>
      <c r="H13" s="105">
        <v>31.2</v>
      </c>
      <c r="I13" s="105">
        <v>31.2</v>
      </c>
      <c r="J13" s="105">
        <v>31.2</v>
      </c>
      <c r="K13" s="105">
        <v>31.2</v>
      </c>
      <c r="L13" s="105">
        <v>31.2</v>
      </c>
      <c r="M13" s="105">
        <v>31.2</v>
      </c>
      <c r="N13" s="105">
        <v>31.2</v>
      </c>
      <c r="O13" s="105">
        <v>31.2</v>
      </c>
      <c r="P13" s="105">
        <v>31.1</v>
      </c>
      <c r="Q13" s="105">
        <v>31.1</v>
      </c>
      <c r="R13" s="105">
        <v>31.1</v>
      </c>
      <c r="S13" s="105">
        <v>38.299999999999997</v>
      </c>
      <c r="T13" s="105">
        <v>38.299999999999997</v>
      </c>
      <c r="U13" s="105">
        <v>0</v>
      </c>
      <c r="V13" s="105">
        <v>15</v>
      </c>
      <c r="W13" s="105">
        <v>15.6</v>
      </c>
      <c r="X13" s="105">
        <v>46.1</v>
      </c>
      <c r="Y13" s="105">
        <v>46.1</v>
      </c>
      <c r="Z13" s="105">
        <v>46.1</v>
      </c>
      <c r="AA13" s="105">
        <v>46.1</v>
      </c>
      <c r="AB13" s="105">
        <v>46.1</v>
      </c>
      <c r="AC13" s="105">
        <v>46.1</v>
      </c>
      <c r="AD13" s="105">
        <v>46.1</v>
      </c>
      <c r="AE13" s="105">
        <v>0</v>
      </c>
      <c r="AF13" s="105">
        <v>0</v>
      </c>
      <c r="AG13" s="126">
        <v>45</v>
      </c>
      <c r="AH13" s="20">
        <f t="shared" si="2"/>
        <v>46.1</v>
      </c>
      <c r="AI13" s="19">
        <f t="shared" si="3"/>
        <v>0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25</v>
      </c>
      <c r="C14" s="105">
        <v>25</v>
      </c>
      <c r="D14" s="105">
        <v>25</v>
      </c>
      <c r="E14" s="105">
        <v>28</v>
      </c>
      <c r="F14" s="105">
        <v>20</v>
      </c>
      <c r="G14" s="105">
        <v>20</v>
      </c>
      <c r="H14" s="105">
        <v>20</v>
      </c>
      <c r="I14" s="105">
        <v>20</v>
      </c>
      <c r="J14" s="105">
        <v>20</v>
      </c>
      <c r="K14" s="105">
        <v>20</v>
      </c>
      <c r="L14" s="105">
        <v>20</v>
      </c>
      <c r="M14" s="105">
        <v>20</v>
      </c>
      <c r="N14" s="105">
        <v>20</v>
      </c>
      <c r="O14" s="105">
        <v>20</v>
      </c>
      <c r="P14" s="105">
        <v>20</v>
      </c>
      <c r="Q14" s="105">
        <v>20</v>
      </c>
      <c r="R14" s="105">
        <v>0</v>
      </c>
      <c r="S14" s="105">
        <v>20</v>
      </c>
      <c r="T14" s="105">
        <v>20</v>
      </c>
      <c r="U14" s="105">
        <v>22</v>
      </c>
      <c r="V14" s="105">
        <v>22</v>
      </c>
      <c r="W14" s="105">
        <v>22</v>
      </c>
      <c r="X14" s="105">
        <v>22</v>
      </c>
      <c r="Y14" s="105">
        <v>22</v>
      </c>
      <c r="Z14" s="105">
        <v>0</v>
      </c>
      <c r="AA14" s="105">
        <v>18</v>
      </c>
      <c r="AB14" s="105">
        <v>28</v>
      </c>
      <c r="AC14" s="105">
        <v>28</v>
      </c>
      <c r="AD14" s="105">
        <v>0</v>
      </c>
      <c r="AE14" s="105">
        <v>24</v>
      </c>
      <c r="AF14" s="105">
        <v>24</v>
      </c>
      <c r="AG14" s="126">
        <v>42</v>
      </c>
      <c r="AH14" s="20">
        <f t="shared" si="2"/>
        <v>28</v>
      </c>
      <c r="AI14" s="19">
        <f t="shared" si="3"/>
        <v>0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0</v>
      </c>
      <c r="N15" s="105">
        <v>0</v>
      </c>
      <c r="O15" s="105">
        <v>0</v>
      </c>
      <c r="P15" s="105">
        <v>0</v>
      </c>
      <c r="Q15" s="105">
        <v>0</v>
      </c>
      <c r="R15" s="105">
        <v>0</v>
      </c>
      <c r="S15" s="105">
        <v>0</v>
      </c>
      <c r="T15" s="105">
        <v>0</v>
      </c>
      <c r="U15" s="105">
        <v>0</v>
      </c>
      <c r="V15" s="105">
        <v>0</v>
      </c>
      <c r="W15" s="105">
        <v>0</v>
      </c>
      <c r="X15" s="105">
        <v>25</v>
      </c>
      <c r="Y15" s="105">
        <v>25</v>
      </c>
      <c r="Z15" s="105">
        <v>15.8</v>
      </c>
      <c r="AA15" s="105">
        <v>15.8</v>
      </c>
      <c r="AB15" s="105">
        <v>15.8</v>
      </c>
      <c r="AC15" s="105">
        <v>0</v>
      </c>
      <c r="AD15" s="105">
        <v>0</v>
      </c>
      <c r="AE15" s="105">
        <v>0</v>
      </c>
      <c r="AF15" s="105">
        <v>0</v>
      </c>
      <c r="AG15" s="96">
        <v>30</v>
      </c>
      <c r="AH15" s="20">
        <f t="shared" si="2"/>
        <v>25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10.5</v>
      </c>
      <c r="C16" s="105">
        <v>10.5</v>
      </c>
      <c r="D16" s="105">
        <v>10.5</v>
      </c>
      <c r="E16" s="105">
        <v>5.4</v>
      </c>
      <c r="F16" s="105">
        <v>5.4</v>
      </c>
      <c r="G16" s="105">
        <v>5.4</v>
      </c>
      <c r="H16" s="105">
        <v>5.4</v>
      </c>
      <c r="I16" s="105">
        <v>5.4</v>
      </c>
      <c r="J16" s="105">
        <v>5.4</v>
      </c>
      <c r="K16" s="105">
        <v>5.4</v>
      </c>
      <c r="L16" s="105">
        <v>5.4</v>
      </c>
      <c r="M16" s="105">
        <v>5.4</v>
      </c>
      <c r="N16" s="105">
        <v>5.4</v>
      </c>
      <c r="O16" s="105">
        <v>5.4</v>
      </c>
      <c r="P16" s="105">
        <v>5.4</v>
      </c>
      <c r="Q16" s="105">
        <v>5.4</v>
      </c>
      <c r="R16" s="105">
        <v>5.4</v>
      </c>
      <c r="S16" s="105">
        <v>5.5</v>
      </c>
      <c r="T16" s="105">
        <v>5.5</v>
      </c>
      <c r="U16" s="105">
        <v>5.5</v>
      </c>
      <c r="V16" s="105">
        <v>20</v>
      </c>
      <c r="W16" s="105">
        <v>20</v>
      </c>
      <c r="X16" s="105">
        <v>33.1</v>
      </c>
      <c r="Y16" s="105">
        <v>33.1</v>
      </c>
      <c r="Z16" s="105">
        <v>33.1</v>
      </c>
      <c r="AA16" s="105">
        <v>33.1</v>
      </c>
      <c r="AB16" s="105">
        <v>20</v>
      </c>
      <c r="AC16" s="105">
        <v>20</v>
      </c>
      <c r="AD16" s="105">
        <v>20</v>
      </c>
      <c r="AE16" s="105">
        <v>20.6</v>
      </c>
      <c r="AF16" s="105">
        <v>20.6</v>
      </c>
      <c r="AG16" s="126">
        <v>24.2</v>
      </c>
      <c r="AH16" s="20">
        <f t="shared" si="2"/>
        <v>33.1</v>
      </c>
      <c r="AI16" s="19">
        <f t="shared" si="3"/>
        <v>5.4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0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5">
        <v>0</v>
      </c>
      <c r="O17" s="105">
        <v>0</v>
      </c>
      <c r="P17" s="105">
        <v>0</v>
      </c>
      <c r="Q17" s="105">
        <v>0</v>
      </c>
      <c r="R17" s="105">
        <v>0</v>
      </c>
      <c r="S17" s="105">
        <v>0</v>
      </c>
      <c r="T17" s="105">
        <v>0</v>
      </c>
      <c r="U17" s="105">
        <v>0</v>
      </c>
      <c r="V17" s="105">
        <v>0</v>
      </c>
      <c r="W17" s="105">
        <v>0</v>
      </c>
      <c r="X17" s="105">
        <v>0</v>
      </c>
      <c r="Y17" s="105">
        <v>0</v>
      </c>
      <c r="Z17" s="105">
        <v>0</v>
      </c>
      <c r="AA17" s="105">
        <v>0</v>
      </c>
      <c r="AB17" s="105">
        <v>0</v>
      </c>
      <c r="AC17" s="105">
        <v>0</v>
      </c>
      <c r="AD17" s="105">
        <v>0</v>
      </c>
      <c r="AE17" s="105">
        <v>0</v>
      </c>
      <c r="AF17" s="105">
        <v>0</v>
      </c>
      <c r="AG17" s="96">
        <v>30</v>
      </c>
      <c r="AH17" s="20">
        <f t="shared" si="2"/>
        <v>0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20.6</v>
      </c>
      <c r="C18" s="105">
        <v>20.6</v>
      </c>
      <c r="D18" s="105">
        <v>20.6</v>
      </c>
      <c r="E18" s="105">
        <v>20.6</v>
      </c>
      <c r="F18" s="105">
        <v>20.6</v>
      </c>
      <c r="G18" s="105">
        <v>20.6</v>
      </c>
      <c r="H18" s="105">
        <v>20.6</v>
      </c>
      <c r="I18" s="105">
        <v>20.6</v>
      </c>
      <c r="J18" s="105">
        <v>20.6</v>
      </c>
      <c r="K18" s="105">
        <v>20.6</v>
      </c>
      <c r="L18" s="105">
        <v>20.6</v>
      </c>
      <c r="M18" s="105">
        <v>20.6</v>
      </c>
      <c r="N18" s="105">
        <v>20.6</v>
      </c>
      <c r="O18" s="105">
        <v>20.6</v>
      </c>
      <c r="P18" s="105">
        <v>20.5</v>
      </c>
      <c r="Q18" s="105">
        <v>20.5</v>
      </c>
      <c r="R18" s="105">
        <v>20.5</v>
      </c>
      <c r="S18" s="105">
        <v>20.6</v>
      </c>
      <c r="T18" s="105">
        <v>20.6</v>
      </c>
      <c r="U18" s="105">
        <v>20.7</v>
      </c>
      <c r="V18" s="105">
        <v>20.9</v>
      </c>
      <c r="W18" s="105">
        <v>21.1</v>
      </c>
      <c r="X18" s="105">
        <v>25.6</v>
      </c>
      <c r="Y18" s="105">
        <v>25.6</v>
      </c>
      <c r="Z18" s="105">
        <v>25.6</v>
      </c>
      <c r="AA18" s="105">
        <v>25.6</v>
      </c>
      <c r="AB18" s="105">
        <v>13</v>
      </c>
      <c r="AC18" s="105">
        <v>13</v>
      </c>
      <c r="AD18" s="105">
        <v>20.8</v>
      </c>
      <c r="AE18" s="105">
        <v>10</v>
      </c>
      <c r="AF18" s="105">
        <v>0</v>
      </c>
      <c r="AG18" s="126">
        <v>25</v>
      </c>
      <c r="AH18" s="20">
        <f t="shared" si="2"/>
        <v>25.6</v>
      </c>
      <c r="AI18" s="19">
        <f t="shared" si="3"/>
        <v>0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15</v>
      </c>
      <c r="C19" s="105">
        <v>15</v>
      </c>
      <c r="D19" s="105">
        <v>15</v>
      </c>
      <c r="E19" s="105">
        <v>15</v>
      </c>
      <c r="F19" s="105">
        <v>15</v>
      </c>
      <c r="G19" s="105">
        <v>15</v>
      </c>
      <c r="H19" s="105">
        <v>15</v>
      </c>
      <c r="I19" s="105">
        <v>15</v>
      </c>
      <c r="J19" s="105">
        <v>15</v>
      </c>
      <c r="K19" s="105">
        <v>15</v>
      </c>
      <c r="L19" s="105">
        <v>15</v>
      </c>
      <c r="M19" s="105">
        <v>15</v>
      </c>
      <c r="N19" s="105">
        <v>15</v>
      </c>
      <c r="O19" s="105">
        <v>15</v>
      </c>
      <c r="P19" s="105">
        <v>15</v>
      </c>
      <c r="Q19" s="105">
        <v>15</v>
      </c>
      <c r="R19" s="105">
        <v>15</v>
      </c>
      <c r="S19" s="105">
        <v>15</v>
      </c>
      <c r="T19" s="105">
        <v>15</v>
      </c>
      <c r="U19" s="105">
        <v>15</v>
      </c>
      <c r="V19" s="105">
        <v>15</v>
      </c>
      <c r="W19" s="105">
        <v>15</v>
      </c>
      <c r="X19" s="105">
        <v>15</v>
      </c>
      <c r="Y19" s="105">
        <v>15</v>
      </c>
      <c r="Z19" s="105">
        <v>15</v>
      </c>
      <c r="AA19" s="105">
        <v>15</v>
      </c>
      <c r="AB19" s="105">
        <v>15</v>
      </c>
      <c r="AC19" s="105">
        <v>15</v>
      </c>
      <c r="AD19" s="105">
        <v>15</v>
      </c>
      <c r="AE19" s="105">
        <v>0</v>
      </c>
      <c r="AF19" s="105">
        <v>0</v>
      </c>
      <c r="AG19" s="126">
        <v>25</v>
      </c>
      <c r="AH19" s="20">
        <f t="shared" si="2"/>
        <v>15</v>
      </c>
      <c r="AI19" s="19">
        <f t="shared" si="3"/>
        <v>0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15</v>
      </c>
      <c r="C20" s="105">
        <v>15</v>
      </c>
      <c r="D20" s="105">
        <v>15</v>
      </c>
      <c r="E20" s="105">
        <v>15</v>
      </c>
      <c r="F20" s="105">
        <v>15</v>
      </c>
      <c r="G20" s="105">
        <v>15</v>
      </c>
      <c r="H20" s="105">
        <v>15</v>
      </c>
      <c r="I20" s="105">
        <v>15</v>
      </c>
      <c r="J20" s="105">
        <v>15</v>
      </c>
      <c r="K20" s="105">
        <v>15</v>
      </c>
      <c r="L20" s="105">
        <v>15</v>
      </c>
      <c r="M20" s="105">
        <v>15</v>
      </c>
      <c r="N20" s="105">
        <v>15</v>
      </c>
      <c r="O20" s="105">
        <v>15</v>
      </c>
      <c r="P20" s="105">
        <v>15</v>
      </c>
      <c r="Q20" s="105">
        <v>15</v>
      </c>
      <c r="R20" s="105">
        <v>15</v>
      </c>
      <c r="S20" s="105">
        <v>15</v>
      </c>
      <c r="T20" s="105">
        <v>15</v>
      </c>
      <c r="U20" s="105">
        <v>15</v>
      </c>
      <c r="V20" s="105">
        <v>15</v>
      </c>
      <c r="W20" s="105">
        <v>15</v>
      </c>
      <c r="X20" s="105">
        <v>15</v>
      </c>
      <c r="Y20" s="105">
        <v>15</v>
      </c>
      <c r="Z20" s="105">
        <v>15</v>
      </c>
      <c r="AA20" s="105">
        <v>15</v>
      </c>
      <c r="AB20" s="105">
        <v>15</v>
      </c>
      <c r="AC20" s="105">
        <v>15</v>
      </c>
      <c r="AD20" s="105">
        <v>15</v>
      </c>
      <c r="AE20" s="105">
        <v>15</v>
      </c>
      <c r="AF20" s="105">
        <v>0</v>
      </c>
      <c r="AG20" s="126">
        <v>25</v>
      </c>
      <c r="AH20" s="20">
        <f t="shared" si="2"/>
        <v>15</v>
      </c>
      <c r="AI20" s="19">
        <f t="shared" si="3"/>
        <v>0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18.3</v>
      </c>
      <c r="C21" s="105">
        <v>18.3</v>
      </c>
      <c r="D21" s="105">
        <v>18.3</v>
      </c>
      <c r="E21" s="105">
        <v>18.3</v>
      </c>
      <c r="F21" s="105">
        <v>18.3</v>
      </c>
      <c r="G21" s="105">
        <v>18.3</v>
      </c>
      <c r="H21" s="105">
        <v>18.3</v>
      </c>
      <c r="I21" s="105">
        <v>18.3</v>
      </c>
      <c r="J21" s="105">
        <v>18.3</v>
      </c>
      <c r="K21" s="105">
        <v>18.3</v>
      </c>
      <c r="L21" s="105">
        <v>18.3</v>
      </c>
      <c r="M21" s="105">
        <v>18.3</v>
      </c>
      <c r="N21" s="105">
        <v>18.3</v>
      </c>
      <c r="O21" s="105">
        <v>18.3</v>
      </c>
      <c r="P21" s="105">
        <v>18.5</v>
      </c>
      <c r="Q21" s="105">
        <v>18.5</v>
      </c>
      <c r="R21" s="105">
        <v>18.5</v>
      </c>
      <c r="S21" s="105">
        <v>18.5</v>
      </c>
      <c r="T21" s="105">
        <v>18.5</v>
      </c>
      <c r="U21" s="105">
        <v>18.5</v>
      </c>
      <c r="V21" s="105">
        <v>18.5</v>
      </c>
      <c r="W21" s="105">
        <v>18.5</v>
      </c>
      <c r="X21" s="105">
        <v>18.5</v>
      </c>
      <c r="Y21" s="105">
        <v>18.5</v>
      </c>
      <c r="Z21" s="105">
        <v>18.5</v>
      </c>
      <c r="AA21" s="105">
        <v>18.5</v>
      </c>
      <c r="AB21" s="105">
        <v>18.5</v>
      </c>
      <c r="AC21" s="105">
        <v>18.5</v>
      </c>
      <c r="AD21" s="105">
        <v>18.5</v>
      </c>
      <c r="AE21" s="105">
        <v>18.5</v>
      </c>
      <c r="AF21" s="105">
        <v>18.5</v>
      </c>
      <c r="AG21" s="126">
        <v>23.5</v>
      </c>
      <c r="AH21" s="20">
        <f t="shared" si="2"/>
        <v>18.5</v>
      </c>
      <c r="AI21" s="19">
        <f t="shared" si="3"/>
        <v>18.3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6</v>
      </c>
      <c r="C22" s="105">
        <v>6</v>
      </c>
      <c r="D22" s="105">
        <v>6</v>
      </c>
      <c r="E22" s="105">
        <v>6</v>
      </c>
      <c r="F22" s="105">
        <v>6</v>
      </c>
      <c r="G22" s="105">
        <v>6</v>
      </c>
      <c r="H22" s="105">
        <v>6</v>
      </c>
      <c r="I22" s="105">
        <v>6</v>
      </c>
      <c r="J22" s="105">
        <v>6</v>
      </c>
      <c r="K22" s="105">
        <v>6</v>
      </c>
      <c r="L22" s="105">
        <v>6</v>
      </c>
      <c r="M22" s="105">
        <v>6</v>
      </c>
      <c r="N22" s="105">
        <v>6</v>
      </c>
      <c r="O22" s="105">
        <v>6</v>
      </c>
      <c r="P22" s="105">
        <v>6</v>
      </c>
      <c r="Q22" s="105">
        <v>6</v>
      </c>
      <c r="R22" s="105">
        <v>6</v>
      </c>
      <c r="S22" s="105">
        <v>12</v>
      </c>
      <c r="T22" s="105">
        <v>12</v>
      </c>
      <c r="U22" s="105">
        <v>12</v>
      </c>
      <c r="V22" s="105">
        <v>12</v>
      </c>
      <c r="W22" s="105">
        <v>12</v>
      </c>
      <c r="X22" s="105">
        <v>12</v>
      </c>
      <c r="Y22" s="105">
        <v>12</v>
      </c>
      <c r="Z22" s="105">
        <v>12</v>
      </c>
      <c r="AA22" s="105">
        <v>12</v>
      </c>
      <c r="AB22" s="105">
        <v>12</v>
      </c>
      <c r="AC22" s="105">
        <v>12</v>
      </c>
      <c r="AD22" s="105">
        <v>12</v>
      </c>
      <c r="AE22" s="105">
        <v>12</v>
      </c>
      <c r="AF22" s="105">
        <v>0</v>
      </c>
      <c r="AG22" s="126">
        <v>22.2</v>
      </c>
      <c r="AH22" s="20">
        <f t="shared" si="2"/>
        <v>12</v>
      </c>
      <c r="AI22" s="19">
        <f t="shared" si="3"/>
        <v>0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18</v>
      </c>
      <c r="C23" s="105">
        <v>18</v>
      </c>
      <c r="D23" s="105">
        <v>18</v>
      </c>
      <c r="E23" s="105">
        <v>18</v>
      </c>
      <c r="F23" s="105">
        <v>18</v>
      </c>
      <c r="G23" s="105">
        <v>18</v>
      </c>
      <c r="H23" s="105">
        <v>18</v>
      </c>
      <c r="I23" s="105">
        <v>18</v>
      </c>
      <c r="J23" s="105">
        <v>18</v>
      </c>
      <c r="K23" s="105">
        <v>18</v>
      </c>
      <c r="L23" s="105">
        <v>18</v>
      </c>
      <c r="M23" s="105">
        <v>18</v>
      </c>
      <c r="N23" s="105">
        <v>18</v>
      </c>
      <c r="O23" s="105">
        <v>18</v>
      </c>
      <c r="P23" s="105">
        <v>18</v>
      </c>
      <c r="Q23" s="105">
        <v>18</v>
      </c>
      <c r="R23" s="105">
        <v>18</v>
      </c>
      <c r="S23" s="105">
        <v>18</v>
      </c>
      <c r="T23" s="105">
        <v>18</v>
      </c>
      <c r="U23" s="105">
        <v>18</v>
      </c>
      <c r="V23" s="105">
        <v>18</v>
      </c>
      <c r="W23" s="105">
        <v>18</v>
      </c>
      <c r="X23" s="105">
        <v>18</v>
      </c>
      <c r="Y23" s="105">
        <v>18</v>
      </c>
      <c r="Z23" s="105">
        <v>18</v>
      </c>
      <c r="AA23" s="105">
        <v>18</v>
      </c>
      <c r="AB23" s="105">
        <v>18</v>
      </c>
      <c r="AC23" s="105">
        <v>18</v>
      </c>
      <c r="AD23" s="105">
        <v>18</v>
      </c>
      <c r="AE23" s="105">
        <v>18</v>
      </c>
      <c r="AF23" s="105">
        <v>18</v>
      </c>
      <c r="AG23" s="126">
        <v>22.1</v>
      </c>
      <c r="AH23" s="20">
        <f t="shared" si="2"/>
        <v>18</v>
      </c>
      <c r="AI23" s="19">
        <f t="shared" si="3"/>
        <v>18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20</v>
      </c>
      <c r="C24" s="105">
        <v>20</v>
      </c>
      <c r="D24" s="105">
        <v>20</v>
      </c>
      <c r="E24" s="105">
        <v>20</v>
      </c>
      <c r="F24" s="105">
        <v>20</v>
      </c>
      <c r="G24" s="105">
        <v>20</v>
      </c>
      <c r="H24" s="105">
        <v>20</v>
      </c>
      <c r="I24" s="105">
        <v>20</v>
      </c>
      <c r="J24" s="105">
        <v>20</v>
      </c>
      <c r="K24" s="105">
        <v>20</v>
      </c>
      <c r="L24" s="105">
        <v>20</v>
      </c>
      <c r="M24" s="105">
        <v>20</v>
      </c>
      <c r="N24" s="105">
        <v>20</v>
      </c>
      <c r="O24" s="105">
        <v>20</v>
      </c>
      <c r="P24" s="105">
        <v>20</v>
      </c>
      <c r="Q24" s="105">
        <v>20</v>
      </c>
      <c r="R24" s="105">
        <v>20</v>
      </c>
      <c r="S24" s="105">
        <v>20</v>
      </c>
      <c r="T24" s="105">
        <v>20</v>
      </c>
      <c r="U24" s="105">
        <v>20</v>
      </c>
      <c r="V24" s="105">
        <v>20</v>
      </c>
      <c r="W24" s="105">
        <v>20</v>
      </c>
      <c r="X24" s="105">
        <v>20</v>
      </c>
      <c r="Y24" s="105">
        <v>20</v>
      </c>
      <c r="Z24" s="105">
        <v>20</v>
      </c>
      <c r="AA24" s="105">
        <v>20</v>
      </c>
      <c r="AB24" s="105">
        <v>20</v>
      </c>
      <c r="AC24" s="105">
        <v>20</v>
      </c>
      <c r="AD24" s="105">
        <v>20</v>
      </c>
      <c r="AE24" s="105">
        <v>20</v>
      </c>
      <c r="AF24" s="105">
        <v>20</v>
      </c>
      <c r="AG24" s="126">
        <v>22</v>
      </c>
      <c r="AH24" s="20">
        <f t="shared" si="2"/>
        <v>20</v>
      </c>
      <c r="AI24" s="19">
        <f t="shared" si="3"/>
        <v>20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0</v>
      </c>
      <c r="C25" s="105">
        <v>0</v>
      </c>
      <c r="D25" s="105">
        <v>0</v>
      </c>
      <c r="E25" s="105">
        <v>17</v>
      </c>
      <c r="F25" s="105">
        <v>17</v>
      </c>
      <c r="G25" s="105">
        <v>17</v>
      </c>
      <c r="H25" s="105">
        <v>17</v>
      </c>
      <c r="I25" s="105">
        <v>17</v>
      </c>
      <c r="J25" s="105">
        <v>17</v>
      </c>
      <c r="K25" s="105">
        <v>17</v>
      </c>
      <c r="L25" s="105">
        <v>17</v>
      </c>
      <c r="M25" s="105">
        <v>17</v>
      </c>
      <c r="N25" s="105">
        <v>17</v>
      </c>
      <c r="O25" s="105">
        <v>17</v>
      </c>
      <c r="P25" s="105">
        <v>17</v>
      </c>
      <c r="Q25" s="105">
        <v>17</v>
      </c>
      <c r="R25" s="105">
        <v>17</v>
      </c>
      <c r="S25" s="105">
        <v>17</v>
      </c>
      <c r="T25" s="105">
        <v>17</v>
      </c>
      <c r="U25" s="105">
        <v>17</v>
      </c>
      <c r="V25" s="105">
        <v>17</v>
      </c>
      <c r="W25" s="105">
        <v>17</v>
      </c>
      <c r="X25" s="105">
        <v>17</v>
      </c>
      <c r="Y25" s="105">
        <v>17</v>
      </c>
      <c r="Z25" s="105">
        <v>17</v>
      </c>
      <c r="AA25" s="105">
        <v>17</v>
      </c>
      <c r="AB25" s="105">
        <v>22</v>
      </c>
      <c r="AC25" s="105">
        <v>22</v>
      </c>
      <c r="AD25" s="105">
        <v>22</v>
      </c>
      <c r="AE25" s="105">
        <v>22</v>
      </c>
      <c r="AF25" s="105">
        <v>22</v>
      </c>
      <c r="AG25" s="126">
        <v>22</v>
      </c>
      <c r="AH25" s="20">
        <f t="shared" si="2"/>
        <v>22</v>
      </c>
      <c r="AI25" s="19">
        <f t="shared" si="3"/>
        <v>0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5">
        <v>0</v>
      </c>
      <c r="M26" s="105">
        <v>0</v>
      </c>
      <c r="N26" s="105">
        <v>0</v>
      </c>
      <c r="O26" s="105">
        <v>0</v>
      </c>
      <c r="P26" s="105">
        <v>0</v>
      </c>
      <c r="Q26" s="105">
        <v>0</v>
      </c>
      <c r="R26" s="105">
        <v>0</v>
      </c>
      <c r="S26" s="105">
        <v>0</v>
      </c>
      <c r="T26" s="105">
        <v>0</v>
      </c>
      <c r="U26" s="105">
        <v>0</v>
      </c>
      <c r="V26" s="105">
        <v>0</v>
      </c>
      <c r="W26" s="105">
        <v>0</v>
      </c>
      <c r="X26" s="105">
        <v>10</v>
      </c>
      <c r="Y26" s="105">
        <v>10</v>
      </c>
      <c r="Z26" s="105">
        <v>0</v>
      </c>
      <c r="AA26" s="105">
        <v>0</v>
      </c>
      <c r="AB26" s="105">
        <v>0</v>
      </c>
      <c r="AC26" s="105">
        <v>0</v>
      </c>
      <c r="AD26" s="105">
        <v>0</v>
      </c>
      <c r="AE26" s="105">
        <v>0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14.9</v>
      </c>
      <c r="C27" s="105">
        <v>14.9</v>
      </c>
      <c r="D27" s="105">
        <v>14.9</v>
      </c>
      <c r="E27" s="105">
        <v>14.9</v>
      </c>
      <c r="F27" s="105">
        <v>14.9</v>
      </c>
      <c r="G27" s="105">
        <v>14.9</v>
      </c>
      <c r="H27" s="105">
        <v>14.9</v>
      </c>
      <c r="I27" s="105">
        <v>14.9</v>
      </c>
      <c r="J27" s="105">
        <v>14.9</v>
      </c>
      <c r="K27" s="105">
        <v>14.9</v>
      </c>
      <c r="L27" s="105">
        <v>14.9</v>
      </c>
      <c r="M27" s="105">
        <v>14.9</v>
      </c>
      <c r="N27" s="105">
        <v>14.9</v>
      </c>
      <c r="O27" s="105">
        <v>14.9</v>
      </c>
      <c r="P27" s="105">
        <v>14.9</v>
      </c>
      <c r="Q27" s="105">
        <v>14.9</v>
      </c>
      <c r="R27" s="105">
        <v>14.9</v>
      </c>
      <c r="S27" s="105">
        <v>14</v>
      </c>
      <c r="T27" s="105">
        <v>14</v>
      </c>
      <c r="U27" s="105">
        <v>14</v>
      </c>
      <c r="V27" s="105">
        <v>14</v>
      </c>
      <c r="W27" s="105">
        <v>14</v>
      </c>
      <c r="X27" s="105">
        <v>14</v>
      </c>
      <c r="Y27" s="105">
        <v>14</v>
      </c>
      <c r="Z27" s="105">
        <v>14</v>
      </c>
      <c r="AA27" s="105">
        <v>14</v>
      </c>
      <c r="AB27" s="105">
        <v>14</v>
      </c>
      <c r="AC27" s="105">
        <v>14</v>
      </c>
      <c r="AD27" s="105">
        <v>14</v>
      </c>
      <c r="AE27" s="105">
        <v>14</v>
      </c>
      <c r="AF27" s="105">
        <v>14</v>
      </c>
      <c r="AG27" s="126">
        <v>14.9</v>
      </c>
      <c r="AH27" s="20">
        <f t="shared" si="2"/>
        <v>14.9</v>
      </c>
      <c r="AI27" s="19">
        <f t="shared" si="3"/>
        <v>14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</v>
      </c>
      <c r="C28" s="105">
        <v>6</v>
      </c>
      <c r="D28" s="105">
        <v>6</v>
      </c>
      <c r="E28" s="105">
        <v>6</v>
      </c>
      <c r="F28" s="105">
        <v>6</v>
      </c>
      <c r="G28" s="105">
        <v>6</v>
      </c>
      <c r="H28" s="105">
        <v>6</v>
      </c>
      <c r="I28" s="105">
        <v>6</v>
      </c>
      <c r="J28" s="105">
        <v>6</v>
      </c>
      <c r="K28" s="105">
        <v>6</v>
      </c>
      <c r="L28" s="105">
        <v>6</v>
      </c>
      <c r="M28" s="105">
        <v>0</v>
      </c>
      <c r="N28" s="105">
        <v>0</v>
      </c>
      <c r="O28" s="105">
        <v>0</v>
      </c>
      <c r="P28" s="105">
        <v>0</v>
      </c>
      <c r="Q28" s="105">
        <v>0</v>
      </c>
      <c r="R28" s="105">
        <v>0</v>
      </c>
      <c r="S28" s="105">
        <v>0</v>
      </c>
      <c r="T28" s="105">
        <v>0</v>
      </c>
      <c r="U28" s="105">
        <v>0</v>
      </c>
      <c r="V28" s="105">
        <v>0</v>
      </c>
      <c r="W28" s="105">
        <v>0</v>
      </c>
      <c r="X28" s="105">
        <v>0</v>
      </c>
      <c r="Y28" s="105">
        <v>0</v>
      </c>
      <c r="Z28" s="105">
        <v>0</v>
      </c>
      <c r="AA28" s="105">
        <v>0</v>
      </c>
      <c r="AB28" s="105">
        <v>0</v>
      </c>
      <c r="AC28" s="105">
        <v>0</v>
      </c>
      <c r="AD28" s="105">
        <v>0</v>
      </c>
      <c r="AE28" s="105">
        <v>0</v>
      </c>
      <c r="AF28" s="105">
        <v>0</v>
      </c>
      <c r="AG28" s="126">
        <v>13.6</v>
      </c>
      <c r="AH28" s="20">
        <f t="shared" si="2"/>
        <v>6</v>
      </c>
      <c r="AI28" s="19">
        <f t="shared" si="3"/>
        <v>0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10</v>
      </c>
      <c r="C29" s="105">
        <v>10</v>
      </c>
      <c r="D29" s="105">
        <v>10</v>
      </c>
      <c r="E29" s="105">
        <v>10</v>
      </c>
      <c r="F29" s="105">
        <v>10</v>
      </c>
      <c r="G29" s="105">
        <v>10</v>
      </c>
      <c r="H29" s="105">
        <v>10</v>
      </c>
      <c r="I29" s="105">
        <v>10</v>
      </c>
      <c r="J29" s="105">
        <v>10</v>
      </c>
      <c r="K29" s="105">
        <v>10</v>
      </c>
      <c r="L29" s="105">
        <v>10</v>
      </c>
      <c r="M29" s="105">
        <v>10</v>
      </c>
      <c r="N29" s="105">
        <v>10</v>
      </c>
      <c r="O29" s="105">
        <v>10</v>
      </c>
      <c r="P29" s="105">
        <v>10</v>
      </c>
      <c r="Q29" s="105">
        <v>10</v>
      </c>
      <c r="R29" s="105">
        <v>10</v>
      </c>
      <c r="S29" s="105">
        <v>10</v>
      </c>
      <c r="T29" s="105">
        <v>10</v>
      </c>
      <c r="U29" s="105">
        <v>10</v>
      </c>
      <c r="V29" s="105">
        <v>10</v>
      </c>
      <c r="W29" s="105">
        <v>10</v>
      </c>
      <c r="X29" s="105">
        <v>10</v>
      </c>
      <c r="Y29" s="105">
        <v>10</v>
      </c>
      <c r="Z29" s="105">
        <v>10</v>
      </c>
      <c r="AA29" s="105">
        <v>10</v>
      </c>
      <c r="AB29" s="105">
        <v>10</v>
      </c>
      <c r="AC29" s="105">
        <v>10</v>
      </c>
      <c r="AD29" s="105">
        <v>10</v>
      </c>
      <c r="AE29" s="105">
        <v>10</v>
      </c>
      <c r="AF29" s="105">
        <v>0</v>
      </c>
      <c r="AG29" s="126">
        <v>13</v>
      </c>
      <c r="AH29" s="20">
        <f t="shared" si="2"/>
        <v>10</v>
      </c>
      <c r="AI29" s="19">
        <f t="shared" si="3"/>
        <v>0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0</v>
      </c>
      <c r="N30" s="105">
        <v>0</v>
      </c>
      <c r="O30" s="105">
        <v>0</v>
      </c>
      <c r="P30" s="105">
        <v>0</v>
      </c>
      <c r="Q30" s="105">
        <v>0</v>
      </c>
      <c r="R30" s="105">
        <v>0</v>
      </c>
      <c r="S30" s="105">
        <v>0</v>
      </c>
      <c r="T30" s="105">
        <v>0</v>
      </c>
      <c r="U30" s="105">
        <v>0</v>
      </c>
      <c r="V30" s="105">
        <v>0</v>
      </c>
      <c r="W30" s="105">
        <v>0</v>
      </c>
      <c r="X30" s="105">
        <v>0</v>
      </c>
      <c r="Y30" s="105">
        <v>0</v>
      </c>
      <c r="Z30" s="105">
        <v>0</v>
      </c>
      <c r="AA30" s="105">
        <v>0</v>
      </c>
      <c r="AB30" s="105">
        <v>0</v>
      </c>
      <c r="AC30" s="105">
        <v>0</v>
      </c>
      <c r="AD30" s="105">
        <v>0</v>
      </c>
      <c r="AE30" s="105">
        <v>0</v>
      </c>
      <c r="AF30" s="105">
        <v>0</v>
      </c>
      <c r="AG30" s="126">
        <v>12</v>
      </c>
      <c r="AH30" s="20">
        <f t="shared" si="2"/>
        <v>0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0</v>
      </c>
      <c r="C31" s="105">
        <v>0</v>
      </c>
      <c r="D31" s="105">
        <v>0</v>
      </c>
      <c r="E31" s="105">
        <v>0</v>
      </c>
      <c r="F31" s="105">
        <v>0</v>
      </c>
      <c r="G31" s="105">
        <v>0</v>
      </c>
      <c r="H31" s="105">
        <v>0</v>
      </c>
      <c r="I31" s="105">
        <v>0</v>
      </c>
      <c r="J31" s="105">
        <v>0</v>
      </c>
      <c r="K31" s="105">
        <v>0</v>
      </c>
      <c r="L31" s="105">
        <v>0</v>
      </c>
      <c r="M31" s="105">
        <v>0</v>
      </c>
      <c r="N31" s="105">
        <v>0</v>
      </c>
      <c r="O31" s="105">
        <v>0</v>
      </c>
      <c r="P31" s="105">
        <v>0</v>
      </c>
      <c r="Q31" s="105">
        <v>0</v>
      </c>
      <c r="R31" s="105">
        <v>0</v>
      </c>
      <c r="S31" s="105">
        <v>0</v>
      </c>
      <c r="T31" s="105">
        <v>0</v>
      </c>
      <c r="U31" s="105">
        <v>0</v>
      </c>
      <c r="V31" s="105">
        <v>0</v>
      </c>
      <c r="W31" s="105">
        <v>0</v>
      </c>
      <c r="X31" s="105">
        <v>0</v>
      </c>
      <c r="Y31" s="105">
        <v>0</v>
      </c>
      <c r="Z31" s="105">
        <v>0</v>
      </c>
      <c r="AA31" s="105">
        <v>0</v>
      </c>
      <c r="AB31" s="105">
        <v>0</v>
      </c>
      <c r="AC31" s="105">
        <v>0</v>
      </c>
      <c r="AD31" s="105">
        <v>0</v>
      </c>
      <c r="AE31" s="105">
        <v>0</v>
      </c>
      <c r="AF31" s="105">
        <v>0</v>
      </c>
      <c r="AG31" s="126">
        <v>12</v>
      </c>
      <c r="AH31" s="20">
        <f t="shared" si="2"/>
        <v>0</v>
      </c>
      <c r="AI31" s="19">
        <f t="shared" si="3"/>
        <v>0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2</v>
      </c>
      <c r="C32" s="105">
        <v>2</v>
      </c>
      <c r="D32" s="105">
        <v>2</v>
      </c>
      <c r="E32" s="105">
        <v>2</v>
      </c>
      <c r="F32" s="105">
        <v>2</v>
      </c>
      <c r="G32" s="105">
        <v>2</v>
      </c>
      <c r="H32" s="105">
        <v>2</v>
      </c>
      <c r="I32" s="105">
        <v>2</v>
      </c>
      <c r="J32" s="105">
        <v>2</v>
      </c>
      <c r="K32" s="105">
        <v>2</v>
      </c>
      <c r="L32" s="105">
        <v>2</v>
      </c>
      <c r="M32" s="105">
        <v>2</v>
      </c>
      <c r="N32" s="105">
        <v>2</v>
      </c>
      <c r="O32" s="105">
        <v>2</v>
      </c>
      <c r="P32" s="105">
        <v>2</v>
      </c>
      <c r="Q32" s="105">
        <v>2</v>
      </c>
      <c r="R32" s="105">
        <v>2</v>
      </c>
      <c r="S32" s="105">
        <v>2</v>
      </c>
      <c r="T32" s="105">
        <v>2</v>
      </c>
      <c r="U32" s="105">
        <v>2</v>
      </c>
      <c r="V32" s="105">
        <v>2</v>
      </c>
      <c r="W32" s="105">
        <v>2</v>
      </c>
      <c r="X32" s="105">
        <v>2</v>
      </c>
      <c r="Y32" s="105">
        <v>2</v>
      </c>
      <c r="Z32" s="105">
        <v>2</v>
      </c>
      <c r="AA32" s="105">
        <v>2</v>
      </c>
      <c r="AB32" s="105">
        <v>2</v>
      </c>
      <c r="AC32" s="105">
        <v>2</v>
      </c>
      <c r="AD32" s="105">
        <v>2</v>
      </c>
      <c r="AE32" s="105">
        <v>2</v>
      </c>
      <c r="AF32" s="105">
        <v>2</v>
      </c>
      <c r="AG32" s="126">
        <v>12</v>
      </c>
      <c r="AH32" s="20">
        <f t="shared" si="2"/>
        <v>2</v>
      </c>
      <c r="AI32" s="19">
        <f t="shared" si="3"/>
        <v>2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8</v>
      </c>
      <c r="C33" s="105">
        <v>8</v>
      </c>
      <c r="D33" s="105">
        <v>8</v>
      </c>
      <c r="E33" s="105">
        <v>8</v>
      </c>
      <c r="F33" s="105">
        <v>8</v>
      </c>
      <c r="G33" s="105">
        <v>8</v>
      </c>
      <c r="H33" s="105">
        <v>8</v>
      </c>
      <c r="I33" s="105">
        <v>8</v>
      </c>
      <c r="J33" s="105">
        <v>8</v>
      </c>
      <c r="K33" s="105">
        <v>8</v>
      </c>
      <c r="L33" s="105">
        <v>8</v>
      </c>
      <c r="M33" s="105">
        <v>8</v>
      </c>
      <c r="N33" s="105">
        <v>8</v>
      </c>
      <c r="O33" s="105">
        <v>8</v>
      </c>
      <c r="P33" s="105">
        <v>8</v>
      </c>
      <c r="Q33" s="105">
        <v>8</v>
      </c>
      <c r="R33" s="105">
        <v>8</v>
      </c>
      <c r="S33" s="105">
        <v>8</v>
      </c>
      <c r="T33" s="105">
        <v>8</v>
      </c>
      <c r="U33" s="105">
        <v>8</v>
      </c>
      <c r="V33" s="105">
        <v>8</v>
      </c>
      <c r="W33" s="105">
        <v>8</v>
      </c>
      <c r="X33" s="105">
        <v>8</v>
      </c>
      <c r="Y33" s="105">
        <v>8</v>
      </c>
      <c r="Z33" s="105">
        <v>8</v>
      </c>
      <c r="AA33" s="105">
        <v>8</v>
      </c>
      <c r="AB33" s="105">
        <v>8</v>
      </c>
      <c r="AC33" s="105">
        <v>8</v>
      </c>
      <c r="AD33" s="105">
        <v>8</v>
      </c>
      <c r="AE33" s="105">
        <v>8</v>
      </c>
      <c r="AF33" s="105">
        <v>8</v>
      </c>
      <c r="AG33" s="125">
        <v>22</v>
      </c>
      <c r="AH33" s="20">
        <f t="shared" si="2"/>
        <v>8</v>
      </c>
      <c r="AI33" s="19">
        <f t="shared" si="3"/>
        <v>8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11</v>
      </c>
      <c r="C34" s="105">
        <v>11</v>
      </c>
      <c r="D34" s="105">
        <v>11</v>
      </c>
      <c r="E34" s="105">
        <v>11</v>
      </c>
      <c r="F34" s="105">
        <v>11</v>
      </c>
      <c r="G34" s="105">
        <v>11</v>
      </c>
      <c r="H34" s="105">
        <v>11</v>
      </c>
      <c r="I34" s="105">
        <v>11</v>
      </c>
      <c r="J34" s="105">
        <v>11</v>
      </c>
      <c r="K34" s="105">
        <v>11</v>
      </c>
      <c r="L34" s="105">
        <v>11</v>
      </c>
      <c r="M34" s="105">
        <v>11</v>
      </c>
      <c r="N34" s="105">
        <v>11</v>
      </c>
      <c r="O34" s="105">
        <v>11</v>
      </c>
      <c r="P34" s="105">
        <v>11</v>
      </c>
      <c r="Q34" s="105">
        <v>11</v>
      </c>
      <c r="R34" s="105">
        <v>11</v>
      </c>
      <c r="S34" s="105">
        <v>11</v>
      </c>
      <c r="T34" s="105">
        <v>11</v>
      </c>
      <c r="U34" s="105">
        <v>11</v>
      </c>
      <c r="V34" s="105">
        <v>11</v>
      </c>
      <c r="W34" s="105">
        <v>11</v>
      </c>
      <c r="X34" s="105">
        <v>11</v>
      </c>
      <c r="Y34" s="105">
        <v>11</v>
      </c>
      <c r="Z34" s="105">
        <v>11</v>
      </c>
      <c r="AA34" s="105">
        <v>11</v>
      </c>
      <c r="AB34" s="105">
        <v>11</v>
      </c>
      <c r="AC34" s="105">
        <v>11</v>
      </c>
      <c r="AD34" s="105">
        <v>11</v>
      </c>
      <c r="AE34" s="105">
        <v>11</v>
      </c>
      <c r="AF34" s="105">
        <v>0</v>
      </c>
      <c r="AG34" s="96">
        <v>11.88</v>
      </c>
      <c r="AH34" s="20">
        <f t="shared" si="2"/>
        <v>11</v>
      </c>
      <c r="AI34" s="19">
        <f t="shared" si="3"/>
        <v>0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>
        <v>11</v>
      </c>
      <c r="AG35" s="94">
        <v>11</v>
      </c>
      <c r="AH35" s="20">
        <f t="shared" si="2"/>
        <v>11</v>
      </c>
      <c r="AI35" s="19">
        <f t="shared" si="3"/>
        <v>11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8.5</v>
      </c>
      <c r="C36" s="105">
        <v>8.5</v>
      </c>
      <c r="D36" s="105">
        <v>8.5</v>
      </c>
      <c r="E36" s="105">
        <v>8.5</v>
      </c>
      <c r="F36" s="105">
        <v>8.5</v>
      </c>
      <c r="G36" s="105">
        <v>8.5</v>
      </c>
      <c r="H36" s="105">
        <v>8.5</v>
      </c>
      <c r="I36" s="105">
        <v>8.5</v>
      </c>
      <c r="J36" s="105">
        <v>8.5</v>
      </c>
      <c r="K36" s="105">
        <v>8.5</v>
      </c>
      <c r="L36" s="105">
        <v>8.5</v>
      </c>
      <c r="M36" s="105">
        <v>8.5</v>
      </c>
      <c r="N36" s="105">
        <v>8.5</v>
      </c>
      <c r="O36" s="105">
        <v>8.5</v>
      </c>
      <c r="P36" s="105">
        <v>8.5</v>
      </c>
      <c r="Q36" s="105">
        <v>8.5</v>
      </c>
      <c r="R36" s="105">
        <v>8.5</v>
      </c>
      <c r="S36" s="105">
        <v>8.5</v>
      </c>
      <c r="T36" s="105">
        <v>8.5</v>
      </c>
      <c r="U36" s="105">
        <v>8.5</v>
      </c>
      <c r="V36" s="105">
        <v>8.5</v>
      </c>
      <c r="W36" s="105">
        <v>8.5</v>
      </c>
      <c r="X36" s="105">
        <v>8.5</v>
      </c>
      <c r="Y36" s="105">
        <v>8.5</v>
      </c>
      <c r="Z36" s="105">
        <v>8.5</v>
      </c>
      <c r="AA36" s="105">
        <v>8.5</v>
      </c>
      <c r="AB36" s="105">
        <v>8.5</v>
      </c>
      <c r="AC36" s="105">
        <v>8.5</v>
      </c>
      <c r="AD36" s="105">
        <v>8.5</v>
      </c>
      <c r="AE36" s="105">
        <v>8.5</v>
      </c>
      <c r="AF36" s="105">
        <v>8.5</v>
      </c>
      <c r="AG36" s="94">
        <v>10</v>
      </c>
      <c r="AH36" s="20">
        <f t="shared" si="2"/>
        <v>8.5</v>
      </c>
      <c r="AI36" s="19">
        <f t="shared" si="3"/>
        <v>8.5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5">
        <v>0</v>
      </c>
      <c r="O37" s="105">
        <v>0</v>
      </c>
      <c r="P37" s="105">
        <v>0</v>
      </c>
      <c r="Q37" s="105">
        <v>0</v>
      </c>
      <c r="R37" s="105">
        <v>0</v>
      </c>
      <c r="S37" s="105">
        <v>0</v>
      </c>
      <c r="T37" s="105">
        <v>0</v>
      </c>
      <c r="U37" s="105">
        <v>0</v>
      </c>
      <c r="V37" s="105">
        <v>0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0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v>162.30000000000001</v>
      </c>
      <c r="C39" s="119">
        <f>92.1+68.3</f>
        <v>160.39999999999998</v>
      </c>
      <c r="D39" s="119">
        <f>92.1+68.3</f>
        <v>160.39999999999998</v>
      </c>
      <c r="E39" s="119">
        <f>92.3+69.6</f>
        <v>161.89999999999998</v>
      </c>
      <c r="F39" s="119">
        <f>92.6+70.2</f>
        <v>162.80000000000001</v>
      </c>
      <c r="G39" s="119">
        <f>92.4+70.1</f>
        <v>162.5</v>
      </c>
      <c r="H39" s="119">
        <f>92.4+70.1</f>
        <v>162.5</v>
      </c>
      <c r="I39" s="119">
        <f>71+68.7</f>
        <v>139.69999999999999</v>
      </c>
      <c r="J39" s="119">
        <f>84.7+69.3</f>
        <v>154</v>
      </c>
      <c r="K39" s="119">
        <f>165</f>
        <v>165</v>
      </c>
      <c r="L39" s="113">
        <f>90+71.3</f>
        <v>161.30000000000001</v>
      </c>
      <c r="M39" s="113">
        <f>90+71.3</f>
        <v>161.30000000000001</v>
      </c>
      <c r="N39" s="113">
        <f t="shared" ref="N39:O39" si="4">90+71.3</f>
        <v>161.30000000000001</v>
      </c>
      <c r="O39" s="113">
        <f t="shared" si="4"/>
        <v>161.30000000000001</v>
      </c>
      <c r="P39" s="113">
        <f>94.7+64.9</f>
        <v>159.60000000000002</v>
      </c>
      <c r="Q39" s="113">
        <f>90.1+59.7</f>
        <v>149.80000000000001</v>
      </c>
      <c r="R39" s="113">
        <f>92.7+68.9</f>
        <v>161.60000000000002</v>
      </c>
      <c r="S39" s="119">
        <v>153.6</v>
      </c>
      <c r="T39" s="119">
        <v>153.6</v>
      </c>
      <c r="U39" s="119">
        <v>145.4</v>
      </c>
      <c r="V39" s="119">
        <v>146</v>
      </c>
      <c r="W39" s="119">
        <v>146</v>
      </c>
      <c r="X39" s="119">
        <f>68.2+86.3</f>
        <v>154.5</v>
      </c>
      <c r="Y39" s="119">
        <f>69.4+97.4</f>
        <v>166.8</v>
      </c>
      <c r="Z39" s="119">
        <f>69.4+97.4</f>
        <v>166.8</v>
      </c>
      <c r="AA39" s="119">
        <f>69.2+98.3</f>
        <v>167.5</v>
      </c>
      <c r="AB39" s="119">
        <f>70+98.3</f>
        <v>168.3</v>
      </c>
      <c r="AC39" s="119">
        <f>99.3+70.1</f>
        <v>169.39999999999998</v>
      </c>
      <c r="AD39" s="119">
        <f>99.9+70.4</f>
        <v>170.3</v>
      </c>
      <c r="AE39" s="119">
        <f>42.3+100.8</f>
        <v>143.1</v>
      </c>
      <c r="AF39" s="119">
        <f>42.3+100.1</f>
        <v>142.39999999999998</v>
      </c>
      <c r="AG39" s="94">
        <v>240</v>
      </c>
      <c r="AH39" s="20">
        <f t="shared" si="2"/>
        <v>170.3</v>
      </c>
      <c r="AI39" s="19">
        <f t="shared" si="3"/>
        <v>139.69999999999999</v>
      </c>
      <c r="AK39" s="41"/>
    </row>
    <row r="40" spans="1:88" ht="15.75" thickBot="1" x14ac:dyDescent="0.3">
      <c r="A40" s="118" t="s">
        <v>195</v>
      </c>
      <c r="B40" s="86">
        <f t="shared" ref="B40:AG40" si="5">SUM(B11:B38)</f>
        <v>632</v>
      </c>
      <c r="C40" s="86">
        <f t="shared" si="5"/>
        <v>632</v>
      </c>
      <c r="D40" s="86">
        <f t="shared" si="5"/>
        <v>632</v>
      </c>
      <c r="E40" s="86">
        <f t="shared" si="5"/>
        <v>642.79999999999995</v>
      </c>
      <c r="F40" s="86">
        <f t="shared" si="5"/>
        <v>635</v>
      </c>
      <c r="G40" s="86">
        <f t="shared" si="5"/>
        <v>635</v>
      </c>
      <c r="H40" s="86">
        <f t="shared" si="5"/>
        <v>635</v>
      </c>
      <c r="I40" s="86">
        <f t="shared" si="5"/>
        <v>635</v>
      </c>
      <c r="J40" s="86">
        <f t="shared" si="5"/>
        <v>635</v>
      </c>
      <c r="K40" s="86">
        <f t="shared" si="5"/>
        <v>635</v>
      </c>
      <c r="L40" s="86">
        <f t="shared" si="5"/>
        <v>635</v>
      </c>
      <c r="M40" s="86">
        <f t="shared" si="5"/>
        <v>629</v>
      </c>
      <c r="N40" s="86">
        <f t="shared" si="5"/>
        <v>629</v>
      </c>
      <c r="O40" s="86">
        <f t="shared" si="5"/>
        <v>629</v>
      </c>
      <c r="P40" s="86">
        <f t="shared" si="5"/>
        <v>628.6</v>
      </c>
      <c r="Q40" s="86">
        <f t="shared" si="5"/>
        <v>628.6</v>
      </c>
      <c r="R40" s="86">
        <f t="shared" si="5"/>
        <v>608.6</v>
      </c>
      <c r="S40" s="86">
        <f t="shared" si="5"/>
        <v>641.29999999999995</v>
      </c>
      <c r="T40" s="86">
        <f t="shared" si="5"/>
        <v>641.29999999999995</v>
      </c>
      <c r="U40" s="86">
        <f t="shared" si="5"/>
        <v>578.5</v>
      </c>
      <c r="V40" s="86">
        <f t="shared" si="5"/>
        <v>608.29999999999995</v>
      </c>
      <c r="W40" s="86">
        <f t="shared" si="5"/>
        <v>609.29999999999995</v>
      </c>
      <c r="X40" s="86">
        <f t="shared" si="5"/>
        <v>717.4</v>
      </c>
      <c r="Y40" s="86">
        <f t="shared" si="5"/>
        <v>745.4</v>
      </c>
      <c r="Z40" s="86">
        <f t="shared" si="5"/>
        <v>704.2</v>
      </c>
      <c r="AA40" s="86">
        <f t="shared" si="5"/>
        <v>722.2</v>
      </c>
      <c r="AB40" s="86">
        <f t="shared" si="5"/>
        <v>698.5</v>
      </c>
      <c r="AC40" s="86">
        <f t="shared" si="5"/>
        <v>682.7</v>
      </c>
      <c r="AD40" s="86">
        <f t="shared" si="5"/>
        <v>662.5</v>
      </c>
      <c r="AE40" s="86">
        <f t="shared" si="5"/>
        <v>614.9</v>
      </c>
      <c r="AF40" s="86">
        <f t="shared" si="5"/>
        <v>558.1</v>
      </c>
      <c r="AG40" s="101">
        <f t="shared" si="5"/>
        <v>707.78000000000009</v>
      </c>
      <c r="AH40" s="20">
        <f t="shared" si="2"/>
        <v>745.4</v>
      </c>
      <c r="AI40" s="19">
        <f t="shared" si="3"/>
        <v>558.1</v>
      </c>
      <c r="AK40" s="41"/>
    </row>
    <row r="41" spans="1:88" x14ac:dyDescent="0.25">
      <c r="A41" s="117" t="s">
        <v>194</v>
      </c>
      <c r="B41" s="105">
        <v>456</v>
      </c>
      <c r="C41" s="105">
        <v>370</v>
      </c>
      <c r="D41" s="105">
        <v>350</v>
      </c>
      <c r="E41" s="105">
        <v>350</v>
      </c>
      <c r="F41" s="105">
        <v>350</v>
      </c>
      <c r="G41" s="105">
        <v>350</v>
      </c>
      <c r="H41" s="105">
        <v>350</v>
      </c>
      <c r="I41" s="105">
        <v>350</v>
      </c>
      <c r="J41" s="105">
        <v>350</v>
      </c>
      <c r="K41" s="105">
        <v>350</v>
      </c>
      <c r="L41" s="105">
        <v>350</v>
      </c>
      <c r="M41" s="105">
        <v>450</v>
      </c>
      <c r="N41" s="105">
        <v>450</v>
      </c>
      <c r="O41" s="105">
        <v>400</v>
      </c>
      <c r="P41" s="105">
        <v>420</v>
      </c>
      <c r="Q41" s="105">
        <v>400</v>
      </c>
      <c r="R41" s="105">
        <v>426</v>
      </c>
      <c r="S41" s="105">
        <v>380</v>
      </c>
      <c r="T41" s="105">
        <v>380</v>
      </c>
      <c r="U41" s="105">
        <v>456</v>
      </c>
      <c r="V41" s="105">
        <v>446</v>
      </c>
      <c r="W41" s="105">
        <v>456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456</v>
      </c>
      <c r="AD41" s="105">
        <v>456</v>
      </c>
      <c r="AE41" s="105">
        <v>456</v>
      </c>
      <c r="AF41" s="105">
        <v>456</v>
      </c>
      <c r="AG41" s="96">
        <v>456</v>
      </c>
      <c r="AH41" s="20">
        <f t="shared" si="2"/>
        <v>456</v>
      </c>
      <c r="AI41" s="19">
        <f t="shared" si="3"/>
        <v>350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>
        <v>60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12</v>
      </c>
      <c r="C43" s="107">
        <v>12</v>
      </c>
      <c r="D43" s="107">
        <v>12</v>
      </c>
      <c r="E43" s="107">
        <v>12</v>
      </c>
      <c r="F43" s="107">
        <v>12</v>
      </c>
      <c r="G43" s="107">
        <v>12</v>
      </c>
      <c r="H43" s="107">
        <v>12</v>
      </c>
      <c r="I43" s="107">
        <v>12</v>
      </c>
      <c r="J43" s="107">
        <v>12</v>
      </c>
      <c r="K43" s="107">
        <v>16</v>
      </c>
      <c r="L43" s="107">
        <v>16</v>
      </c>
      <c r="M43" s="107">
        <v>0</v>
      </c>
      <c r="N43" s="107">
        <v>11</v>
      </c>
      <c r="O43" s="107">
        <v>11</v>
      </c>
      <c r="P43" s="107">
        <v>8</v>
      </c>
      <c r="Q43" s="107">
        <v>8</v>
      </c>
      <c r="R43" s="107">
        <v>17.8</v>
      </c>
      <c r="S43" s="107">
        <v>19</v>
      </c>
      <c r="T43" s="107">
        <v>19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>
        <v>22</v>
      </c>
      <c r="AG43" s="106">
        <v>22.1</v>
      </c>
      <c r="AH43" s="20">
        <f t="shared" si="2"/>
        <v>22</v>
      </c>
      <c r="AI43" s="19">
        <f t="shared" si="3"/>
        <v>0</v>
      </c>
      <c r="AK43" s="41"/>
    </row>
    <row r="44" spans="1:88" ht="15.75" thickBot="1" x14ac:dyDescent="0.3">
      <c r="A44" s="114" t="s">
        <v>191</v>
      </c>
      <c r="B44" s="86">
        <f t="shared" ref="B44:AG44" si="6">SUM(B41:B43)</f>
        <v>528</v>
      </c>
      <c r="C44" s="86">
        <f t="shared" si="6"/>
        <v>442</v>
      </c>
      <c r="D44" s="86">
        <f t="shared" si="6"/>
        <v>422</v>
      </c>
      <c r="E44" s="86">
        <f t="shared" si="6"/>
        <v>422</v>
      </c>
      <c r="F44" s="86">
        <f t="shared" si="6"/>
        <v>422</v>
      </c>
      <c r="G44" s="86">
        <f t="shared" si="6"/>
        <v>422</v>
      </c>
      <c r="H44" s="86">
        <f t="shared" si="6"/>
        <v>422</v>
      </c>
      <c r="I44" s="86">
        <f t="shared" si="6"/>
        <v>422</v>
      </c>
      <c r="J44" s="86">
        <f t="shared" si="6"/>
        <v>422</v>
      </c>
      <c r="K44" s="86">
        <f t="shared" si="6"/>
        <v>426</v>
      </c>
      <c r="L44" s="86">
        <f t="shared" si="6"/>
        <v>426</v>
      </c>
      <c r="M44" s="86">
        <f t="shared" si="6"/>
        <v>510</v>
      </c>
      <c r="N44" s="86">
        <f t="shared" si="6"/>
        <v>521</v>
      </c>
      <c r="O44" s="86">
        <f t="shared" si="6"/>
        <v>471</v>
      </c>
      <c r="P44" s="86">
        <f t="shared" si="6"/>
        <v>488</v>
      </c>
      <c r="Q44" s="86">
        <f t="shared" si="6"/>
        <v>468</v>
      </c>
      <c r="R44" s="86">
        <f t="shared" si="6"/>
        <v>503.8</v>
      </c>
      <c r="S44" s="86">
        <f t="shared" si="6"/>
        <v>459</v>
      </c>
      <c r="T44" s="86">
        <f t="shared" si="6"/>
        <v>459</v>
      </c>
      <c r="U44" s="86">
        <f t="shared" si="6"/>
        <v>538</v>
      </c>
      <c r="V44" s="86">
        <f t="shared" si="6"/>
        <v>528</v>
      </c>
      <c r="W44" s="86">
        <f t="shared" si="6"/>
        <v>538</v>
      </c>
      <c r="X44" s="86">
        <f t="shared" si="6"/>
        <v>538</v>
      </c>
      <c r="Y44" s="86">
        <f t="shared" si="6"/>
        <v>538</v>
      </c>
      <c r="Z44" s="86">
        <f t="shared" si="6"/>
        <v>538</v>
      </c>
      <c r="AA44" s="86">
        <f t="shared" si="6"/>
        <v>538</v>
      </c>
      <c r="AB44" s="86">
        <f t="shared" si="6"/>
        <v>538</v>
      </c>
      <c r="AC44" s="86">
        <f t="shared" si="6"/>
        <v>538</v>
      </c>
      <c r="AD44" s="86">
        <f t="shared" si="6"/>
        <v>538</v>
      </c>
      <c r="AE44" s="86">
        <f t="shared" si="6"/>
        <v>538</v>
      </c>
      <c r="AF44" s="86">
        <f t="shared" si="6"/>
        <v>538</v>
      </c>
      <c r="AG44" s="101">
        <f t="shared" si="6"/>
        <v>538.1</v>
      </c>
      <c r="AH44" s="20">
        <f t="shared" si="2"/>
        <v>538</v>
      </c>
      <c r="AI44" s="19">
        <f t="shared" si="3"/>
        <v>422</v>
      </c>
      <c r="AK44" s="41"/>
    </row>
    <row r="45" spans="1:88" x14ac:dyDescent="0.25">
      <c r="A45" s="97" t="s">
        <v>190</v>
      </c>
      <c r="B45" s="105">
        <v>0</v>
      </c>
      <c r="C45" s="105">
        <v>0</v>
      </c>
      <c r="D45" s="105">
        <v>0</v>
      </c>
      <c r="E45" s="105">
        <v>0</v>
      </c>
      <c r="F45" s="105">
        <v>0</v>
      </c>
      <c r="G45" s="105">
        <v>0</v>
      </c>
      <c r="H45" s="105">
        <v>0</v>
      </c>
      <c r="I45" s="105">
        <v>0</v>
      </c>
      <c r="J45" s="105">
        <v>0</v>
      </c>
      <c r="K45" s="105">
        <v>0</v>
      </c>
      <c r="L45" s="105">
        <v>0</v>
      </c>
      <c r="M45" s="105">
        <v>0</v>
      </c>
      <c r="N45" s="105">
        <v>0</v>
      </c>
      <c r="O45" s="105">
        <v>0</v>
      </c>
      <c r="P45" s="105">
        <v>0</v>
      </c>
      <c r="Q45" s="105">
        <v>0</v>
      </c>
      <c r="R45" s="105">
        <v>0</v>
      </c>
      <c r="S45" s="105">
        <v>0</v>
      </c>
      <c r="T45" s="105">
        <v>0</v>
      </c>
      <c r="U45" s="105">
        <v>0</v>
      </c>
      <c r="V45" s="105">
        <v>0</v>
      </c>
      <c r="W45" s="105">
        <v>0</v>
      </c>
      <c r="X45" s="105">
        <v>0</v>
      </c>
      <c r="Y45" s="105">
        <v>0</v>
      </c>
      <c r="Z45" s="105">
        <v>0</v>
      </c>
      <c r="AA45" s="105">
        <v>0</v>
      </c>
      <c r="AB45" s="105">
        <v>0</v>
      </c>
      <c r="AC45" s="105">
        <v>0</v>
      </c>
      <c r="AD45" s="105">
        <v>0</v>
      </c>
      <c r="AE45" s="105">
        <v>0</v>
      </c>
      <c r="AF45" s="105">
        <v>0</v>
      </c>
      <c r="AG45" s="96">
        <v>144</v>
      </c>
      <c r="AH45" s="20">
        <f t="shared" si="2"/>
        <v>0</v>
      </c>
      <c r="AI45" s="19">
        <f t="shared" si="3"/>
        <v>0</v>
      </c>
      <c r="AK45" s="41"/>
    </row>
    <row r="46" spans="1:88" x14ac:dyDescent="0.25">
      <c r="A46" s="95" t="s">
        <v>189</v>
      </c>
      <c r="B46" s="80">
        <v>71</v>
      </c>
      <c r="C46" s="80">
        <v>71</v>
      </c>
      <c r="D46" s="80">
        <v>69.8</v>
      </c>
      <c r="E46" s="80">
        <v>60</v>
      </c>
      <c r="F46" s="80">
        <v>60</v>
      </c>
      <c r="G46" s="80">
        <v>62</v>
      </c>
      <c r="H46" s="80">
        <v>62</v>
      </c>
      <c r="I46" s="80">
        <v>62</v>
      </c>
      <c r="J46" s="80">
        <v>61</v>
      </c>
      <c r="K46" s="80">
        <v>61</v>
      </c>
      <c r="L46" s="80">
        <v>61</v>
      </c>
      <c r="M46" s="80">
        <v>72.3</v>
      </c>
      <c r="N46" s="80">
        <v>72.3</v>
      </c>
      <c r="O46" s="80">
        <v>72.3</v>
      </c>
      <c r="P46" s="105">
        <v>72.5</v>
      </c>
      <c r="Q46" s="105">
        <v>72.5</v>
      </c>
      <c r="R46" s="105">
        <v>72.5</v>
      </c>
      <c r="S46" s="80">
        <v>72.099999999999994</v>
      </c>
      <c r="T46" s="80">
        <v>70</v>
      </c>
      <c r="U46" s="80">
        <v>71</v>
      </c>
      <c r="V46" s="80">
        <v>72</v>
      </c>
      <c r="W46" s="80">
        <v>70.3</v>
      </c>
      <c r="X46" s="80">
        <v>71.7</v>
      </c>
      <c r="Y46" s="80">
        <v>71.7</v>
      </c>
      <c r="Z46" s="80">
        <v>62.2</v>
      </c>
      <c r="AA46" s="80">
        <v>62.2</v>
      </c>
      <c r="AB46" s="80">
        <v>62.2</v>
      </c>
      <c r="AC46" s="80">
        <v>62.2</v>
      </c>
      <c r="AD46" s="80">
        <v>70.400000000000006</v>
      </c>
      <c r="AE46" s="80">
        <v>72.099999999999994</v>
      </c>
      <c r="AF46" s="80">
        <v>70.7</v>
      </c>
      <c r="AG46" s="94">
        <v>70</v>
      </c>
      <c r="AH46" s="20">
        <f t="shared" si="2"/>
        <v>72.5</v>
      </c>
      <c r="AI46" s="19">
        <f t="shared" si="3"/>
        <v>60</v>
      </c>
      <c r="AK46" s="41"/>
    </row>
    <row r="47" spans="1:88" x14ac:dyDescent="0.25">
      <c r="A47" s="95" t="s">
        <v>188</v>
      </c>
      <c r="B47" s="80">
        <v>44.4</v>
      </c>
      <c r="C47" s="80">
        <v>44.4</v>
      </c>
      <c r="D47" s="80">
        <v>44.4</v>
      </c>
      <c r="E47" s="80">
        <v>45</v>
      </c>
      <c r="F47" s="80">
        <v>45</v>
      </c>
      <c r="G47" s="80">
        <v>44.1</v>
      </c>
      <c r="H47" s="80">
        <v>44.1</v>
      </c>
      <c r="I47" s="80">
        <v>44.1</v>
      </c>
      <c r="J47" s="80">
        <v>44.1</v>
      </c>
      <c r="K47" s="80">
        <v>44.1</v>
      </c>
      <c r="L47" s="80">
        <v>44.1</v>
      </c>
      <c r="M47" s="80">
        <v>43</v>
      </c>
      <c r="N47" s="80">
        <v>43</v>
      </c>
      <c r="O47" s="80">
        <v>43</v>
      </c>
      <c r="P47" s="105">
        <v>43.5</v>
      </c>
      <c r="Q47" s="105">
        <v>43.5</v>
      </c>
      <c r="R47" s="105">
        <v>43.5</v>
      </c>
      <c r="S47" s="80">
        <v>36.200000000000003</v>
      </c>
      <c r="T47" s="80">
        <v>46</v>
      </c>
      <c r="U47" s="80">
        <v>44.1</v>
      </c>
      <c r="V47" s="80">
        <v>44.5</v>
      </c>
      <c r="W47" s="80">
        <v>44.5</v>
      </c>
      <c r="X47" s="80">
        <v>44.2</v>
      </c>
      <c r="Y47" s="80">
        <v>44.2</v>
      </c>
      <c r="Z47" s="80">
        <v>44.2</v>
      </c>
      <c r="AA47" s="80">
        <v>44.2</v>
      </c>
      <c r="AB47" s="80">
        <v>44.2</v>
      </c>
      <c r="AC47" s="80">
        <v>44.2</v>
      </c>
      <c r="AD47" s="80">
        <v>44.2</v>
      </c>
      <c r="AE47" s="80">
        <v>44.5</v>
      </c>
      <c r="AF47" s="80">
        <v>44.2</v>
      </c>
      <c r="AG47" s="94">
        <v>69</v>
      </c>
      <c r="AH47" s="20">
        <f t="shared" si="2"/>
        <v>46</v>
      </c>
      <c r="AI47" s="19">
        <f t="shared" si="3"/>
        <v>36.200000000000003</v>
      </c>
      <c r="AK47" s="41"/>
    </row>
    <row r="48" spans="1:88" x14ac:dyDescent="0.25">
      <c r="A48" s="95" t="s">
        <v>187</v>
      </c>
      <c r="B48" s="113">
        <v>0</v>
      </c>
      <c r="C48" s="113">
        <v>0</v>
      </c>
      <c r="D48" s="113">
        <v>0</v>
      </c>
      <c r="E48" s="113">
        <v>0</v>
      </c>
      <c r="F48" s="113">
        <v>0</v>
      </c>
      <c r="G48" s="113">
        <v>0</v>
      </c>
      <c r="H48" s="113">
        <v>0</v>
      </c>
      <c r="I48" s="113">
        <v>0</v>
      </c>
      <c r="J48" s="113">
        <v>0</v>
      </c>
      <c r="K48" s="113">
        <v>0</v>
      </c>
      <c r="L48" s="113">
        <v>0</v>
      </c>
      <c r="M48" s="80">
        <v>0</v>
      </c>
      <c r="N48" s="80">
        <v>0</v>
      </c>
      <c r="O48" s="80">
        <v>0</v>
      </c>
      <c r="P48" s="105">
        <v>60.2</v>
      </c>
      <c r="Q48" s="105">
        <v>60.2</v>
      </c>
      <c r="R48" s="105">
        <v>60.2</v>
      </c>
      <c r="S48" s="105">
        <v>60.3</v>
      </c>
      <c r="T48" s="105">
        <v>60.3</v>
      </c>
      <c r="U48" s="105">
        <v>60.7</v>
      </c>
      <c r="V48" s="80">
        <v>60.6</v>
      </c>
      <c r="W48" s="80">
        <v>60.6</v>
      </c>
      <c r="X48" s="80">
        <v>60.7</v>
      </c>
      <c r="Y48" s="80">
        <v>60.7</v>
      </c>
      <c r="Z48" s="80">
        <v>60.7</v>
      </c>
      <c r="AA48" s="80">
        <v>60.7</v>
      </c>
      <c r="AB48" s="80">
        <v>60.7</v>
      </c>
      <c r="AC48" s="80">
        <v>60.7</v>
      </c>
      <c r="AD48" s="80">
        <v>60.7</v>
      </c>
      <c r="AE48" s="113">
        <v>60.7</v>
      </c>
      <c r="AF48" s="113">
        <v>60.4</v>
      </c>
      <c r="AG48" s="94">
        <v>60</v>
      </c>
      <c r="AH48" s="20">
        <f t="shared" si="2"/>
        <v>60.7</v>
      </c>
      <c r="AI48" s="19">
        <f t="shared" si="3"/>
        <v>0</v>
      </c>
      <c r="AK48" s="41"/>
    </row>
    <row r="49" spans="1:41" x14ac:dyDescent="0.25">
      <c r="A49" s="95" t="s">
        <v>186</v>
      </c>
      <c r="B49" s="113">
        <v>29.3</v>
      </c>
      <c r="C49" s="113">
        <v>29.3</v>
      </c>
      <c r="D49" s="113">
        <v>29.3</v>
      </c>
      <c r="E49" s="113">
        <v>29.3</v>
      </c>
      <c r="F49" s="113">
        <v>29.3</v>
      </c>
      <c r="G49" s="113">
        <v>29.3</v>
      </c>
      <c r="H49" s="113">
        <v>15</v>
      </c>
      <c r="I49" s="113">
        <v>30</v>
      </c>
      <c r="J49" s="113">
        <v>30</v>
      </c>
      <c r="K49" s="113">
        <v>0</v>
      </c>
      <c r="L49" s="113">
        <v>30</v>
      </c>
      <c r="M49" s="113">
        <v>30</v>
      </c>
      <c r="N49" s="113">
        <v>30</v>
      </c>
      <c r="O49" s="113">
        <v>30</v>
      </c>
      <c r="P49" s="105">
        <v>29.9</v>
      </c>
      <c r="Q49" s="105">
        <v>29.9</v>
      </c>
      <c r="R49" s="105">
        <v>29.9</v>
      </c>
      <c r="S49" s="105">
        <v>29.6</v>
      </c>
      <c r="T49" s="105">
        <v>29.9</v>
      </c>
      <c r="U49" s="105">
        <v>0</v>
      </c>
      <c r="V49" s="80">
        <v>29.6</v>
      </c>
      <c r="W49" s="80">
        <v>29.4</v>
      </c>
      <c r="X49" s="80">
        <v>29.4</v>
      </c>
      <c r="Y49" s="80">
        <v>29.4</v>
      </c>
      <c r="Z49" s="80">
        <v>29.4</v>
      </c>
      <c r="AA49" s="80">
        <v>29.4</v>
      </c>
      <c r="AB49" s="80">
        <v>29.4</v>
      </c>
      <c r="AC49" s="80">
        <v>29.4</v>
      </c>
      <c r="AD49" s="80">
        <v>29.4</v>
      </c>
      <c r="AE49" s="113">
        <v>29.8</v>
      </c>
      <c r="AF49" s="113">
        <v>29.9</v>
      </c>
      <c r="AG49" s="94">
        <v>30</v>
      </c>
      <c r="AH49" s="20">
        <f t="shared" si="2"/>
        <v>30</v>
      </c>
      <c r="AI49" s="19">
        <f t="shared" si="3"/>
        <v>0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0</v>
      </c>
      <c r="N50" s="80">
        <v>0</v>
      </c>
      <c r="O50" s="80">
        <v>0</v>
      </c>
      <c r="P50" s="80">
        <v>0</v>
      </c>
      <c r="Q50" s="80">
        <v>0</v>
      </c>
      <c r="R50" s="80">
        <v>0</v>
      </c>
      <c r="S50" s="105">
        <v>0</v>
      </c>
      <c r="T50" s="105">
        <v>0</v>
      </c>
      <c r="U50" s="105">
        <v>0</v>
      </c>
      <c r="V50" s="105">
        <v>0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80">
        <v>0</v>
      </c>
      <c r="AF50" s="80">
        <v>0</v>
      </c>
      <c r="AG50" s="94">
        <v>25</v>
      </c>
      <c r="AH50" s="20">
        <f t="shared" si="2"/>
        <v>0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4</v>
      </c>
      <c r="C51" s="80">
        <v>4</v>
      </c>
      <c r="D51" s="80">
        <v>4</v>
      </c>
      <c r="E51" s="80">
        <v>4</v>
      </c>
      <c r="F51" s="80">
        <v>4</v>
      </c>
      <c r="G51" s="80">
        <v>4</v>
      </c>
      <c r="H51" s="80">
        <v>4</v>
      </c>
      <c r="I51" s="80">
        <v>4</v>
      </c>
      <c r="J51" s="80">
        <v>4</v>
      </c>
      <c r="K51" s="80">
        <v>4</v>
      </c>
      <c r="L51" s="80">
        <v>4</v>
      </c>
      <c r="M51" s="80">
        <v>0</v>
      </c>
      <c r="N51" s="80">
        <v>6</v>
      </c>
      <c r="O51" s="80">
        <v>6</v>
      </c>
      <c r="P51" s="80">
        <v>11.5</v>
      </c>
      <c r="Q51" s="80">
        <v>11.2</v>
      </c>
      <c r="R51" s="80">
        <v>0</v>
      </c>
      <c r="S51" s="105">
        <v>0</v>
      </c>
      <c r="T51" s="105">
        <v>0</v>
      </c>
      <c r="U51" s="105">
        <v>0</v>
      </c>
      <c r="V51" s="105">
        <v>0</v>
      </c>
      <c r="W51" s="105">
        <v>0</v>
      </c>
      <c r="X51" s="105">
        <v>0</v>
      </c>
      <c r="Y51" s="105">
        <v>0</v>
      </c>
      <c r="Z51" s="105">
        <v>0</v>
      </c>
      <c r="AA51" s="105">
        <v>0</v>
      </c>
      <c r="AB51" s="105">
        <v>0</v>
      </c>
      <c r="AC51" s="105">
        <v>0</v>
      </c>
      <c r="AD51" s="105">
        <v>0</v>
      </c>
      <c r="AE51" s="80">
        <v>0</v>
      </c>
      <c r="AF51" s="80">
        <v>0</v>
      </c>
      <c r="AG51" s="94">
        <v>24</v>
      </c>
      <c r="AH51" s="20">
        <f t="shared" si="2"/>
        <v>11.5</v>
      </c>
      <c r="AI51" s="19">
        <f t="shared" si="3"/>
        <v>0</v>
      </c>
      <c r="AK51" s="41"/>
    </row>
    <row r="52" spans="1:41" x14ac:dyDescent="0.25">
      <c r="A52" s="95" t="s">
        <v>183</v>
      </c>
      <c r="B52" s="80">
        <v>0</v>
      </c>
      <c r="C52" s="80">
        <v>0</v>
      </c>
      <c r="D52" s="80">
        <v>0</v>
      </c>
      <c r="E52" s="80">
        <v>0</v>
      </c>
      <c r="F52" s="80">
        <v>0</v>
      </c>
      <c r="G52" s="80">
        <v>0</v>
      </c>
      <c r="H52" s="80">
        <v>0</v>
      </c>
      <c r="I52" s="80">
        <v>0</v>
      </c>
      <c r="J52" s="80">
        <v>0</v>
      </c>
      <c r="K52" s="80">
        <v>0</v>
      </c>
      <c r="L52" s="80">
        <v>0</v>
      </c>
      <c r="M52" s="80">
        <v>0</v>
      </c>
      <c r="N52" s="80">
        <v>0</v>
      </c>
      <c r="O52" s="80">
        <v>0</v>
      </c>
      <c r="P52" s="80">
        <v>0</v>
      </c>
      <c r="Q52" s="80">
        <v>0</v>
      </c>
      <c r="R52" s="80">
        <v>0</v>
      </c>
      <c r="S52" s="80">
        <v>0</v>
      </c>
      <c r="T52" s="105">
        <v>0</v>
      </c>
      <c r="U52" s="80">
        <v>0</v>
      </c>
      <c r="V52" s="80">
        <v>0</v>
      </c>
      <c r="W52" s="80">
        <v>0</v>
      </c>
      <c r="X52" s="80">
        <v>0</v>
      </c>
      <c r="Y52" s="80">
        <v>0</v>
      </c>
      <c r="Z52" s="80">
        <v>0</v>
      </c>
      <c r="AA52" s="80">
        <v>0</v>
      </c>
      <c r="AB52" s="80">
        <v>0</v>
      </c>
      <c r="AC52" s="80">
        <v>0</v>
      </c>
      <c r="AD52" s="80">
        <v>0</v>
      </c>
      <c r="AE52" s="80">
        <v>0</v>
      </c>
      <c r="AF52" s="80">
        <v>0</v>
      </c>
      <c r="AG52" s="94">
        <v>15</v>
      </c>
      <c r="AH52" s="20">
        <f t="shared" si="2"/>
        <v>0</v>
      </c>
      <c r="AI52" s="19">
        <f t="shared" si="3"/>
        <v>0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3.1</v>
      </c>
      <c r="C53" s="80">
        <v>3.1</v>
      </c>
      <c r="D53" s="80">
        <v>3.1</v>
      </c>
      <c r="E53" s="80">
        <v>3.1</v>
      </c>
      <c r="F53" s="80">
        <v>3.1</v>
      </c>
      <c r="G53" s="80">
        <v>3.1</v>
      </c>
      <c r="H53" s="80">
        <v>3.1</v>
      </c>
      <c r="I53" s="80">
        <v>3.1</v>
      </c>
      <c r="J53" s="80">
        <v>3.1</v>
      </c>
      <c r="K53" s="80">
        <v>3.1</v>
      </c>
      <c r="L53" s="80">
        <v>3.1</v>
      </c>
      <c r="M53" s="80">
        <v>3.1</v>
      </c>
      <c r="N53" s="80">
        <v>3.1</v>
      </c>
      <c r="O53" s="80">
        <v>3.1</v>
      </c>
      <c r="P53" s="80">
        <v>6</v>
      </c>
      <c r="Q53" s="80">
        <v>6.2</v>
      </c>
      <c r="R53" s="80">
        <v>6.7</v>
      </c>
      <c r="S53" s="80">
        <v>5.9</v>
      </c>
      <c r="T53" s="105">
        <v>0</v>
      </c>
      <c r="U53" s="80">
        <v>0</v>
      </c>
      <c r="V53" s="80">
        <v>0</v>
      </c>
      <c r="W53" s="80">
        <v>0</v>
      </c>
      <c r="X53" s="80">
        <v>0</v>
      </c>
      <c r="Y53" s="80">
        <v>0</v>
      </c>
      <c r="Z53" s="80">
        <v>0</v>
      </c>
      <c r="AA53" s="80">
        <v>0</v>
      </c>
      <c r="AB53" s="80">
        <v>0</v>
      </c>
      <c r="AC53" s="80">
        <v>0</v>
      </c>
      <c r="AD53" s="80">
        <v>0</v>
      </c>
      <c r="AE53" s="80">
        <v>0</v>
      </c>
      <c r="AF53" s="80">
        <v>0</v>
      </c>
      <c r="AG53" s="94">
        <v>14.1</v>
      </c>
      <c r="AH53" s="20">
        <f t="shared" si="2"/>
        <v>6.7</v>
      </c>
      <c r="AI53" s="19">
        <f t="shared" si="3"/>
        <v>0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12</v>
      </c>
      <c r="C54" s="80">
        <v>12</v>
      </c>
      <c r="D54" s="80">
        <v>12</v>
      </c>
      <c r="E54" s="80">
        <v>12</v>
      </c>
      <c r="F54" s="80">
        <v>12</v>
      </c>
      <c r="G54" s="80">
        <v>12.9</v>
      </c>
      <c r="H54" s="80">
        <v>12.9</v>
      </c>
      <c r="I54" s="80">
        <v>12.9</v>
      </c>
      <c r="J54" s="80">
        <v>12.9</v>
      </c>
      <c r="K54" s="80">
        <v>12.9</v>
      </c>
      <c r="L54" s="80">
        <v>12.9</v>
      </c>
      <c r="M54" s="80">
        <v>12.9</v>
      </c>
      <c r="N54" s="80">
        <v>12.9</v>
      </c>
      <c r="O54" s="80">
        <v>12.9</v>
      </c>
      <c r="P54" s="80">
        <v>14.1</v>
      </c>
      <c r="Q54" s="80">
        <v>14</v>
      </c>
      <c r="R54" s="80">
        <v>13</v>
      </c>
      <c r="S54" s="80">
        <v>14.1</v>
      </c>
      <c r="T54" s="105">
        <v>14.1</v>
      </c>
      <c r="U54" s="80">
        <v>14.1</v>
      </c>
      <c r="V54" s="80">
        <v>14.1</v>
      </c>
      <c r="W54" s="80">
        <v>14.1</v>
      </c>
      <c r="X54" s="80">
        <v>14.1</v>
      </c>
      <c r="Y54" s="80">
        <v>14.1</v>
      </c>
      <c r="Z54" s="80">
        <v>0</v>
      </c>
      <c r="AA54" s="80">
        <v>7</v>
      </c>
      <c r="AB54" s="80">
        <v>14</v>
      </c>
      <c r="AC54" s="80">
        <v>14</v>
      </c>
      <c r="AD54" s="80">
        <v>14</v>
      </c>
      <c r="AE54" s="80">
        <v>14.3</v>
      </c>
      <c r="AF54" s="80">
        <v>14.2</v>
      </c>
      <c r="AG54" s="94">
        <v>14</v>
      </c>
      <c r="AH54" s="20">
        <f t="shared" si="2"/>
        <v>14.3</v>
      </c>
      <c r="AI54" s="19">
        <f t="shared" si="3"/>
        <v>0</v>
      </c>
      <c r="AK54" s="41"/>
    </row>
    <row r="55" spans="1:41" x14ac:dyDescent="0.25">
      <c r="A55" s="95" t="s">
        <v>180</v>
      </c>
      <c r="B55" s="80">
        <v>6.5</v>
      </c>
      <c r="C55" s="80">
        <v>6.5</v>
      </c>
      <c r="D55" s="80">
        <v>6.5</v>
      </c>
      <c r="E55" s="80">
        <v>6.5</v>
      </c>
      <c r="F55" s="80">
        <v>6.5</v>
      </c>
      <c r="G55" s="80">
        <v>6.5</v>
      </c>
      <c r="H55" s="80">
        <v>6.5</v>
      </c>
      <c r="I55" s="80">
        <v>6.5</v>
      </c>
      <c r="J55" s="80">
        <v>6.5</v>
      </c>
      <c r="K55" s="80">
        <v>6.5</v>
      </c>
      <c r="L55" s="80">
        <v>6.5</v>
      </c>
      <c r="M55" s="80">
        <v>6.5</v>
      </c>
      <c r="N55" s="80">
        <v>6.5</v>
      </c>
      <c r="O55" s="80">
        <v>6.5</v>
      </c>
      <c r="P55" s="80">
        <v>6.5</v>
      </c>
      <c r="Q55" s="80">
        <v>6.5</v>
      </c>
      <c r="R55" s="80">
        <v>6.5</v>
      </c>
      <c r="S55" s="80">
        <v>9.1</v>
      </c>
      <c r="T55" s="105">
        <v>9.1</v>
      </c>
      <c r="U55" s="80">
        <v>9.1</v>
      </c>
      <c r="V55" s="80">
        <v>9.1</v>
      </c>
      <c r="W55" s="80">
        <v>9.1</v>
      </c>
      <c r="X55" s="80">
        <v>9.1</v>
      </c>
      <c r="Y55" s="80">
        <v>9.1</v>
      </c>
      <c r="Z55" s="80">
        <v>9.1</v>
      </c>
      <c r="AA55" s="80">
        <v>9.1</v>
      </c>
      <c r="AB55" s="80">
        <v>9.1</v>
      </c>
      <c r="AC55" s="80">
        <v>9.1</v>
      </c>
      <c r="AD55" s="80">
        <v>9.1</v>
      </c>
      <c r="AE55" s="80">
        <v>9.1</v>
      </c>
      <c r="AF55" s="80">
        <v>9.1</v>
      </c>
      <c r="AG55" s="94">
        <v>10.050000000000001</v>
      </c>
      <c r="AH55" s="20">
        <f t="shared" si="2"/>
        <v>9.1</v>
      </c>
      <c r="AI55" s="19">
        <f t="shared" si="3"/>
        <v>6.5</v>
      </c>
      <c r="AK55" s="41"/>
    </row>
    <row r="56" spans="1:41" x14ac:dyDescent="0.25">
      <c r="A56" s="95" t="s">
        <v>179</v>
      </c>
      <c r="B56" s="80">
        <v>6.2</v>
      </c>
      <c r="C56" s="80">
        <v>6.2</v>
      </c>
      <c r="D56" s="80">
        <v>6.2</v>
      </c>
      <c r="E56" s="80">
        <v>6.2</v>
      </c>
      <c r="F56" s="80">
        <v>6.2</v>
      </c>
      <c r="G56" s="80">
        <v>6.2</v>
      </c>
      <c r="H56" s="80">
        <v>6.2</v>
      </c>
      <c r="I56" s="80">
        <v>6.2</v>
      </c>
      <c r="J56" s="80">
        <v>6.2</v>
      </c>
      <c r="K56" s="80">
        <v>6.2</v>
      </c>
      <c r="L56" s="80">
        <v>6.2</v>
      </c>
      <c r="M56" s="80">
        <v>6.2</v>
      </c>
      <c r="N56" s="80">
        <v>6.2</v>
      </c>
      <c r="O56" s="80">
        <v>6.2</v>
      </c>
      <c r="P56" s="80">
        <v>6.2</v>
      </c>
      <c r="Q56" s="80">
        <v>6.2</v>
      </c>
      <c r="R56" s="80">
        <v>6.2</v>
      </c>
      <c r="S56" s="80">
        <v>6.2</v>
      </c>
      <c r="T56" s="105">
        <v>6.2</v>
      </c>
      <c r="U56" s="80">
        <v>6.2</v>
      </c>
      <c r="V56" s="80">
        <v>6.2</v>
      </c>
      <c r="W56" s="80">
        <v>6.2</v>
      </c>
      <c r="X56" s="80">
        <v>6.2</v>
      </c>
      <c r="Y56" s="80">
        <v>6.2</v>
      </c>
      <c r="Z56" s="80">
        <v>6.2</v>
      </c>
      <c r="AA56" s="80">
        <v>6.2</v>
      </c>
      <c r="AB56" s="80">
        <v>6.2</v>
      </c>
      <c r="AC56" s="80">
        <v>6.2</v>
      </c>
      <c r="AD56" s="80">
        <v>6.2</v>
      </c>
      <c r="AE56" s="80">
        <v>6.2</v>
      </c>
      <c r="AF56" s="80">
        <v>6.2</v>
      </c>
      <c r="AG56" s="94">
        <v>6.2</v>
      </c>
      <c r="AH56" s="20">
        <f t="shared" si="2"/>
        <v>6.2</v>
      </c>
      <c r="AI56" s="19">
        <f t="shared" si="3"/>
        <v>6.2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7">SUM(B45:B57)</f>
        <v>180.04</v>
      </c>
      <c r="C58" s="86">
        <f t="shared" si="7"/>
        <v>180.04</v>
      </c>
      <c r="D58" s="86">
        <f t="shared" si="7"/>
        <v>178.83999999999997</v>
      </c>
      <c r="E58" s="86">
        <f t="shared" si="7"/>
        <v>169.64</v>
      </c>
      <c r="F58" s="86">
        <f t="shared" si="7"/>
        <v>169.64</v>
      </c>
      <c r="G58" s="86">
        <f t="shared" si="7"/>
        <v>171.64</v>
      </c>
      <c r="H58" s="86">
        <f t="shared" si="7"/>
        <v>157.33999999999997</v>
      </c>
      <c r="I58" s="86">
        <f t="shared" si="7"/>
        <v>172.33999999999997</v>
      </c>
      <c r="J58" s="86">
        <f t="shared" si="7"/>
        <v>171.33999999999997</v>
      </c>
      <c r="K58" s="86">
        <f t="shared" si="7"/>
        <v>141.33999999999997</v>
      </c>
      <c r="L58" s="86">
        <f t="shared" si="7"/>
        <v>171.33999999999997</v>
      </c>
      <c r="M58" s="86">
        <f t="shared" si="7"/>
        <v>177.54</v>
      </c>
      <c r="N58" s="86">
        <f t="shared" si="7"/>
        <v>183.54</v>
      </c>
      <c r="O58" s="86">
        <f t="shared" si="7"/>
        <v>183.54</v>
      </c>
      <c r="P58" s="86">
        <f t="shared" si="7"/>
        <v>253.93999999999997</v>
      </c>
      <c r="Q58" s="86">
        <f t="shared" si="7"/>
        <v>253.73999999999995</v>
      </c>
      <c r="R58" s="86">
        <f t="shared" si="7"/>
        <v>242.03999999999996</v>
      </c>
      <c r="S58" s="86">
        <f t="shared" si="7"/>
        <v>237.03999999999996</v>
      </c>
      <c r="T58" s="86">
        <f t="shared" si="7"/>
        <v>239.14</v>
      </c>
      <c r="U58" s="86">
        <f t="shared" si="7"/>
        <v>208.73999999999998</v>
      </c>
      <c r="V58" s="86">
        <f t="shared" si="7"/>
        <v>239.63999999999996</v>
      </c>
      <c r="W58" s="86">
        <f t="shared" si="7"/>
        <v>237.73999999999998</v>
      </c>
      <c r="X58" s="86">
        <f t="shared" si="7"/>
        <v>238.94</v>
      </c>
      <c r="Y58" s="86">
        <f t="shared" si="7"/>
        <v>238.94</v>
      </c>
      <c r="Z58" s="86">
        <f t="shared" si="7"/>
        <v>215.34</v>
      </c>
      <c r="AA58" s="86">
        <f t="shared" si="7"/>
        <v>222.34</v>
      </c>
      <c r="AB58" s="86">
        <f t="shared" si="7"/>
        <v>229.34</v>
      </c>
      <c r="AC58" s="86">
        <f t="shared" si="7"/>
        <v>229.34</v>
      </c>
      <c r="AD58" s="86">
        <f t="shared" si="7"/>
        <v>237.54</v>
      </c>
      <c r="AE58" s="86">
        <f t="shared" si="7"/>
        <v>240.24</v>
      </c>
      <c r="AF58" s="86">
        <f t="shared" si="7"/>
        <v>238.23999999999998</v>
      </c>
      <c r="AG58" s="101">
        <f t="shared" si="7"/>
        <v>489.91</v>
      </c>
      <c r="AH58" s="20">
        <f t="shared" si="2"/>
        <v>253.93999999999997</v>
      </c>
      <c r="AI58" s="19">
        <f t="shared" si="3"/>
        <v>141.33999999999997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>
        <v>0</v>
      </c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>
        <v>0</v>
      </c>
      <c r="Z59" s="105">
        <v>0</v>
      </c>
      <c r="AA59" s="105">
        <v>0</v>
      </c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07">
        <v>0</v>
      </c>
      <c r="Y61" s="107">
        <v>0</v>
      </c>
      <c r="Z61" s="107">
        <v>0</v>
      </c>
      <c r="AA61" s="107">
        <v>0</v>
      </c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8">SUM(B59:B61)</f>
        <v>0</v>
      </c>
      <c r="C62" s="86">
        <f t="shared" si="8"/>
        <v>0</v>
      </c>
      <c r="D62" s="86">
        <f t="shared" si="8"/>
        <v>0</v>
      </c>
      <c r="E62" s="86">
        <f t="shared" si="8"/>
        <v>0</v>
      </c>
      <c r="F62" s="86">
        <f t="shared" si="8"/>
        <v>0</v>
      </c>
      <c r="G62" s="86">
        <f t="shared" si="8"/>
        <v>0</v>
      </c>
      <c r="H62" s="86">
        <f t="shared" si="8"/>
        <v>0</v>
      </c>
      <c r="I62" s="86">
        <f t="shared" si="8"/>
        <v>0</v>
      </c>
      <c r="J62" s="86">
        <f t="shared" si="8"/>
        <v>0</v>
      </c>
      <c r="K62" s="86">
        <f t="shared" si="8"/>
        <v>0</v>
      </c>
      <c r="L62" s="86">
        <f t="shared" si="8"/>
        <v>0</v>
      </c>
      <c r="M62" s="86">
        <f t="shared" si="8"/>
        <v>0</v>
      </c>
      <c r="N62" s="86">
        <f t="shared" si="8"/>
        <v>0</v>
      </c>
      <c r="O62" s="86">
        <f t="shared" si="8"/>
        <v>0</v>
      </c>
      <c r="P62" s="86">
        <f t="shared" si="8"/>
        <v>0</v>
      </c>
      <c r="Q62" s="86">
        <f t="shared" si="8"/>
        <v>0</v>
      </c>
      <c r="R62" s="86">
        <f t="shared" si="8"/>
        <v>0</v>
      </c>
      <c r="S62" s="86">
        <f t="shared" si="8"/>
        <v>0</v>
      </c>
      <c r="T62" s="86">
        <f t="shared" si="8"/>
        <v>0</v>
      </c>
      <c r="U62" s="86">
        <f t="shared" si="8"/>
        <v>0</v>
      </c>
      <c r="V62" s="86">
        <f t="shared" si="8"/>
        <v>0</v>
      </c>
      <c r="W62" s="86">
        <f t="shared" si="8"/>
        <v>0</v>
      </c>
      <c r="X62" s="86">
        <f t="shared" si="8"/>
        <v>0</v>
      </c>
      <c r="Y62" s="86">
        <f t="shared" si="8"/>
        <v>0</v>
      </c>
      <c r="Z62" s="86">
        <f t="shared" si="8"/>
        <v>0</v>
      </c>
      <c r="AA62" s="86">
        <f t="shared" si="8"/>
        <v>0</v>
      </c>
      <c r="AB62" s="86">
        <f t="shared" si="8"/>
        <v>0</v>
      </c>
      <c r="AC62" s="86">
        <f t="shared" si="8"/>
        <v>0</v>
      </c>
      <c r="AD62" s="86">
        <f t="shared" si="8"/>
        <v>0</v>
      </c>
      <c r="AE62" s="86">
        <f t="shared" si="8"/>
        <v>0</v>
      </c>
      <c r="AF62" s="86">
        <f t="shared" si="8"/>
        <v>0</v>
      </c>
      <c r="AG62" s="101">
        <f t="shared" si="8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10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>
        <v>0</v>
      </c>
      <c r="S63" s="105">
        <v>0</v>
      </c>
      <c r="T63" s="105">
        <v>0</v>
      </c>
      <c r="U63" s="105">
        <v>0</v>
      </c>
      <c r="V63" s="105">
        <v>0</v>
      </c>
      <c r="W63" s="105">
        <v>0</v>
      </c>
      <c r="X63" s="105">
        <v>0</v>
      </c>
      <c r="Y63" s="105">
        <v>0</v>
      </c>
      <c r="Z63" s="105">
        <v>43.5</v>
      </c>
      <c r="AA63" s="105">
        <v>44.6</v>
      </c>
      <c r="AB63" s="105">
        <v>0</v>
      </c>
      <c r="AC63" s="105">
        <v>0</v>
      </c>
      <c r="AD63" s="105">
        <v>0</v>
      </c>
      <c r="AE63" s="105">
        <v>0</v>
      </c>
      <c r="AF63" s="105">
        <v>0</v>
      </c>
      <c r="AG63" s="96"/>
      <c r="AH63" s="20">
        <f t="shared" si="2"/>
        <v>44.6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-401</v>
      </c>
      <c r="C65" s="80">
        <v>-412</v>
      </c>
      <c r="D65" s="80">
        <v>-403</v>
      </c>
      <c r="E65" s="80">
        <v>-430</v>
      </c>
      <c r="F65" s="80">
        <v>-430</v>
      </c>
      <c r="G65" s="80">
        <v>-420</v>
      </c>
      <c r="H65" s="80">
        <v>-421</v>
      </c>
      <c r="I65" s="80">
        <v>-400</v>
      </c>
      <c r="J65" s="80">
        <v>-390</v>
      </c>
      <c r="K65" s="80">
        <v>-380</v>
      </c>
      <c r="L65" s="80">
        <v>-360</v>
      </c>
      <c r="M65" s="80">
        <v>-410</v>
      </c>
      <c r="N65" s="80">
        <v>-415</v>
      </c>
      <c r="O65" s="80">
        <v>-420</v>
      </c>
      <c r="P65" s="80">
        <v>-407.7</v>
      </c>
      <c r="Q65" s="80">
        <v>-403.8</v>
      </c>
      <c r="R65" s="80">
        <v>-410.9</v>
      </c>
      <c r="S65" s="80">
        <v>-412.3</v>
      </c>
      <c r="T65" s="80">
        <v>-412.5</v>
      </c>
      <c r="U65" s="80">
        <v>-411.2</v>
      </c>
      <c r="V65" s="80">
        <v>-396</v>
      </c>
      <c r="W65" s="80">
        <v>-410</v>
      </c>
      <c r="X65" s="80">
        <v>-358</v>
      </c>
      <c r="Y65" s="80">
        <v>-405</v>
      </c>
      <c r="Z65" s="80">
        <v>-377</v>
      </c>
      <c r="AA65" s="80">
        <v>-408</v>
      </c>
      <c r="AB65" s="80">
        <v>-423</v>
      </c>
      <c r="AC65" s="80">
        <v>-382</v>
      </c>
      <c r="AD65" s="80">
        <v>-401</v>
      </c>
      <c r="AE65" s="80">
        <v>-406.5</v>
      </c>
      <c r="AF65" s="80">
        <v>-404.1</v>
      </c>
      <c r="AG65" s="102"/>
      <c r="AH65" s="20">
        <f t="shared" si="2"/>
        <v>-358</v>
      </c>
      <c r="AI65" s="19">
        <f t="shared" si="3"/>
        <v>-430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9">SUMIF(B63:B73,"&gt;0")</f>
        <v>0</v>
      </c>
      <c r="C74" s="86">
        <f t="shared" si="9"/>
        <v>0</v>
      </c>
      <c r="D74" s="86">
        <f t="shared" si="9"/>
        <v>0</v>
      </c>
      <c r="E74" s="86">
        <f t="shared" si="9"/>
        <v>0</v>
      </c>
      <c r="F74" s="86">
        <f t="shared" si="9"/>
        <v>0</v>
      </c>
      <c r="G74" s="86">
        <f t="shared" si="9"/>
        <v>0</v>
      </c>
      <c r="H74" s="86">
        <f t="shared" si="9"/>
        <v>0</v>
      </c>
      <c r="I74" s="86">
        <f t="shared" si="9"/>
        <v>0</v>
      </c>
      <c r="J74" s="86">
        <f t="shared" si="9"/>
        <v>0</v>
      </c>
      <c r="K74" s="86">
        <f t="shared" si="9"/>
        <v>10</v>
      </c>
      <c r="L74" s="86">
        <f t="shared" si="9"/>
        <v>0</v>
      </c>
      <c r="M74" s="86">
        <f t="shared" si="9"/>
        <v>0</v>
      </c>
      <c r="N74" s="86">
        <f t="shared" si="9"/>
        <v>0</v>
      </c>
      <c r="O74" s="86">
        <f t="shared" si="9"/>
        <v>0</v>
      </c>
      <c r="P74" s="86">
        <f t="shared" si="9"/>
        <v>0</v>
      </c>
      <c r="Q74" s="86">
        <f t="shared" si="9"/>
        <v>0</v>
      </c>
      <c r="R74" s="86">
        <f t="shared" si="9"/>
        <v>0</v>
      </c>
      <c r="S74" s="86">
        <f t="shared" si="9"/>
        <v>0</v>
      </c>
      <c r="T74" s="86">
        <f t="shared" si="9"/>
        <v>0</v>
      </c>
      <c r="U74" s="86">
        <f t="shared" si="9"/>
        <v>0</v>
      </c>
      <c r="V74" s="86">
        <f t="shared" si="9"/>
        <v>0</v>
      </c>
      <c r="W74" s="86">
        <f t="shared" si="9"/>
        <v>0</v>
      </c>
      <c r="X74" s="86">
        <f t="shared" si="9"/>
        <v>0</v>
      </c>
      <c r="Y74" s="86">
        <f t="shared" si="9"/>
        <v>0</v>
      </c>
      <c r="Z74" s="86">
        <f t="shared" si="9"/>
        <v>43.5</v>
      </c>
      <c r="AA74" s="86">
        <f t="shared" si="9"/>
        <v>44.6</v>
      </c>
      <c r="AB74" s="86">
        <f t="shared" si="9"/>
        <v>0</v>
      </c>
      <c r="AC74" s="86">
        <f t="shared" si="9"/>
        <v>0</v>
      </c>
      <c r="AD74" s="86">
        <f t="shared" si="9"/>
        <v>0</v>
      </c>
      <c r="AE74" s="86">
        <f t="shared" si="9"/>
        <v>0</v>
      </c>
      <c r="AF74" s="86">
        <f t="shared" si="9"/>
        <v>0</v>
      </c>
      <c r="AG74" s="85">
        <f>SUM(AG63:AG73)</f>
        <v>0</v>
      </c>
      <c r="AH74" s="20">
        <f t="shared" si="2"/>
        <v>44.6</v>
      </c>
      <c r="AI74" s="19">
        <f t="shared" si="3"/>
        <v>0</v>
      </c>
      <c r="AK74" s="41"/>
    </row>
    <row r="75" spans="1:37" x14ac:dyDescent="0.25">
      <c r="A75" s="97" t="s">
        <v>164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2">
        <v>14.4</v>
      </c>
      <c r="AH76" s="20">
        <f t="shared" ref="AH76:AH109" si="10">MAX(B76:AF76)</f>
        <v>0</v>
      </c>
      <c r="AI76" s="19">
        <f t="shared" ref="AI76:AI109" si="11">MIN(B76:AF76)</f>
        <v>0</v>
      </c>
      <c r="AK76" s="41"/>
    </row>
    <row r="77" spans="1:37" ht="15.75" thickBot="1" x14ac:dyDescent="0.3">
      <c r="A77" s="91" t="s">
        <v>162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89">
        <v>2</v>
      </c>
      <c r="AH77" s="20">
        <f t="shared" si="10"/>
        <v>0</v>
      </c>
      <c r="AI77" s="19">
        <f t="shared" si="11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10"/>
        <v>0</v>
      </c>
      <c r="AI78" s="19">
        <f t="shared" si="11"/>
        <v>0</v>
      </c>
    </row>
    <row r="79" spans="1:37" ht="15.75" thickBot="1" x14ac:dyDescent="0.3">
      <c r="A79" s="87" t="s">
        <v>160</v>
      </c>
      <c r="B79" s="98">
        <f t="shared" ref="B79:AG79" si="12">B40+B44+B62+B58+B74+B78</f>
        <v>1340.04</v>
      </c>
      <c r="C79" s="98">
        <f t="shared" si="12"/>
        <v>1254.04</v>
      </c>
      <c r="D79" s="98">
        <f t="shared" si="12"/>
        <v>1232.8399999999999</v>
      </c>
      <c r="E79" s="98">
        <f t="shared" si="12"/>
        <v>1234.44</v>
      </c>
      <c r="F79" s="98">
        <f t="shared" si="12"/>
        <v>1226.6399999999999</v>
      </c>
      <c r="G79" s="98">
        <f t="shared" si="12"/>
        <v>1228.6399999999999</v>
      </c>
      <c r="H79" s="98">
        <f t="shared" si="12"/>
        <v>1214.3399999999999</v>
      </c>
      <c r="I79" s="98">
        <f t="shared" si="12"/>
        <v>1229.3399999999999</v>
      </c>
      <c r="J79" s="98">
        <f t="shared" si="12"/>
        <v>1228.3399999999999</v>
      </c>
      <c r="K79" s="98">
        <f t="shared" si="12"/>
        <v>1212.3399999999999</v>
      </c>
      <c r="L79" s="98">
        <f t="shared" si="12"/>
        <v>1232.3399999999999</v>
      </c>
      <c r="M79" s="98">
        <f t="shared" si="12"/>
        <v>1316.54</v>
      </c>
      <c r="N79" s="98">
        <f t="shared" si="12"/>
        <v>1333.54</v>
      </c>
      <c r="O79" s="98">
        <f t="shared" si="12"/>
        <v>1283.54</v>
      </c>
      <c r="P79" s="98">
        <f t="shared" si="12"/>
        <v>1370.54</v>
      </c>
      <c r="Q79" s="98">
        <f t="shared" si="12"/>
        <v>1350.34</v>
      </c>
      <c r="R79" s="98">
        <f t="shared" si="12"/>
        <v>1354.44</v>
      </c>
      <c r="S79" s="98">
        <f t="shared" si="12"/>
        <v>1337.34</v>
      </c>
      <c r="T79" s="98">
        <f t="shared" si="12"/>
        <v>1339.44</v>
      </c>
      <c r="U79" s="98">
        <f t="shared" si="12"/>
        <v>1325.24</v>
      </c>
      <c r="V79" s="98">
        <f t="shared" si="12"/>
        <v>1375.9399999999998</v>
      </c>
      <c r="W79" s="98">
        <f t="shared" si="12"/>
        <v>1385.04</v>
      </c>
      <c r="X79" s="98">
        <f t="shared" si="12"/>
        <v>1494.3400000000001</v>
      </c>
      <c r="Y79" s="98">
        <f t="shared" si="12"/>
        <v>1522.3400000000001</v>
      </c>
      <c r="Z79" s="98">
        <f t="shared" si="12"/>
        <v>1501.04</v>
      </c>
      <c r="AA79" s="98">
        <f t="shared" si="12"/>
        <v>1527.1399999999999</v>
      </c>
      <c r="AB79" s="98">
        <f t="shared" si="12"/>
        <v>1465.84</v>
      </c>
      <c r="AC79" s="98">
        <f t="shared" si="12"/>
        <v>1450.04</v>
      </c>
      <c r="AD79" s="98">
        <f t="shared" si="12"/>
        <v>1438.04</v>
      </c>
      <c r="AE79" s="98">
        <f t="shared" si="12"/>
        <v>1393.14</v>
      </c>
      <c r="AF79" s="98">
        <f t="shared" si="12"/>
        <v>1334.34</v>
      </c>
      <c r="AG79" s="101">
        <f t="shared" si="12"/>
        <v>1897.1900000000003</v>
      </c>
      <c r="AH79" s="20">
        <f t="shared" si="10"/>
        <v>1527.1399999999999</v>
      </c>
      <c r="AI79" s="19">
        <f t="shared" si="11"/>
        <v>1212.3399999999999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10"/>
        <v>0</v>
      </c>
      <c r="AI80" s="19">
        <f t="shared" si="11"/>
        <v>0</v>
      </c>
    </row>
    <row r="81" spans="1:37" ht="15.75" thickBot="1" x14ac:dyDescent="0.3">
      <c r="A81" s="87" t="s">
        <v>158</v>
      </c>
      <c r="B81" s="98">
        <f t="shared" ref="B81:AF81" si="13">B79+B80</f>
        <v>1340.04</v>
      </c>
      <c r="C81" s="98">
        <f t="shared" si="13"/>
        <v>1254.04</v>
      </c>
      <c r="D81" s="98">
        <f t="shared" si="13"/>
        <v>1232.8399999999999</v>
      </c>
      <c r="E81" s="98">
        <f t="shared" si="13"/>
        <v>1234.44</v>
      </c>
      <c r="F81" s="98">
        <f t="shared" si="13"/>
        <v>1226.6399999999999</v>
      </c>
      <c r="G81" s="98">
        <f t="shared" si="13"/>
        <v>1228.6399999999999</v>
      </c>
      <c r="H81" s="98">
        <f t="shared" si="13"/>
        <v>1214.3399999999999</v>
      </c>
      <c r="I81" s="98">
        <f t="shared" si="13"/>
        <v>1229.3399999999999</v>
      </c>
      <c r="J81" s="98">
        <f t="shared" si="13"/>
        <v>1228.3399999999999</v>
      </c>
      <c r="K81" s="98">
        <f t="shared" si="13"/>
        <v>1212.3399999999999</v>
      </c>
      <c r="L81" s="98">
        <f t="shared" si="13"/>
        <v>1232.3399999999999</v>
      </c>
      <c r="M81" s="98">
        <f t="shared" si="13"/>
        <v>1316.54</v>
      </c>
      <c r="N81" s="98">
        <f t="shared" si="13"/>
        <v>1333.54</v>
      </c>
      <c r="O81" s="98">
        <f t="shared" si="13"/>
        <v>1283.54</v>
      </c>
      <c r="P81" s="98">
        <f t="shared" si="13"/>
        <v>1370.54</v>
      </c>
      <c r="Q81" s="98">
        <f t="shared" si="13"/>
        <v>1350.34</v>
      </c>
      <c r="R81" s="98">
        <f t="shared" si="13"/>
        <v>1354.44</v>
      </c>
      <c r="S81" s="98">
        <f t="shared" si="13"/>
        <v>1337.34</v>
      </c>
      <c r="T81" s="98">
        <f t="shared" si="13"/>
        <v>1339.44</v>
      </c>
      <c r="U81" s="98">
        <f t="shared" si="13"/>
        <v>1325.24</v>
      </c>
      <c r="V81" s="98">
        <f t="shared" si="13"/>
        <v>1375.9399999999998</v>
      </c>
      <c r="W81" s="98">
        <f t="shared" si="13"/>
        <v>1385.04</v>
      </c>
      <c r="X81" s="98">
        <f t="shared" si="13"/>
        <v>1494.3400000000001</v>
      </c>
      <c r="Y81" s="98">
        <f t="shared" si="13"/>
        <v>1522.3400000000001</v>
      </c>
      <c r="Z81" s="98">
        <f t="shared" si="13"/>
        <v>1501.04</v>
      </c>
      <c r="AA81" s="98">
        <f t="shared" si="13"/>
        <v>1527.1399999999999</v>
      </c>
      <c r="AB81" s="98">
        <f t="shared" si="13"/>
        <v>1465.84</v>
      </c>
      <c r="AC81" s="98">
        <f t="shared" si="13"/>
        <v>1450.04</v>
      </c>
      <c r="AD81" s="98">
        <f t="shared" si="13"/>
        <v>1438.04</v>
      </c>
      <c r="AE81" s="98">
        <f t="shared" si="13"/>
        <v>1393.14</v>
      </c>
      <c r="AF81" s="98">
        <f t="shared" si="13"/>
        <v>1334.34</v>
      </c>
      <c r="AG81" s="85">
        <f>AG78+AG74+AG62+AG58+AG40+AG80</f>
        <v>1359.0900000000001</v>
      </c>
      <c r="AH81" s="20">
        <f t="shared" si="10"/>
        <v>1527.1399999999999</v>
      </c>
      <c r="AI81" s="19">
        <f t="shared" si="11"/>
        <v>1212.3399999999999</v>
      </c>
    </row>
    <row r="82" spans="1:37" ht="15.75" thickBot="1" x14ac:dyDescent="0.3">
      <c r="A82" s="87" t="s">
        <v>157</v>
      </c>
      <c r="B82" s="98">
        <f t="shared" ref="B82:AF82" si="14">B81-B89</f>
        <v>939.04</v>
      </c>
      <c r="C82" s="98">
        <f t="shared" si="14"/>
        <v>842.04</v>
      </c>
      <c r="D82" s="98">
        <f t="shared" si="14"/>
        <v>829.83999999999992</v>
      </c>
      <c r="E82" s="98">
        <f t="shared" si="14"/>
        <v>804.44</v>
      </c>
      <c r="F82" s="98">
        <f t="shared" si="14"/>
        <v>796.63999999999987</v>
      </c>
      <c r="G82" s="98">
        <f t="shared" si="14"/>
        <v>808.63999999999987</v>
      </c>
      <c r="H82" s="98">
        <f t="shared" si="14"/>
        <v>793.33999999999992</v>
      </c>
      <c r="I82" s="98">
        <f t="shared" si="14"/>
        <v>829.33999999999992</v>
      </c>
      <c r="J82" s="98">
        <f t="shared" si="14"/>
        <v>838.33999999999992</v>
      </c>
      <c r="K82" s="98">
        <f t="shared" si="14"/>
        <v>832.33999999999992</v>
      </c>
      <c r="L82" s="98">
        <f t="shared" si="14"/>
        <v>872.33999999999992</v>
      </c>
      <c r="M82" s="98">
        <f t="shared" si="14"/>
        <v>906.54</v>
      </c>
      <c r="N82" s="98">
        <f t="shared" si="14"/>
        <v>918.54</v>
      </c>
      <c r="O82" s="98">
        <f t="shared" si="14"/>
        <v>863.54</v>
      </c>
      <c r="P82" s="98">
        <f t="shared" si="14"/>
        <v>962.83999999999992</v>
      </c>
      <c r="Q82" s="98">
        <f t="shared" si="14"/>
        <v>946.54</v>
      </c>
      <c r="R82" s="98">
        <f t="shared" si="14"/>
        <v>943.54000000000008</v>
      </c>
      <c r="S82" s="98">
        <f t="shared" si="14"/>
        <v>925.04</v>
      </c>
      <c r="T82" s="98">
        <f t="shared" si="14"/>
        <v>926.94</v>
      </c>
      <c r="U82" s="98">
        <f t="shared" si="14"/>
        <v>914.04</v>
      </c>
      <c r="V82" s="98">
        <f t="shared" si="14"/>
        <v>979.93999999999983</v>
      </c>
      <c r="W82" s="98">
        <f t="shared" si="14"/>
        <v>975.04</v>
      </c>
      <c r="X82" s="98">
        <f t="shared" si="14"/>
        <v>1136.3400000000001</v>
      </c>
      <c r="Y82" s="98">
        <f t="shared" si="14"/>
        <v>1117.3400000000001</v>
      </c>
      <c r="Z82" s="98">
        <f t="shared" si="14"/>
        <v>1124.04</v>
      </c>
      <c r="AA82" s="98">
        <f t="shared" si="14"/>
        <v>1119.1399999999999</v>
      </c>
      <c r="AB82" s="98">
        <f t="shared" si="14"/>
        <v>1042.8399999999999</v>
      </c>
      <c r="AC82" s="98">
        <f t="shared" si="14"/>
        <v>1068.04</v>
      </c>
      <c r="AD82" s="98">
        <f t="shared" si="14"/>
        <v>1037.04</v>
      </c>
      <c r="AE82" s="98">
        <f t="shared" si="14"/>
        <v>986.6400000000001</v>
      </c>
      <c r="AF82" s="98">
        <f t="shared" si="14"/>
        <v>930.2399999999999</v>
      </c>
      <c r="AG82" s="85"/>
      <c r="AH82" s="20">
        <f t="shared" si="10"/>
        <v>1136.3400000000001</v>
      </c>
      <c r="AI82" s="19">
        <f t="shared" si="11"/>
        <v>793.33999999999992</v>
      </c>
    </row>
    <row r="83" spans="1:37" x14ac:dyDescent="0.25">
      <c r="A83" s="97" t="s">
        <v>156</v>
      </c>
      <c r="B83" s="93">
        <f t="shared" ref="B83:AF83" si="15">IF(B66&lt;0,B66*-1,0)</f>
        <v>0</v>
      </c>
      <c r="C83" s="93">
        <f t="shared" si="15"/>
        <v>0</v>
      </c>
      <c r="D83" s="93">
        <f t="shared" si="15"/>
        <v>0</v>
      </c>
      <c r="E83" s="93">
        <f t="shared" si="15"/>
        <v>0</v>
      </c>
      <c r="F83" s="93">
        <f t="shared" si="15"/>
        <v>0</v>
      </c>
      <c r="G83" s="93">
        <f t="shared" si="15"/>
        <v>0</v>
      </c>
      <c r="H83" s="93">
        <f t="shared" si="15"/>
        <v>0</v>
      </c>
      <c r="I83" s="93">
        <f t="shared" si="15"/>
        <v>0</v>
      </c>
      <c r="J83" s="93">
        <f t="shared" si="15"/>
        <v>0</v>
      </c>
      <c r="K83" s="93">
        <f t="shared" si="15"/>
        <v>0</v>
      </c>
      <c r="L83" s="93">
        <f t="shared" si="15"/>
        <v>0</v>
      </c>
      <c r="M83" s="93">
        <f t="shared" si="15"/>
        <v>0</v>
      </c>
      <c r="N83" s="93">
        <f t="shared" si="15"/>
        <v>0</v>
      </c>
      <c r="O83" s="93">
        <f t="shared" si="15"/>
        <v>0</v>
      </c>
      <c r="P83" s="93">
        <f t="shared" si="15"/>
        <v>0</v>
      </c>
      <c r="Q83" s="93">
        <f t="shared" si="15"/>
        <v>0</v>
      </c>
      <c r="R83" s="93">
        <f t="shared" si="15"/>
        <v>0</v>
      </c>
      <c r="S83" s="93">
        <f t="shared" si="15"/>
        <v>0</v>
      </c>
      <c r="T83" s="93">
        <f t="shared" si="15"/>
        <v>0</v>
      </c>
      <c r="U83" s="93">
        <f t="shared" si="15"/>
        <v>0</v>
      </c>
      <c r="V83" s="93">
        <f t="shared" si="15"/>
        <v>0</v>
      </c>
      <c r="W83" s="93">
        <f t="shared" si="15"/>
        <v>0</v>
      </c>
      <c r="X83" s="93">
        <f t="shared" si="15"/>
        <v>0</v>
      </c>
      <c r="Y83" s="93">
        <f t="shared" si="15"/>
        <v>0</v>
      </c>
      <c r="Z83" s="93">
        <f t="shared" si="15"/>
        <v>0</v>
      </c>
      <c r="AA83" s="93">
        <f t="shared" si="15"/>
        <v>0</v>
      </c>
      <c r="AB83" s="93">
        <f t="shared" si="15"/>
        <v>0</v>
      </c>
      <c r="AC83" s="93">
        <f t="shared" si="15"/>
        <v>0</v>
      </c>
      <c r="AD83" s="93">
        <f t="shared" si="15"/>
        <v>0</v>
      </c>
      <c r="AE83" s="93">
        <f t="shared" si="15"/>
        <v>0</v>
      </c>
      <c r="AF83" s="93">
        <f t="shared" si="15"/>
        <v>0</v>
      </c>
      <c r="AG83" s="96"/>
      <c r="AH83" s="20">
        <f t="shared" si="10"/>
        <v>0</v>
      </c>
      <c r="AI83" s="19">
        <f t="shared" si="11"/>
        <v>0</v>
      </c>
    </row>
    <row r="84" spans="1:37" x14ac:dyDescent="0.25">
      <c r="A84" s="95" t="s">
        <v>155</v>
      </c>
      <c r="B84" s="93">
        <f t="shared" ref="B84:AF84" si="16">IF(B64&lt;0,B64*-1,0)</f>
        <v>0</v>
      </c>
      <c r="C84" s="93">
        <f t="shared" si="16"/>
        <v>0</v>
      </c>
      <c r="D84" s="93">
        <f t="shared" si="16"/>
        <v>0</v>
      </c>
      <c r="E84" s="93">
        <f t="shared" si="16"/>
        <v>0</v>
      </c>
      <c r="F84" s="93">
        <f t="shared" si="16"/>
        <v>0</v>
      </c>
      <c r="G84" s="93">
        <f t="shared" si="16"/>
        <v>0</v>
      </c>
      <c r="H84" s="93">
        <f t="shared" si="16"/>
        <v>0</v>
      </c>
      <c r="I84" s="93">
        <f t="shared" si="16"/>
        <v>0</v>
      </c>
      <c r="J84" s="93">
        <f t="shared" si="16"/>
        <v>0</v>
      </c>
      <c r="K84" s="93">
        <f t="shared" si="16"/>
        <v>0</v>
      </c>
      <c r="L84" s="93">
        <f t="shared" si="16"/>
        <v>0</v>
      </c>
      <c r="M84" s="93">
        <f t="shared" si="16"/>
        <v>0</v>
      </c>
      <c r="N84" s="93">
        <f t="shared" si="16"/>
        <v>0</v>
      </c>
      <c r="O84" s="93">
        <f t="shared" si="16"/>
        <v>0</v>
      </c>
      <c r="P84" s="93">
        <f t="shared" si="16"/>
        <v>0</v>
      </c>
      <c r="Q84" s="93">
        <f t="shared" si="16"/>
        <v>0</v>
      </c>
      <c r="R84" s="93">
        <f t="shared" si="16"/>
        <v>0</v>
      </c>
      <c r="S84" s="93">
        <f t="shared" si="16"/>
        <v>0</v>
      </c>
      <c r="T84" s="93">
        <f t="shared" si="16"/>
        <v>0</v>
      </c>
      <c r="U84" s="93">
        <f t="shared" si="16"/>
        <v>0</v>
      </c>
      <c r="V84" s="93">
        <f t="shared" si="16"/>
        <v>0</v>
      </c>
      <c r="W84" s="93">
        <f t="shared" si="16"/>
        <v>0</v>
      </c>
      <c r="X84" s="93">
        <f t="shared" si="16"/>
        <v>0</v>
      </c>
      <c r="Y84" s="93">
        <f t="shared" si="16"/>
        <v>0</v>
      </c>
      <c r="Z84" s="93">
        <f t="shared" si="16"/>
        <v>0</v>
      </c>
      <c r="AA84" s="93">
        <f t="shared" si="16"/>
        <v>0</v>
      </c>
      <c r="AB84" s="93">
        <f t="shared" si="16"/>
        <v>0</v>
      </c>
      <c r="AC84" s="93">
        <f t="shared" si="16"/>
        <v>0</v>
      </c>
      <c r="AD84" s="93">
        <f t="shared" si="16"/>
        <v>0</v>
      </c>
      <c r="AE84" s="93">
        <f t="shared" si="16"/>
        <v>0</v>
      </c>
      <c r="AF84" s="93">
        <f t="shared" si="16"/>
        <v>0</v>
      </c>
      <c r="AG84" s="94"/>
      <c r="AH84" s="20">
        <f t="shared" si="10"/>
        <v>0</v>
      </c>
      <c r="AI84" s="19">
        <f t="shared" si="11"/>
        <v>0</v>
      </c>
    </row>
    <row r="85" spans="1:37" x14ac:dyDescent="0.25">
      <c r="A85" s="91" t="s">
        <v>154</v>
      </c>
      <c r="B85" s="93">
        <f t="shared" ref="B85:AF85" si="17">IF(B67&lt;0,B67*-1,0)</f>
        <v>0</v>
      </c>
      <c r="C85" s="93">
        <f t="shared" si="17"/>
        <v>0</v>
      </c>
      <c r="D85" s="93">
        <f t="shared" si="17"/>
        <v>0</v>
      </c>
      <c r="E85" s="93">
        <f t="shared" si="17"/>
        <v>0</v>
      </c>
      <c r="F85" s="93">
        <f t="shared" si="17"/>
        <v>0</v>
      </c>
      <c r="G85" s="93">
        <f t="shared" si="17"/>
        <v>0</v>
      </c>
      <c r="H85" s="93">
        <f t="shared" si="17"/>
        <v>0</v>
      </c>
      <c r="I85" s="93">
        <f t="shared" si="17"/>
        <v>0</v>
      </c>
      <c r="J85" s="93">
        <f t="shared" si="17"/>
        <v>0</v>
      </c>
      <c r="K85" s="93">
        <f t="shared" si="17"/>
        <v>0</v>
      </c>
      <c r="L85" s="93">
        <f t="shared" si="17"/>
        <v>0</v>
      </c>
      <c r="M85" s="93">
        <f t="shared" si="17"/>
        <v>0</v>
      </c>
      <c r="N85" s="93">
        <f t="shared" si="17"/>
        <v>0</v>
      </c>
      <c r="O85" s="93">
        <f t="shared" si="17"/>
        <v>0</v>
      </c>
      <c r="P85" s="93">
        <f t="shared" si="17"/>
        <v>0</v>
      </c>
      <c r="Q85" s="93">
        <f t="shared" si="17"/>
        <v>0</v>
      </c>
      <c r="R85" s="93">
        <f t="shared" si="17"/>
        <v>0</v>
      </c>
      <c r="S85" s="93">
        <f t="shared" si="17"/>
        <v>0</v>
      </c>
      <c r="T85" s="93">
        <f t="shared" si="17"/>
        <v>0</v>
      </c>
      <c r="U85" s="93">
        <f t="shared" si="17"/>
        <v>0</v>
      </c>
      <c r="V85" s="93">
        <f t="shared" si="17"/>
        <v>0</v>
      </c>
      <c r="W85" s="93">
        <f t="shared" si="17"/>
        <v>0</v>
      </c>
      <c r="X85" s="93">
        <f t="shared" si="17"/>
        <v>0</v>
      </c>
      <c r="Y85" s="93">
        <f t="shared" si="17"/>
        <v>0</v>
      </c>
      <c r="Z85" s="93">
        <f t="shared" si="17"/>
        <v>0</v>
      </c>
      <c r="AA85" s="93">
        <f t="shared" si="17"/>
        <v>0</v>
      </c>
      <c r="AB85" s="93">
        <f t="shared" si="17"/>
        <v>0</v>
      </c>
      <c r="AC85" s="93">
        <f t="shared" si="17"/>
        <v>0</v>
      </c>
      <c r="AD85" s="93">
        <f t="shared" si="17"/>
        <v>0</v>
      </c>
      <c r="AE85" s="93">
        <f t="shared" si="17"/>
        <v>0</v>
      </c>
      <c r="AF85" s="93">
        <f t="shared" si="17"/>
        <v>0</v>
      </c>
      <c r="AG85" s="92"/>
      <c r="AH85" s="20">
        <f t="shared" si="10"/>
        <v>0</v>
      </c>
      <c r="AI85" s="19">
        <f t="shared" si="11"/>
        <v>0</v>
      </c>
    </row>
    <row r="86" spans="1:37" x14ac:dyDescent="0.25">
      <c r="A86" s="91" t="s">
        <v>153</v>
      </c>
      <c r="B86" s="93">
        <f t="shared" ref="B86:AF86" si="18">IF(B65&lt;0,B65*-1,0)</f>
        <v>401</v>
      </c>
      <c r="C86" s="93">
        <f t="shared" si="18"/>
        <v>412</v>
      </c>
      <c r="D86" s="93">
        <f t="shared" si="18"/>
        <v>403</v>
      </c>
      <c r="E86" s="93">
        <f t="shared" si="18"/>
        <v>430</v>
      </c>
      <c r="F86" s="93">
        <f t="shared" si="18"/>
        <v>430</v>
      </c>
      <c r="G86" s="93">
        <f t="shared" si="18"/>
        <v>420</v>
      </c>
      <c r="H86" s="93">
        <f t="shared" si="18"/>
        <v>421</v>
      </c>
      <c r="I86" s="93">
        <f t="shared" si="18"/>
        <v>400</v>
      </c>
      <c r="J86" s="93">
        <f t="shared" si="18"/>
        <v>390</v>
      </c>
      <c r="K86" s="93">
        <f t="shared" si="18"/>
        <v>380</v>
      </c>
      <c r="L86" s="93">
        <f t="shared" si="18"/>
        <v>360</v>
      </c>
      <c r="M86" s="93">
        <f t="shared" si="18"/>
        <v>410</v>
      </c>
      <c r="N86" s="93">
        <f t="shared" si="18"/>
        <v>415</v>
      </c>
      <c r="O86" s="93">
        <f t="shared" si="18"/>
        <v>420</v>
      </c>
      <c r="P86" s="93">
        <f t="shared" si="18"/>
        <v>407.7</v>
      </c>
      <c r="Q86" s="93">
        <f t="shared" si="18"/>
        <v>403.8</v>
      </c>
      <c r="R86" s="93">
        <f t="shared" si="18"/>
        <v>410.9</v>
      </c>
      <c r="S86" s="93">
        <f t="shared" si="18"/>
        <v>412.3</v>
      </c>
      <c r="T86" s="93">
        <f t="shared" si="18"/>
        <v>412.5</v>
      </c>
      <c r="U86" s="93">
        <f t="shared" si="18"/>
        <v>411.2</v>
      </c>
      <c r="V86" s="93">
        <f t="shared" si="18"/>
        <v>396</v>
      </c>
      <c r="W86" s="93">
        <f t="shared" si="18"/>
        <v>410</v>
      </c>
      <c r="X86" s="93">
        <f t="shared" si="18"/>
        <v>358</v>
      </c>
      <c r="Y86" s="93">
        <f t="shared" si="18"/>
        <v>405</v>
      </c>
      <c r="Z86" s="93">
        <f t="shared" si="18"/>
        <v>377</v>
      </c>
      <c r="AA86" s="93">
        <f t="shared" si="18"/>
        <v>408</v>
      </c>
      <c r="AB86" s="93">
        <f t="shared" si="18"/>
        <v>423</v>
      </c>
      <c r="AC86" s="93">
        <f t="shared" si="18"/>
        <v>382</v>
      </c>
      <c r="AD86" s="93">
        <f t="shared" si="18"/>
        <v>401</v>
      </c>
      <c r="AE86" s="93">
        <f t="shared" si="18"/>
        <v>406.5</v>
      </c>
      <c r="AF86" s="93">
        <f t="shared" si="18"/>
        <v>404.1</v>
      </c>
      <c r="AG86" s="92"/>
      <c r="AH86" s="20">
        <f t="shared" si="10"/>
        <v>430</v>
      </c>
      <c r="AI86" s="19">
        <f t="shared" si="11"/>
        <v>358</v>
      </c>
    </row>
    <row r="87" spans="1:37" x14ac:dyDescent="0.25">
      <c r="A87" s="91" t="s">
        <v>152</v>
      </c>
      <c r="B87" s="93">
        <f t="shared" ref="B87:AF87" si="19">IF(B63&lt;0,B63*-1,0)</f>
        <v>0</v>
      </c>
      <c r="C87" s="93">
        <f t="shared" si="19"/>
        <v>0</v>
      </c>
      <c r="D87" s="93">
        <f t="shared" si="19"/>
        <v>0</v>
      </c>
      <c r="E87" s="93">
        <f t="shared" si="19"/>
        <v>0</v>
      </c>
      <c r="F87" s="93">
        <f t="shared" si="19"/>
        <v>0</v>
      </c>
      <c r="G87" s="93">
        <f t="shared" si="19"/>
        <v>0</v>
      </c>
      <c r="H87" s="93">
        <f t="shared" si="19"/>
        <v>0</v>
      </c>
      <c r="I87" s="93">
        <f t="shared" si="19"/>
        <v>0</v>
      </c>
      <c r="J87" s="93">
        <f t="shared" si="19"/>
        <v>0</v>
      </c>
      <c r="K87" s="93">
        <f t="shared" si="19"/>
        <v>0</v>
      </c>
      <c r="L87" s="93">
        <f t="shared" si="19"/>
        <v>0</v>
      </c>
      <c r="M87" s="93">
        <f t="shared" si="19"/>
        <v>0</v>
      </c>
      <c r="N87" s="93">
        <f t="shared" si="19"/>
        <v>0</v>
      </c>
      <c r="O87" s="93">
        <f t="shared" si="19"/>
        <v>0</v>
      </c>
      <c r="P87" s="93">
        <f t="shared" si="19"/>
        <v>0</v>
      </c>
      <c r="Q87" s="93">
        <f t="shared" si="19"/>
        <v>0</v>
      </c>
      <c r="R87" s="93">
        <f t="shared" si="19"/>
        <v>0</v>
      </c>
      <c r="S87" s="93">
        <f t="shared" si="19"/>
        <v>0</v>
      </c>
      <c r="T87" s="93">
        <f t="shared" si="19"/>
        <v>0</v>
      </c>
      <c r="U87" s="93">
        <f t="shared" si="19"/>
        <v>0</v>
      </c>
      <c r="V87" s="93">
        <f t="shared" si="19"/>
        <v>0</v>
      </c>
      <c r="W87" s="93">
        <f t="shared" si="19"/>
        <v>0</v>
      </c>
      <c r="X87" s="93">
        <f t="shared" si="19"/>
        <v>0</v>
      </c>
      <c r="Y87" s="93">
        <f t="shared" si="19"/>
        <v>0</v>
      </c>
      <c r="Z87" s="93">
        <f t="shared" si="19"/>
        <v>0</v>
      </c>
      <c r="AA87" s="93">
        <f t="shared" si="19"/>
        <v>0</v>
      </c>
      <c r="AB87" s="93">
        <f t="shared" si="19"/>
        <v>0</v>
      </c>
      <c r="AC87" s="93">
        <f t="shared" si="19"/>
        <v>0</v>
      </c>
      <c r="AD87" s="93">
        <f t="shared" si="19"/>
        <v>0</v>
      </c>
      <c r="AE87" s="93">
        <f t="shared" si="19"/>
        <v>0</v>
      </c>
      <c r="AF87" s="93">
        <f t="shared" si="19"/>
        <v>0</v>
      </c>
      <c r="AG87" s="92"/>
      <c r="AH87" s="20">
        <f t="shared" si="10"/>
        <v>0</v>
      </c>
      <c r="AI87" s="19">
        <f t="shared" si="11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10"/>
        <v>0</v>
      </c>
      <c r="AI88" s="19">
        <f t="shared" si="11"/>
        <v>0</v>
      </c>
    </row>
    <row r="89" spans="1:37" ht="15.75" thickBot="1" x14ac:dyDescent="0.3">
      <c r="A89" s="88" t="s">
        <v>150</v>
      </c>
      <c r="B89" s="86">
        <f t="shared" ref="B89:AF89" si="20">SUM(B83:B88)</f>
        <v>401</v>
      </c>
      <c r="C89" s="86">
        <f t="shared" si="20"/>
        <v>412</v>
      </c>
      <c r="D89" s="86">
        <f t="shared" si="20"/>
        <v>403</v>
      </c>
      <c r="E89" s="86">
        <f t="shared" si="20"/>
        <v>430</v>
      </c>
      <c r="F89" s="86">
        <f t="shared" si="20"/>
        <v>430</v>
      </c>
      <c r="G89" s="86">
        <f t="shared" si="20"/>
        <v>420</v>
      </c>
      <c r="H89" s="86">
        <f t="shared" si="20"/>
        <v>421</v>
      </c>
      <c r="I89" s="86">
        <f t="shared" si="20"/>
        <v>400</v>
      </c>
      <c r="J89" s="86">
        <f t="shared" si="20"/>
        <v>390</v>
      </c>
      <c r="K89" s="86">
        <f t="shared" si="20"/>
        <v>380</v>
      </c>
      <c r="L89" s="86">
        <f t="shared" si="20"/>
        <v>360</v>
      </c>
      <c r="M89" s="86">
        <f t="shared" si="20"/>
        <v>410</v>
      </c>
      <c r="N89" s="86">
        <f t="shared" si="20"/>
        <v>415</v>
      </c>
      <c r="O89" s="86">
        <f t="shared" si="20"/>
        <v>420</v>
      </c>
      <c r="P89" s="86">
        <f t="shared" si="20"/>
        <v>407.7</v>
      </c>
      <c r="Q89" s="86">
        <f t="shared" si="20"/>
        <v>403.8</v>
      </c>
      <c r="R89" s="86">
        <f t="shared" si="20"/>
        <v>410.9</v>
      </c>
      <c r="S89" s="86">
        <f t="shared" si="20"/>
        <v>412.3</v>
      </c>
      <c r="T89" s="86">
        <f t="shared" si="20"/>
        <v>412.5</v>
      </c>
      <c r="U89" s="86">
        <f t="shared" si="20"/>
        <v>411.2</v>
      </c>
      <c r="V89" s="86">
        <f t="shared" si="20"/>
        <v>396</v>
      </c>
      <c r="W89" s="86">
        <f t="shared" si="20"/>
        <v>410</v>
      </c>
      <c r="X89" s="86">
        <f t="shared" si="20"/>
        <v>358</v>
      </c>
      <c r="Y89" s="86">
        <f t="shared" si="20"/>
        <v>405</v>
      </c>
      <c r="Z89" s="86">
        <f t="shared" si="20"/>
        <v>377</v>
      </c>
      <c r="AA89" s="86">
        <f t="shared" si="20"/>
        <v>408</v>
      </c>
      <c r="AB89" s="86">
        <f t="shared" si="20"/>
        <v>423</v>
      </c>
      <c r="AC89" s="86">
        <f t="shared" si="20"/>
        <v>382</v>
      </c>
      <c r="AD89" s="86">
        <f t="shared" si="20"/>
        <v>401</v>
      </c>
      <c r="AE89" s="86">
        <f t="shared" si="20"/>
        <v>406.5</v>
      </c>
      <c r="AF89" s="86">
        <f t="shared" si="20"/>
        <v>404.1</v>
      </c>
      <c r="AG89" s="85"/>
      <c r="AH89" s="20">
        <f t="shared" si="10"/>
        <v>430</v>
      </c>
      <c r="AI89" s="19">
        <f t="shared" si="11"/>
        <v>358</v>
      </c>
      <c r="AK89" s="41"/>
    </row>
    <row r="90" spans="1:37" ht="15.75" thickBot="1" x14ac:dyDescent="0.3">
      <c r="A90" s="87" t="s">
        <v>149</v>
      </c>
      <c r="B90" s="86">
        <f t="shared" ref="B90:AF90" si="21">B74-B89</f>
        <v>-401</v>
      </c>
      <c r="C90" s="86">
        <f t="shared" si="21"/>
        <v>-412</v>
      </c>
      <c r="D90" s="86">
        <f t="shared" si="21"/>
        <v>-403</v>
      </c>
      <c r="E90" s="86">
        <f t="shared" si="21"/>
        <v>-430</v>
      </c>
      <c r="F90" s="86">
        <f t="shared" si="21"/>
        <v>-430</v>
      </c>
      <c r="G90" s="86">
        <f t="shared" si="21"/>
        <v>-420</v>
      </c>
      <c r="H90" s="86">
        <f t="shared" si="21"/>
        <v>-421</v>
      </c>
      <c r="I90" s="86">
        <f t="shared" si="21"/>
        <v>-400</v>
      </c>
      <c r="J90" s="86">
        <f t="shared" si="21"/>
        <v>-390</v>
      </c>
      <c r="K90" s="86">
        <f t="shared" si="21"/>
        <v>-370</v>
      </c>
      <c r="L90" s="86">
        <f t="shared" si="21"/>
        <v>-360</v>
      </c>
      <c r="M90" s="86">
        <f t="shared" si="21"/>
        <v>-410</v>
      </c>
      <c r="N90" s="86">
        <f t="shared" si="21"/>
        <v>-415</v>
      </c>
      <c r="O90" s="86">
        <f t="shared" si="21"/>
        <v>-420</v>
      </c>
      <c r="P90" s="86">
        <f t="shared" si="21"/>
        <v>-407.7</v>
      </c>
      <c r="Q90" s="86">
        <f t="shared" si="21"/>
        <v>-403.8</v>
      </c>
      <c r="R90" s="86">
        <f t="shared" si="21"/>
        <v>-410.9</v>
      </c>
      <c r="S90" s="86">
        <f t="shared" si="21"/>
        <v>-412.3</v>
      </c>
      <c r="T90" s="86">
        <f t="shared" si="21"/>
        <v>-412.5</v>
      </c>
      <c r="U90" s="86">
        <f t="shared" si="21"/>
        <v>-411.2</v>
      </c>
      <c r="V90" s="86">
        <f t="shared" si="21"/>
        <v>-396</v>
      </c>
      <c r="W90" s="86">
        <f t="shared" si="21"/>
        <v>-410</v>
      </c>
      <c r="X90" s="86">
        <f t="shared" si="21"/>
        <v>-358</v>
      </c>
      <c r="Y90" s="86">
        <f t="shared" si="21"/>
        <v>-405</v>
      </c>
      <c r="Z90" s="86">
        <f t="shared" si="21"/>
        <v>-333.5</v>
      </c>
      <c r="AA90" s="86">
        <f t="shared" si="21"/>
        <v>-363.4</v>
      </c>
      <c r="AB90" s="86">
        <f t="shared" si="21"/>
        <v>-423</v>
      </c>
      <c r="AC90" s="86">
        <f t="shared" si="21"/>
        <v>-382</v>
      </c>
      <c r="AD90" s="86">
        <f t="shared" si="21"/>
        <v>-401</v>
      </c>
      <c r="AE90" s="86">
        <f t="shared" si="21"/>
        <v>-406.5</v>
      </c>
      <c r="AF90" s="86">
        <f t="shared" si="21"/>
        <v>-404.1</v>
      </c>
      <c r="AG90" s="85"/>
      <c r="AH90" s="20">
        <f t="shared" si="10"/>
        <v>-333.5</v>
      </c>
      <c r="AI90" s="19">
        <f t="shared" si="11"/>
        <v>-430</v>
      </c>
    </row>
    <row r="91" spans="1:37" x14ac:dyDescent="0.25">
      <c r="A91" s="47" t="s">
        <v>148</v>
      </c>
      <c r="B91" s="84">
        <v>49.96</v>
      </c>
      <c r="C91" s="84">
        <v>49.993000000000002</v>
      </c>
      <c r="D91" s="84">
        <v>49.988</v>
      </c>
      <c r="E91" s="84">
        <v>50.008000000000003</v>
      </c>
      <c r="F91" s="84">
        <v>49.973999999999997</v>
      </c>
      <c r="G91" s="84">
        <v>50.031999999999996</v>
      </c>
      <c r="H91" s="84">
        <v>50.05</v>
      </c>
      <c r="I91" s="84">
        <v>49.965000000000003</v>
      </c>
      <c r="J91" s="84">
        <v>50.042999999999999</v>
      </c>
      <c r="K91" s="84">
        <v>50.015000000000001</v>
      </c>
      <c r="L91" s="84">
        <v>50.018000000000001</v>
      </c>
      <c r="M91" s="84">
        <v>50.03</v>
      </c>
      <c r="N91" s="84">
        <v>50.03</v>
      </c>
      <c r="O91" s="84">
        <v>50.037999999999997</v>
      </c>
      <c r="P91" s="84">
        <v>50.03</v>
      </c>
      <c r="Q91" s="84">
        <v>50.000399999999999</v>
      </c>
      <c r="R91" s="84">
        <v>49.994999999999997</v>
      </c>
      <c r="S91" s="84">
        <v>49.984999999999999</v>
      </c>
      <c r="T91" s="84">
        <v>49.994999999999997</v>
      </c>
      <c r="U91" s="84">
        <v>50</v>
      </c>
      <c r="V91" s="84">
        <v>49.951000000000001</v>
      </c>
      <c r="W91" s="84">
        <v>50.006999999999998</v>
      </c>
      <c r="X91" s="84">
        <v>49.95</v>
      </c>
      <c r="Y91" s="84">
        <v>49.93</v>
      </c>
      <c r="Z91" s="84">
        <v>49.99</v>
      </c>
      <c r="AA91" s="84">
        <v>50.05</v>
      </c>
      <c r="AB91" s="84">
        <v>50.072000000000003</v>
      </c>
      <c r="AC91" s="84">
        <v>50.02</v>
      </c>
      <c r="AD91" s="84">
        <v>50.045999999999999</v>
      </c>
      <c r="AE91" s="84">
        <v>50.006</v>
      </c>
      <c r="AF91" s="84">
        <v>49.95</v>
      </c>
      <c r="AG91" s="83"/>
      <c r="AH91" s="20">
        <f t="shared" si="10"/>
        <v>50.072000000000003</v>
      </c>
      <c r="AI91" s="19">
        <f t="shared" si="11"/>
        <v>49.93</v>
      </c>
    </row>
    <row r="92" spans="1:37" x14ac:dyDescent="0.25">
      <c r="A92" s="44" t="s">
        <v>147</v>
      </c>
      <c r="B92" s="80">
        <v>127</v>
      </c>
      <c r="C92" s="80">
        <v>127.1</v>
      </c>
      <c r="D92" s="80">
        <v>127.6</v>
      </c>
      <c r="E92" s="80">
        <v>128.30000000000001</v>
      </c>
      <c r="F92" s="80">
        <v>128.9</v>
      </c>
      <c r="G92" s="80">
        <v>129</v>
      </c>
      <c r="H92" s="80">
        <v>129.1</v>
      </c>
      <c r="I92" s="80">
        <v>129</v>
      </c>
      <c r="J92" s="80">
        <v>128.4</v>
      </c>
      <c r="K92" s="80">
        <v>127</v>
      </c>
      <c r="L92" s="80">
        <v>125.6</v>
      </c>
      <c r="M92" s="80">
        <v>127</v>
      </c>
      <c r="N92" s="80">
        <v>127</v>
      </c>
      <c r="O92" s="80">
        <v>124</v>
      </c>
      <c r="P92" s="80">
        <v>124.1</v>
      </c>
      <c r="Q92" s="80">
        <v>123.7</v>
      </c>
      <c r="R92" s="80">
        <v>125.6</v>
      </c>
      <c r="S92" s="80">
        <v>126.1</v>
      </c>
      <c r="T92" s="80">
        <v>126.1</v>
      </c>
      <c r="U92" s="80">
        <v>126.8</v>
      </c>
      <c r="V92" s="80">
        <v>125.6</v>
      </c>
      <c r="W92" s="80">
        <v>127.1</v>
      </c>
      <c r="X92" s="80">
        <v>125.4</v>
      </c>
      <c r="Y92" s="80">
        <v>125.6</v>
      </c>
      <c r="Z92" s="80">
        <v>125.7</v>
      </c>
      <c r="AA92" s="80">
        <v>127.3</v>
      </c>
      <c r="AB92" s="80">
        <v>127.1</v>
      </c>
      <c r="AC92" s="80">
        <v>125.9</v>
      </c>
      <c r="AD92" s="80">
        <v>126.1</v>
      </c>
      <c r="AE92" s="80">
        <v>128</v>
      </c>
      <c r="AF92" s="80">
        <v>127</v>
      </c>
      <c r="AG92" s="79"/>
      <c r="AH92" s="20">
        <f t="shared" si="10"/>
        <v>129.1</v>
      </c>
      <c r="AI92" s="19">
        <f t="shared" si="11"/>
        <v>123.7</v>
      </c>
    </row>
    <row r="93" spans="1:37" x14ac:dyDescent="0.25">
      <c r="A93" s="44" t="s">
        <v>146</v>
      </c>
      <c r="B93" s="80">
        <v>130.4</v>
      </c>
      <c r="C93" s="80">
        <v>130.6</v>
      </c>
      <c r="D93" s="80">
        <v>131.1</v>
      </c>
      <c r="E93" s="80">
        <v>131.69999999999999</v>
      </c>
      <c r="F93" s="80">
        <v>132.4</v>
      </c>
      <c r="G93" s="80">
        <v>132.30000000000001</v>
      </c>
      <c r="H93" s="80">
        <v>132.30000000000001</v>
      </c>
      <c r="I93" s="80">
        <v>131.5</v>
      </c>
      <c r="J93" s="80">
        <v>130.9</v>
      </c>
      <c r="K93" s="80">
        <v>129.19999999999999</v>
      </c>
      <c r="L93" s="80">
        <v>128.1</v>
      </c>
      <c r="M93" s="80">
        <v>129.30000000000001</v>
      </c>
      <c r="N93" s="80">
        <v>129.30000000000001</v>
      </c>
      <c r="O93" s="80">
        <v>128</v>
      </c>
      <c r="P93" s="80">
        <v>128.1</v>
      </c>
      <c r="Q93" s="80">
        <v>128.19999999999999</v>
      </c>
      <c r="R93" s="80">
        <v>129.19999999999999</v>
      </c>
      <c r="S93" s="80">
        <v>129.6</v>
      </c>
      <c r="T93" s="80">
        <v>129.9</v>
      </c>
      <c r="U93" s="80">
        <v>129.80000000000001</v>
      </c>
      <c r="V93" s="80">
        <v>128.80000000000001</v>
      </c>
      <c r="W93" s="80">
        <v>129.80000000000001</v>
      </c>
      <c r="X93" s="80">
        <v>128.19999999999999</v>
      </c>
      <c r="Y93" s="80">
        <v>128.5</v>
      </c>
      <c r="Z93" s="80">
        <v>128.69999999999999</v>
      </c>
      <c r="AA93" s="80">
        <v>130.19999999999999</v>
      </c>
      <c r="AB93" s="80">
        <v>130.1</v>
      </c>
      <c r="AC93" s="80">
        <v>129.69999999999999</v>
      </c>
      <c r="AD93" s="80">
        <v>130</v>
      </c>
      <c r="AE93" s="80">
        <v>131.69999999999999</v>
      </c>
      <c r="AF93" s="80">
        <v>130.6</v>
      </c>
      <c r="AG93" s="79"/>
      <c r="AH93" s="20">
        <f t="shared" si="10"/>
        <v>132.4</v>
      </c>
      <c r="AI93" s="19">
        <f t="shared" si="11"/>
        <v>128</v>
      </c>
    </row>
    <row r="94" spans="1:37" x14ac:dyDescent="0.25">
      <c r="A94" s="44" t="s">
        <v>145</v>
      </c>
      <c r="B94" s="80">
        <v>129.1</v>
      </c>
      <c r="C94" s="80">
        <v>130</v>
      </c>
      <c r="D94" s="80">
        <v>130.30000000000001</v>
      </c>
      <c r="E94" s="80">
        <v>130.69999999999999</v>
      </c>
      <c r="F94" s="80">
        <v>130.80000000000001</v>
      </c>
      <c r="G94" s="80">
        <v>130.9</v>
      </c>
      <c r="H94" s="80">
        <v>131.69999999999999</v>
      </c>
      <c r="I94" s="80">
        <v>131.19999999999999</v>
      </c>
      <c r="J94" s="80">
        <v>129.80000000000001</v>
      </c>
      <c r="K94" s="80">
        <v>129.5</v>
      </c>
      <c r="L94" s="80">
        <v>129.4</v>
      </c>
      <c r="M94" s="80">
        <v>129</v>
      </c>
      <c r="N94" s="80">
        <v>129</v>
      </c>
      <c r="O94" s="80">
        <v>129</v>
      </c>
      <c r="P94" s="80">
        <v>129.19999999999999</v>
      </c>
      <c r="Q94" s="80">
        <v>130.4</v>
      </c>
      <c r="R94" s="80">
        <v>130.30000000000001</v>
      </c>
      <c r="S94" s="80">
        <v>130.1</v>
      </c>
      <c r="T94" s="80">
        <v>130.69999999999999</v>
      </c>
      <c r="U94" s="80">
        <v>130.9</v>
      </c>
      <c r="V94" s="80">
        <v>129.6</v>
      </c>
      <c r="W94" s="80">
        <v>129.9</v>
      </c>
      <c r="X94" s="80">
        <v>129.5</v>
      </c>
      <c r="Y94" s="80">
        <v>129.5</v>
      </c>
      <c r="Z94" s="80">
        <v>130.19999999999999</v>
      </c>
      <c r="AA94" s="80">
        <v>131.19999999999999</v>
      </c>
      <c r="AB94" s="80">
        <v>130</v>
      </c>
      <c r="AC94" s="80">
        <v>129.19999999999999</v>
      </c>
      <c r="AD94" s="80">
        <v>129.4</v>
      </c>
      <c r="AE94" s="80">
        <v>132.1</v>
      </c>
      <c r="AF94" s="80">
        <v>129.5</v>
      </c>
      <c r="AG94" s="79"/>
      <c r="AH94" s="20">
        <f t="shared" si="10"/>
        <v>132.1</v>
      </c>
      <c r="AI94" s="19">
        <f t="shared" si="11"/>
        <v>129</v>
      </c>
    </row>
    <row r="95" spans="1:37" x14ac:dyDescent="0.25">
      <c r="A95" s="82" t="s">
        <v>144</v>
      </c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79"/>
      <c r="AH95" s="20">
        <f t="shared" si="10"/>
        <v>0</v>
      </c>
      <c r="AI95" s="19">
        <f t="shared" si="11"/>
        <v>0</v>
      </c>
    </row>
    <row r="96" spans="1:37" x14ac:dyDescent="0.25">
      <c r="A96" s="82" t="s">
        <v>143</v>
      </c>
      <c r="B96" s="66">
        <v>130</v>
      </c>
      <c r="C96" s="66">
        <v>130</v>
      </c>
      <c r="D96" s="66">
        <v>130.5</v>
      </c>
      <c r="E96" s="66">
        <v>132.6</v>
      </c>
      <c r="F96" s="66">
        <v>133.30000000000001</v>
      </c>
      <c r="G96" s="66">
        <v>133.4</v>
      </c>
      <c r="H96" s="66">
        <v>132.30000000000001</v>
      </c>
      <c r="I96" s="66">
        <v>132.1</v>
      </c>
      <c r="J96" s="66">
        <v>131.69999999999999</v>
      </c>
      <c r="K96" s="66">
        <v>131.1</v>
      </c>
      <c r="L96" s="66">
        <v>130.69999999999999</v>
      </c>
      <c r="M96" s="66">
        <v>132</v>
      </c>
      <c r="N96" s="66">
        <v>132</v>
      </c>
      <c r="O96" s="66">
        <v>129.30000000000001</v>
      </c>
      <c r="P96" s="66">
        <v>131.6</v>
      </c>
      <c r="Q96" s="66">
        <v>131.69999999999999</v>
      </c>
      <c r="R96" s="66">
        <v>132.6</v>
      </c>
      <c r="S96" s="66">
        <v>132.80000000000001</v>
      </c>
      <c r="T96" s="66">
        <v>131.9</v>
      </c>
      <c r="U96" s="66">
        <v>131.30000000000001</v>
      </c>
      <c r="V96" s="66">
        <v>131</v>
      </c>
      <c r="W96" s="66">
        <v>131.6</v>
      </c>
      <c r="X96" s="66">
        <v>131</v>
      </c>
      <c r="Y96" s="66">
        <v>132.19999999999999</v>
      </c>
      <c r="Z96" s="66"/>
      <c r="AA96" s="66"/>
      <c r="AB96" s="66"/>
      <c r="AC96" s="66"/>
      <c r="AD96" s="66"/>
      <c r="AE96" s="66"/>
      <c r="AF96" s="66"/>
      <c r="AG96" s="81"/>
      <c r="AH96" s="20">
        <f t="shared" si="10"/>
        <v>133.4</v>
      </c>
      <c r="AI96" s="19">
        <f t="shared" si="11"/>
        <v>129.30000000000001</v>
      </c>
    </row>
    <row r="97" spans="1:37" x14ac:dyDescent="0.25">
      <c r="A97" s="44" t="s">
        <v>142</v>
      </c>
      <c r="B97" s="80">
        <v>130.69999999999999</v>
      </c>
      <c r="C97" s="80">
        <v>130.4</v>
      </c>
      <c r="D97" s="80">
        <v>131</v>
      </c>
      <c r="E97" s="80">
        <v>133</v>
      </c>
      <c r="F97" s="80">
        <v>133.4</v>
      </c>
      <c r="G97" s="80">
        <v>133.6</v>
      </c>
      <c r="H97" s="80">
        <v>133.6</v>
      </c>
      <c r="I97" s="80">
        <v>133.80000000000001</v>
      </c>
      <c r="J97" s="80">
        <v>133.19999999999999</v>
      </c>
      <c r="K97" s="80">
        <v>19.399999999999999</v>
      </c>
      <c r="L97" s="80">
        <v>131.19999999999999</v>
      </c>
      <c r="M97" s="80">
        <v>133</v>
      </c>
      <c r="N97" s="80">
        <v>133</v>
      </c>
      <c r="O97" s="80">
        <v>131</v>
      </c>
      <c r="P97" s="80">
        <v>132.80000000000001</v>
      </c>
      <c r="Q97" s="80">
        <v>132.69999999999999</v>
      </c>
      <c r="R97" s="80">
        <v>134.4</v>
      </c>
      <c r="S97" s="80">
        <v>133.19999999999999</v>
      </c>
      <c r="T97" s="80">
        <v>131.80000000000001</v>
      </c>
      <c r="U97" s="80">
        <v>132.80000000000001</v>
      </c>
      <c r="V97" s="80">
        <v>133.5</v>
      </c>
      <c r="W97" s="80">
        <v>134.80000000000001</v>
      </c>
      <c r="X97" s="80">
        <v>132.19999999999999</v>
      </c>
      <c r="Y97" s="80">
        <v>133.30000000000001</v>
      </c>
      <c r="Z97" s="80">
        <v>132</v>
      </c>
      <c r="AA97" s="80">
        <v>131.69999999999999</v>
      </c>
      <c r="AB97" s="80">
        <v>131.4</v>
      </c>
      <c r="AC97" s="80">
        <v>130.69999999999999</v>
      </c>
      <c r="AD97" s="80">
        <v>133.19999999999999</v>
      </c>
      <c r="AE97" s="80">
        <v>131.6</v>
      </c>
      <c r="AF97" s="80">
        <v>132.1</v>
      </c>
      <c r="AG97" s="79"/>
      <c r="AH97" s="20">
        <f t="shared" si="10"/>
        <v>134.80000000000001</v>
      </c>
      <c r="AI97" s="19">
        <f t="shared" si="11"/>
        <v>19.399999999999999</v>
      </c>
    </row>
    <row r="98" spans="1:37" ht="15.75" thickBot="1" x14ac:dyDescent="0.3">
      <c r="A98" s="44" t="s">
        <v>141</v>
      </c>
      <c r="B98" s="77">
        <v>66</v>
      </c>
      <c r="C98" s="77">
        <v>66.2</v>
      </c>
      <c r="D98" s="77">
        <v>66.400000000000006</v>
      </c>
      <c r="E98" s="77">
        <v>66.7</v>
      </c>
      <c r="F98" s="77">
        <v>67</v>
      </c>
      <c r="G98" s="77">
        <v>66.900000000000006</v>
      </c>
      <c r="H98" s="77">
        <v>67</v>
      </c>
      <c r="I98" s="77">
        <v>66.599999999999994</v>
      </c>
      <c r="J98" s="77">
        <v>66.2</v>
      </c>
      <c r="K98" s="77">
        <v>65.2</v>
      </c>
      <c r="L98" s="77">
        <v>64.599999999999994</v>
      </c>
      <c r="M98" s="77">
        <v>65.2</v>
      </c>
      <c r="N98" s="77">
        <v>65.2</v>
      </c>
      <c r="O98" s="77">
        <v>64.3</v>
      </c>
      <c r="P98" s="77">
        <v>64.599999999999994</v>
      </c>
      <c r="Q98" s="77">
        <v>64.5</v>
      </c>
      <c r="R98" s="77">
        <v>65.2</v>
      </c>
      <c r="S98" s="77">
        <v>65.5</v>
      </c>
      <c r="T98" s="77">
        <v>65.5</v>
      </c>
      <c r="U98" s="77">
        <v>65.3</v>
      </c>
      <c r="V98" s="77">
        <v>65</v>
      </c>
      <c r="W98" s="77">
        <v>65.099999999999994</v>
      </c>
      <c r="X98" s="77">
        <v>64.8</v>
      </c>
      <c r="Y98" s="77">
        <v>64.8</v>
      </c>
      <c r="Z98" s="77">
        <v>64.900000000000006</v>
      </c>
      <c r="AA98" s="77">
        <v>65.900000000000006</v>
      </c>
      <c r="AB98" s="77">
        <v>65.8</v>
      </c>
      <c r="AC98" s="77">
        <v>65.599999999999994</v>
      </c>
      <c r="AD98" s="77">
        <v>65.7</v>
      </c>
      <c r="AE98" s="77">
        <v>66.099999999999994</v>
      </c>
      <c r="AF98" s="77">
        <v>66.099999999999994</v>
      </c>
      <c r="AG98" s="76"/>
      <c r="AH98" s="20">
        <f t="shared" si="10"/>
        <v>67</v>
      </c>
      <c r="AI98" s="19">
        <f t="shared" si="11"/>
        <v>64.3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10"/>
        <v>0</v>
      </c>
      <c r="AI99" s="19">
        <f t="shared" si="11"/>
        <v>0</v>
      </c>
    </row>
    <row r="100" spans="1:37" ht="15.75" thickBot="1" x14ac:dyDescent="0.3">
      <c r="A100" s="75" t="s">
        <v>140</v>
      </c>
      <c r="B100" s="74">
        <f t="shared" ref="B100:AF100" si="22">SUM(B15,B20,B22:B23,B48,B50:B51,B53,B55,B101:B105,B127,B133,B139,B148,B150,B162,B169,B172:B173,B180,B182,B184,B188:B190,B192:B194,B199,B205:B206,B208:B210,B218,B223)</f>
        <v>29.099999999999994</v>
      </c>
      <c r="C100" s="74">
        <f t="shared" si="22"/>
        <v>22.240000000000009</v>
      </c>
      <c r="D100" s="74">
        <f t="shared" si="22"/>
        <v>17.739999999999991</v>
      </c>
      <c r="E100" s="74">
        <f t="shared" si="22"/>
        <v>15.839999999999996</v>
      </c>
      <c r="F100" s="74">
        <f t="shared" si="22"/>
        <v>23.539999999999996</v>
      </c>
      <c r="G100" s="74">
        <f t="shared" si="22"/>
        <v>25.839999999999996</v>
      </c>
      <c r="H100" s="74">
        <f t="shared" si="22"/>
        <v>41.239999999999995</v>
      </c>
      <c r="I100" s="74">
        <f t="shared" si="22"/>
        <v>67.34</v>
      </c>
      <c r="J100" s="74">
        <f t="shared" si="22"/>
        <v>95.74</v>
      </c>
      <c r="K100" s="74">
        <f t="shared" si="22"/>
        <v>120.53999999999999</v>
      </c>
      <c r="L100" s="74">
        <f t="shared" si="22"/>
        <v>127.53999999999999</v>
      </c>
      <c r="M100" s="74">
        <f t="shared" si="22"/>
        <v>135.54</v>
      </c>
      <c r="N100" s="74">
        <f t="shared" si="22"/>
        <v>141.54</v>
      </c>
      <c r="O100" s="74">
        <f t="shared" si="22"/>
        <v>36.539999999999992</v>
      </c>
      <c r="P100" s="74">
        <f t="shared" si="22"/>
        <v>87.34</v>
      </c>
      <c r="Q100" s="74">
        <f t="shared" si="22"/>
        <v>89.400000000000034</v>
      </c>
      <c r="R100" s="74">
        <f t="shared" si="22"/>
        <v>82.100000000000023</v>
      </c>
      <c r="S100" s="74">
        <f t="shared" si="22"/>
        <v>84.499999999999986</v>
      </c>
      <c r="T100" s="74">
        <f t="shared" si="22"/>
        <v>88.899999999999977</v>
      </c>
      <c r="U100" s="74">
        <f t="shared" si="22"/>
        <v>120.39999999999999</v>
      </c>
      <c r="V100" s="74">
        <f t="shared" si="22"/>
        <v>138.89999999999998</v>
      </c>
      <c r="W100" s="74">
        <f t="shared" si="22"/>
        <v>148.79999999999998</v>
      </c>
      <c r="X100" s="74">
        <f t="shared" si="22"/>
        <v>171.89999999999998</v>
      </c>
      <c r="Y100" s="74">
        <f t="shared" si="22"/>
        <v>171.89999999999998</v>
      </c>
      <c r="Z100" s="74">
        <f t="shared" si="22"/>
        <v>147.19999999999999</v>
      </c>
      <c r="AA100" s="74">
        <f t="shared" si="22"/>
        <v>141.19999999999999</v>
      </c>
      <c r="AB100" s="74">
        <f t="shared" si="22"/>
        <v>124.2</v>
      </c>
      <c r="AC100" s="74">
        <f t="shared" si="22"/>
        <v>96.699999999999989</v>
      </c>
      <c r="AD100" s="74">
        <f t="shared" si="22"/>
        <v>84.5</v>
      </c>
      <c r="AE100" s="74">
        <f t="shared" si="22"/>
        <v>91.499999999999986</v>
      </c>
      <c r="AF100" s="74">
        <f t="shared" si="22"/>
        <v>81.8</v>
      </c>
      <c r="AG100" s="73"/>
      <c r="AH100" s="20">
        <f t="shared" si="10"/>
        <v>171.89999999999998</v>
      </c>
      <c r="AI100" s="19">
        <f t="shared" si="11"/>
        <v>15.839999999999996</v>
      </c>
    </row>
    <row r="101" spans="1:37" x14ac:dyDescent="0.25">
      <c r="A101" s="47" t="s">
        <v>139</v>
      </c>
      <c r="B101" s="72">
        <v>35</v>
      </c>
      <c r="C101" s="72">
        <v>34.799999999999997</v>
      </c>
      <c r="D101" s="72">
        <v>32.799999999999997</v>
      </c>
      <c r="E101" s="72">
        <v>32</v>
      </c>
      <c r="F101" s="72">
        <v>30</v>
      </c>
      <c r="G101" s="72">
        <v>30</v>
      </c>
      <c r="H101" s="72">
        <v>28</v>
      </c>
      <c r="I101" s="72">
        <v>29</v>
      </c>
      <c r="J101" s="72">
        <v>28</v>
      </c>
      <c r="K101" s="72">
        <v>32</v>
      </c>
      <c r="L101" s="72">
        <v>26</v>
      </c>
      <c r="M101" s="72">
        <v>26</v>
      </c>
      <c r="N101" s="72">
        <v>26</v>
      </c>
      <c r="O101" s="72">
        <v>27</v>
      </c>
      <c r="P101" s="72">
        <v>29.8</v>
      </c>
      <c r="Q101" s="72">
        <v>30.6</v>
      </c>
      <c r="R101" s="72">
        <v>28.4</v>
      </c>
      <c r="S101" s="72">
        <v>32.200000000000003</v>
      </c>
      <c r="T101" s="72">
        <v>32</v>
      </c>
      <c r="U101" s="72">
        <v>27.9</v>
      </c>
      <c r="V101" s="72">
        <v>24.7</v>
      </c>
      <c r="W101" s="72">
        <v>23.6</v>
      </c>
      <c r="X101" s="72">
        <v>23.4</v>
      </c>
      <c r="Y101" s="72">
        <v>23.4</v>
      </c>
      <c r="Z101" s="72">
        <v>13.6</v>
      </c>
      <c r="AA101" s="72">
        <v>24</v>
      </c>
      <c r="AB101" s="72">
        <v>21.9</v>
      </c>
      <c r="AC101" s="72">
        <v>6.6</v>
      </c>
      <c r="AD101" s="72">
        <v>16.100000000000001</v>
      </c>
      <c r="AE101" s="72">
        <v>16.600000000000001</v>
      </c>
      <c r="AF101" s="72">
        <v>20.7</v>
      </c>
      <c r="AG101" s="70">
        <v>75</v>
      </c>
      <c r="AH101" s="20">
        <f t="shared" si="10"/>
        <v>35</v>
      </c>
      <c r="AI101" s="19">
        <f t="shared" si="11"/>
        <v>6.6</v>
      </c>
    </row>
    <row r="102" spans="1:37" x14ac:dyDescent="0.25">
      <c r="A102" s="44" t="s">
        <v>138</v>
      </c>
      <c r="B102" s="71">
        <v>55</v>
      </c>
      <c r="C102" s="71">
        <v>55</v>
      </c>
      <c r="D102" s="71">
        <v>52.3</v>
      </c>
      <c r="E102" s="71">
        <v>52</v>
      </c>
      <c r="F102" s="71">
        <v>50</v>
      </c>
      <c r="G102" s="71">
        <v>49</v>
      </c>
      <c r="H102" s="71">
        <v>45</v>
      </c>
      <c r="I102" s="71">
        <v>46.4</v>
      </c>
      <c r="J102" s="71">
        <v>45</v>
      </c>
      <c r="K102" s="71">
        <v>49</v>
      </c>
      <c r="L102" s="71">
        <v>41</v>
      </c>
      <c r="M102" s="71">
        <v>41</v>
      </c>
      <c r="N102" s="71">
        <v>41</v>
      </c>
      <c r="O102" s="71">
        <v>43</v>
      </c>
      <c r="P102" s="71">
        <v>46.9</v>
      </c>
      <c r="Q102" s="71">
        <v>48.7</v>
      </c>
      <c r="R102" s="71">
        <v>43.8</v>
      </c>
      <c r="S102" s="71">
        <v>51.2</v>
      </c>
      <c r="T102" s="71">
        <v>49</v>
      </c>
      <c r="U102" s="71">
        <v>43.1</v>
      </c>
      <c r="V102" s="71">
        <v>39.5</v>
      </c>
      <c r="W102" s="71">
        <v>37.5</v>
      </c>
      <c r="X102" s="71">
        <v>39.6</v>
      </c>
      <c r="Y102" s="71">
        <v>39.6</v>
      </c>
      <c r="Z102" s="71">
        <v>26.4</v>
      </c>
      <c r="AA102" s="71">
        <v>40</v>
      </c>
      <c r="AB102" s="71">
        <v>39</v>
      </c>
      <c r="AC102" s="71">
        <v>16.7</v>
      </c>
      <c r="AD102" s="71">
        <v>28.7</v>
      </c>
      <c r="AE102" s="71">
        <v>29.7</v>
      </c>
      <c r="AF102" s="71">
        <v>34.4</v>
      </c>
      <c r="AG102" s="70">
        <v>240</v>
      </c>
      <c r="AH102" s="20">
        <f t="shared" si="10"/>
        <v>55</v>
      </c>
      <c r="AI102" s="19">
        <f t="shared" si="11"/>
        <v>16.7</v>
      </c>
    </row>
    <row r="103" spans="1:37" x14ac:dyDescent="0.25">
      <c r="A103" s="44" t="s">
        <v>137</v>
      </c>
      <c r="B103" s="71">
        <f>-51-54</f>
        <v>-105</v>
      </c>
      <c r="C103" s="71">
        <f>-54.3-58</f>
        <v>-112.3</v>
      </c>
      <c r="D103" s="71">
        <f>-54-58</f>
        <v>-112</v>
      </c>
      <c r="E103" s="71">
        <v>-120</v>
      </c>
      <c r="F103" s="71">
        <v>-110</v>
      </c>
      <c r="G103" s="71">
        <v>-108</v>
      </c>
      <c r="H103" s="71">
        <v>-90</v>
      </c>
      <c r="I103" s="71">
        <v>-70</v>
      </c>
      <c r="J103" s="71">
        <v>-44</v>
      </c>
      <c r="K103" s="71">
        <v>-30</v>
      </c>
      <c r="L103" s="71">
        <v>-12</v>
      </c>
      <c r="M103" s="71" t="s">
        <v>284</v>
      </c>
      <c r="N103" s="71" t="s">
        <v>284</v>
      </c>
      <c r="O103" s="71">
        <v>-100</v>
      </c>
      <c r="P103" s="71">
        <f>-57-60</f>
        <v>-117</v>
      </c>
      <c r="Q103" s="71">
        <f>-57-61</f>
        <v>-118</v>
      </c>
      <c r="R103" s="71">
        <f>-52+-55</f>
        <v>-107</v>
      </c>
      <c r="S103" s="71">
        <v>-128</v>
      </c>
      <c r="T103" s="71">
        <v>-112</v>
      </c>
      <c r="U103" s="71">
        <v>-75.599999999999994</v>
      </c>
      <c r="V103" s="71">
        <v>-53.6</v>
      </c>
      <c r="W103" s="71">
        <v>-42.5</v>
      </c>
      <c r="X103" s="71">
        <f>-21.4-24.8</f>
        <v>-46.2</v>
      </c>
      <c r="Y103" s="71">
        <f>-21.4-24.8</f>
        <v>-46.2</v>
      </c>
      <c r="Z103" s="71">
        <f>-18.9-20.6</f>
        <v>-39.5</v>
      </c>
      <c r="AA103" s="71">
        <f>-31.3-33.4</f>
        <v>-64.7</v>
      </c>
      <c r="AB103" s="71">
        <f>-38-40.5</f>
        <v>-78.5</v>
      </c>
      <c r="AC103" s="71">
        <f>-26-28</f>
        <v>-54</v>
      </c>
      <c r="AD103" s="71">
        <f>-41-43</f>
        <v>-84</v>
      </c>
      <c r="AE103" s="71">
        <f>-37.6-40.6</f>
        <v>-78.2</v>
      </c>
      <c r="AF103" s="71">
        <f>-33.3-35.2</f>
        <v>-68.5</v>
      </c>
      <c r="AG103" s="70">
        <v>240</v>
      </c>
      <c r="AH103" s="20">
        <f t="shared" si="10"/>
        <v>-12</v>
      </c>
      <c r="AI103" s="19">
        <f t="shared" si="11"/>
        <v>-128</v>
      </c>
    </row>
    <row r="104" spans="1:37" x14ac:dyDescent="0.25">
      <c r="A104" s="44" t="s">
        <v>136</v>
      </c>
      <c r="B104" s="71">
        <v>-8.5</v>
      </c>
      <c r="C104" s="71">
        <v>-8.8000000000000007</v>
      </c>
      <c r="D104" s="71">
        <v>-8.9</v>
      </c>
      <c r="E104" s="71">
        <v>-1.7</v>
      </c>
      <c r="F104" s="71">
        <v>0</v>
      </c>
      <c r="G104" s="71">
        <v>1.3</v>
      </c>
      <c r="H104" s="71">
        <v>4.7</v>
      </c>
      <c r="I104" s="71">
        <v>8.4</v>
      </c>
      <c r="J104" s="71">
        <v>13.2</v>
      </c>
      <c r="K104" s="71">
        <v>16</v>
      </c>
      <c r="L104" s="71">
        <v>19</v>
      </c>
      <c r="M104" s="71">
        <v>19</v>
      </c>
      <c r="N104" s="71">
        <v>19</v>
      </c>
      <c r="O104" s="71">
        <v>11</v>
      </c>
      <c r="P104" s="71">
        <v>3.5</v>
      </c>
      <c r="Q104" s="71">
        <v>5</v>
      </c>
      <c r="R104" s="71">
        <v>4.5</v>
      </c>
      <c r="S104" s="71">
        <v>8.8000000000000007</v>
      </c>
      <c r="T104" s="71">
        <v>5.5</v>
      </c>
      <c r="U104" s="71">
        <v>10.199999999999999</v>
      </c>
      <c r="V104" s="71">
        <v>13.6</v>
      </c>
      <c r="W104" s="71">
        <v>15.5</v>
      </c>
      <c r="X104" s="71">
        <v>15.3</v>
      </c>
      <c r="Y104" s="71">
        <v>15.3</v>
      </c>
      <c r="Z104" s="71">
        <v>16.100000000000001</v>
      </c>
      <c r="AA104" s="71">
        <v>11.3</v>
      </c>
      <c r="AB104" s="71">
        <v>11.2</v>
      </c>
      <c r="AC104" s="71">
        <v>12.6</v>
      </c>
      <c r="AD104" s="71">
        <v>8.9</v>
      </c>
      <c r="AE104" s="71">
        <v>8.6</v>
      </c>
      <c r="AF104" s="71">
        <v>7.7</v>
      </c>
      <c r="AG104" s="70">
        <v>60</v>
      </c>
      <c r="AH104" s="20">
        <f t="shared" si="10"/>
        <v>19</v>
      </c>
      <c r="AI104" s="19">
        <f t="shared" si="11"/>
        <v>-8.9</v>
      </c>
    </row>
    <row r="105" spans="1:37" x14ac:dyDescent="0.25">
      <c r="A105" s="40" t="s">
        <v>135</v>
      </c>
      <c r="B105" s="68">
        <v>0</v>
      </c>
      <c r="C105" s="68"/>
      <c r="D105" s="68"/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9">
        <v>120</v>
      </c>
      <c r="AH105" s="20">
        <f t="shared" si="10"/>
        <v>0</v>
      </c>
      <c r="AI105" s="19">
        <f t="shared" si="11"/>
        <v>0</v>
      </c>
    </row>
    <row r="106" spans="1:37" x14ac:dyDescent="0.25">
      <c r="A106" s="40" t="s">
        <v>134</v>
      </c>
      <c r="B106" s="68">
        <v>-2.5</v>
      </c>
      <c r="C106" s="68">
        <v>-7.4</v>
      </c>
      <c r="D106" s="68">
        <v>-10</v>
      </c>
      <c r="E106" s="68">
        <v>-20</v>
      </c>
      <c r="F106" s="68">
        <v>-14</v>
      </c>
      <c r="G106" s="68">
        <v>-13</v>
      </c>
      <c r="H106" s="68">
        <v>-8</v>
      </c>
      <c r="I106" s="68">
        <v>8.4</v>
      </c>
      <c r="J106" s="68">
        <v>24</v>
      </c>
      <c r="K106" s="68">
        <v>34</v>
      </c>
      <c r="L106" s="68">
        <v>59</v>
      </c>
      <c r="M106" s="68">
        <v>48</v>
      </c>
      <c r="N106" s="68">
        <v>48</v>
      </c>
      <c r="O106" s="68">
        <v>19</v>
      </c>
      <c r="P106" s="68">
        <v>11.6</v>
      </c>
      <c r="Q106" s="68">
        <v>12.4</v>
      </c>
      <c r="R106" s="68">
        <v>28.2</v>
      </c>
      <c r="S106" s="68">
        <v>-10.199999999999999</v>
      </c>
      <c r="T106" s="68">
        <v>-8.3000000000000007</v>
      </c>
      <c r="U106" s="68">
        <v>18</v>
      </c>
      <c r="V106" s="68">
        <v>37</v>
      </c>
      <c r="W106" s="68">
        <v>27.8</v>
      </c>
      <c r="X106" s="68">
        <v>49.3</v>
      </c>
      <c r="Y106" s="68">
        <v>49.3</v>
      </c>
      <c r="Z106" s="68">
        <v>55.4</v>
      </c>
      <c r="AA106" s="68">
        <v>37.799999999999997</v>
      </c>
      <c r="AB106" s="68">
        <v>29</v>
      </c>
      <c r="AC106" s="68">
        <v>63.6</v>
      </c>
      <c r="AD106" s="68">
        <v>40</v>
      </c>
      <c r="AE106" s="68">
        <v>35.799999999999997</v>
      </c>
      <c r="AF106" s="68">
        <v>39.299999999999997</v>
      </c>
      <c r="AG106" s="69"/>
      <c r="AH106" s="20">
        <f t="shared" si="10"/>
        <v>63.6</v>
      </c>
      <c r="AI106" s="19">
        <f t="shared" si="11"/>
        <v>-20</v>
      </c>
    </row>
    <row r="107" spans="1:37" x14ac:dyDescent="0.25">
      <c r="A107" s="40" t="s">
        <v>133</v>
      </c>
      <c r="B107" s="68">
        <v>2.1</v>
      </c>
      <c r="C107" s="68">
        <v>0</v>
      </c>
      <c r="D107" s="68">
        <v>9.6</v>
      </c>
      <c r="E107" s="68">
        <v>-3</v>
      </c>
      <c r="F107" s="68">
        <v>7</v>
      </c>
      <c r="G107" s="68">
        <v>4.3</v>
      </c>
      <c r="H107" s="68">
        <v>11</v>
      </c>
      <c r="I107" s="68">
        <v>16</v>
      </c>
      <c r="J107" s="68">
        <v>20</v>
      </c>
      <c r="K107" s="68">
        <v>13</v>
      </c>
      <c r="L107" s="68">
        <v>37</v>
      </c>
      <c r="M107" s="68">
        <v>26</v>
      </c>
      <c r="N107" s="68">
        <v>26</v>
      </c>
      <c r="O107" s="68">
        <v>10</v>
      </c>
      <c r="P107" s="68">
        <v>7</v>
      </c>
      <c r="Q107" s="68">
        <v>0</v>
      </c>
      <c r="R107" s="68">
        <v>16.5</v>
      </c>
      <c r="S107" s="68">
        <v>-22.5</v>
      </c>
      <c r="T107" s="68">
        <v>-3.9</v>
      </c>
      <c r="U107" s="68">
        <v>17</v>
      </c>
      <c r="V107" s="68">
        <v>24</v>
      </c>
      <c r="W107" s="68">
        <v>29.8</v>
      </c>
      <c r="X107" s="68">
        <v>65.7</v>
      </c>
      <c r="Y107" s="68">
        <v>65.7</v>
      </c>
      <c r="Z107" s="68"/>
      <c r="AA107" s="68"/>
      <c r="AB107" s="68">
        <v>63</v>
      </c>
      <c r="AC107" s="68">
        <v>82.4</v>
      </c>
      <c r="AD107" s="68">
        <v>50.7</v>
      </c>
      <c r="AE107" s="68">
        <v>59.7</v>
      </c>
      <c r="AF107" s="68">
        <v>51.9</v>
      </c>
      <c r="AG107" s="48"/>
      <c r="AH107" s="20">
        <f t="shared" si="10"/>
        <v>82.4</v>
      </c>
      <c r="AI107" s="19">
        <f t="shared" si="11"/>
        <v>-22.5</v>
      </c>
    </row>
    <row r="108" spans="1:37" x14ac:dyDescent="0.25">
      <c r="A108" s="67" t="s">
        <v>132</v>
      </c>
      <c r="B108" s="66">
        <v>107</v>
      </c>
      <c r="C108" s="66">
        <v>97.6</v>
      </c>
      <c r="D108" s="66">
        <v>114</v>
      </c>
      <c r="E108" s="66">
        <v>117</v>
      </c>
      <c r="F108" s="66">
        <v>119</v>
      </c>
      <c r="G108" s="66">
        <v>119</v>
      </c>
      <c r="H108" s="66">
        <v>117</v>
      </c>
      <c r="I108" s="66">
        <v>104</v>
      </c>
      <c r="J108" s="66">
        <v>114</v>
      </c>
      <c r="K108" s="66">
        <v>120</v>
      </c>
      <c r="L108" s="66">
        <v>116</v>
      </c>
      <c r="M108" s="66">
        <v>112</v>
      </c>
      <c r="N108" s="66">
        <v>112</v>
      </c>
      <c r="O108" s="66">
        <v>115</v>
      </c>
      <c r="P108" s="66">
        <v>105.4</v>
      </c>
      <c r="Q108" s="66">
        <v>97.1</v>
      </c>
      <c r="R108" s="66">
        <v>109.3</v>
      </c>
      <c r="S108" s="66">
        <v>106.5</v>
      </c>
      <c r="T108" s="66">
        <v>107.2</v>
      </c>
      <c r="U108" s="66">
        <v>98.7</v>
      </c>
      <c r="V108" s="66">
        <v>95.9</v>
      </c>
      <c r="W108" s="66">
        <v>96.6</v>
      </c>
      <c r="X108" s="66">
        <v>91.7</v>
      </c>
      <c r="Y108" s="66">
        <v>91.7</v>
      </c>
      <c r="Z108" s="66">
        <v>107.9</v>
      </c>
      <c r="AA108" s="66">
        <v>107.2</v>
      </c>
      <c r="AB108" s="66">
        <v>107</v>
      </c>
      <c r="AC108" s="66">
        <v>110</v>
      </c>
      <c r="AD108" s="66">
        <v>112</v>
      </c>
      <c r="AE108" s="66">
        <v>90.5</v>
      </c>
      <c r="AF108" s="66">
        <v>90.9</v>
      </c>
      <c r="AG108" s="48"/>
      <c r="AH108" s="20">
        <f t="shared" si="10"/>
        <v>120</v>
      </c>
      <c r="AI108" s="19">
        <f t="shared" si="11"/>
        <v>90.5</v>
      </c>
    </row>
    <row r="109" spans="1:37" ht="15.75" thickBot="1" x14ac:dyDescent="0.3">
      <c r="A109" s="67" t="s">
        <v>131</v>
      </c>
      <c r="B109" s="66">
        <v>74</v>
      </c>
      <c r="C109" s="66">
        <v>78.099999999999994</v>
      </c>
      <c r="D109" s="66">
        <v>76</v>
      </c>
      <c r="E109" s="66">
        <v>86</v>
      </c>
      <c r="F109" s="66">
        <v>80</v>
      </c>
      <c r="G109" s="66">
        <v>78</v>
      </c>
      <c r="H109" s="66">
        <v>64</v>
      </c>
      <c r="I109" s="66">
        <v>51</v>
      </c>
      <c r="J109" s="66">
        <v>35</v>
      </c>
      <c r="K109" s="66">
        <v>27</v>
      </c>
      <c r="L109" s="66">
        <v>8</v>
      </c>
      <c r="M109" s="66">
        <v>30</v>
      </c>
      <c r="N109" s="66">
        <v>30</v>
      </c>
      <c r="O109" s="66">
        <v>67</v>
      </c>
      <c r="P109" s="66">
        <v>77.5</v>
      </c>
      <c r="Q109" s="66">
        <v>80.5</v>
      </c>
      <c r="R109" s="66">
        <v>69.5</v>
      </c>
      <c r="S109" s="66">
        <v>93</v>
      </c>
      <c r="T109" s="66">
        <v>80.5</v>
      </c>
      <c r="U109" s="66">
        <v>50.5</v>
      </c>
      <c r="V109" s="66">
        <v>36</v>
      </c>
      <c r="W109" s="66">
        <v>28.2</v>
      </c>
      <c r="X109" s="66">
        <v>25.4</v>
      </c>
      <c r="Y109" s="66">
        <v>25.4</v>
      </c>
      <c r="Z109" s="66">
        <v>16.3</v>
      </c>
      <c r="AA109" s="66">
        <v>37.6</v>
      </c>
      <c r="AB109" s="66">
        <v>42</v>
      </c>
      <c r="AC109" s="66">
        <v>24</v>
      </c>
      <c r="AD109" s="66">
        <v>48.6</v>
      </c>
      <c r="AE109" s="66">
        <v>45.4</v>
      </c>
      <c r="AF109" s="66">
        <v>44.6</v>
      </c>
      <c r="AG109" s="48"/>
      <c r="AH109" s="20">
        <f t="shared" si="10"/>
        <v>93</v>
      </c>
      <c r="AI109" s="19">
        <f t="shared" si="11"/>
        <v>8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3">SUM(B111:B215)</f>
        <v>0</v>
      </c>
      <c r="C216" s="36">
        <f t="shared" si="23"/>
        <v>0</v>
      </c>
      <c r="D216" s="36">
        <f t="shared" si="23"/>
        <v>0</v>
      </c>
      <c r="E216" s="36">
        <f t="shared" si="23"/>
        <v>0</v>
      </c>
      <c r="F216" s="36">
        <f t="shared" si="23"/>
        <v>0</v>
      </c>
      <c r="G216" s="36">
        <f t="shared" si="23"/>
        <v>0</v>
      </c>
      <c r="H216" s="36">
        <f t="shared" si="23"/>
        <v>0</v>
      </c>
      <c r="I216" s="36">
        <f t="shared" si="23"/>
        <v>0</v>
      </c>
      <c r="J216" s="36">
        <f t="shared" si="23"/>
        <v>0</v>
      </c>
      <c r="K216" s="36">
        <f t="shared" si="23"/>
        <v>0</v>
      </c>
      <c r="L216" s="36">
        <f t="shared" si="23"/>
        <v>0</v>
      </c>
      <c r="M216" s="36">
        <f t="shared" si="23"/>
        <v>0</v>
      </c>
      <c r="N216" s="36">
        <f t="shared" si="23"/>
        <v>0</v>
      </c>
      <c r="O216" s="36">
        <f t="shared" si="23"/>
        <v>0</v>
      </c>
      <c r="P216" s="36">
        <f t="shared" si="23"/>
        <v>0</v>
      </c>
      <c r="Q216" s="36">
        <f t="shared" si="23"/>
        <v>0</v>
      </c>
      <c r="R216" s="36">
        <f t="shared" si="23"/>
        <v>0</v>
      </c>
      <c r="S216" s="36">
        <f t="shared" si="23"/>
        <v>0</v>
      </c>
      <c r="T216" s="36">
        <f t="shared" si="23"/>
        <v>0</v>
      </c>
      <c r="U216" s="36">
        <f t="shared" si="23"/>
        <v>0</v>
      </c>
      <c r="V216" s="36">
        <f t="shared" si="23"/>
        <v>0</v>
      </c>
      <c r="W216" s="36">
        <f t="shared" si="23"/>
        <v>0</v>
      </c>
      <c r="X216" s="36">
        <f t="shared" si="23"/>
        <v>0</v>
      </c>
      <c r="Y216" s="36">
        <f t="shared" si="23"/>
        <v>0</v>
      </c>
      <c r="Z216" s="36">
        <f t="shared" si="23"/>
        <v>0</v>
      </c>
      <c r="AA216" s="36">
        <f t="shared" si="23"/>
        <v>0</v>
      </c>
      <c r="AB216" s="36">
        <f t="shared" si="23"/>
        <v>0</v>
      </c>
      <c r="AC216" s="36">
        <f t="shared" si="23"/>
        <v>0</v>
      </c>
      <c r="AD216" s="36">
        <f t="shared" si="23"/>
        <v>0</v>
      </c>
      <c r="AE216" s="36">
        <f t="shared" si="23"/>
        <v>0</v>
      </c>
      <c r="AF216" s="51">
        <f t="shared" si="23"/>
        <v>0</v>
      </c>
      <c r="AG216" s="50">
        <f t="shared" si="23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4">AF218</f>
        <v>0</v>
      </c>
      <c r="C218" s="46">
        <v>0.3</v>
      </c>
      <c r="D218" s="46">
        <f t="shared" ref="D218:P223" si="25">C218</f>
        <v>0.3</v>
      </c>
      <c r="E218" s="46">
        <f t="shared" si="25"/>
        <v>0.3</v>
      </c>
      <c r="F218" s="46">
        <f t="shared" si="25"/>
        <v>0.3</v>
      </c>
      <c r="G218" s="46">
        <f t="shared" si="25"/>
        <v>0.3</v>
      </c>
      <c r="H218" s="46">
        <f t="shared" si="25"/>
        <v>0.3</v>
      </c>
      <c r="I218" s="46">
        <f t="shared" si="25"/>
        <v>0.3</v>
      </c>
      <c r="J218" s="46">
        <f t="shared" si="25"/>
        <v>0.3</v>
      </c>
      <c r="K218" s="46">
        <f t="shared" si="25"/>
        <v>0.3</v>
      </c>
      <c r="L218" s="46">
        <f t="shared" si="25"/>
        <v>0.3</v>
      </c>
      <c r="M218" s="46">
        <f t="shared" si="25"/>
        <v>0.3</v>
      </c>
      <c r="N218" s="46">
        <f t="shared" si="25"/>
        <v>0.3</v>
      </c>
      <c r="O218" s="46">
        <f t="shared" si="25"/>
        <v>0.3</v>
      </c>
      <c r="P218" s="46">
        <f t="shared" si="25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4"/>
        <v>0</v>
      </c>
      <c r="C219" s="43">
        <v>0.4</v>
      </c>
      <c r="D219" s="43">
        <f t="shared" si="25"/>
        <v>0.4</v>
      </c>
      <c r="E219" s="43">
        <f t="shared" si="25"/>
        <v>0.4</v>
      </c>
      <c r="F219" s="43">
        <f t="shared" si="25"/>
        <v>0.4</v>
      </c>
      <c r="G219" s="43">
        <f t="shared" si="25"/>
        <v>0.4</v>
      </c>
      <c r="H219" s="43">
        <f t="shared" si="25"/>
        <v>0.4</v>
      </c>
      <c r="I219" s="43">
        <f t="shared" si="25"/>
        <v>0.4</v>
      </c>
      <c r="J219" s="43">
        <f t="shared" si="25"/>
        <v>0.4</v>
      </c>
      <c r="K219" s="43">
        <f t="shared" si="25"/>
        <v>0.4</v>
      </c>
      <c r="L219" s="43">
        <f t="shared" si="25"/>
        <v>0.4</v>
      </c>
      <c r="M219" s="43">
        <f t="shared" si="25"/>
        <v>0.4</v>
      </c>
      <c r="N219" s="43">
        <f t="shared" si="25"/>
        <v>0.4</v>
      </c>
      <c r="O219" s="43">
        <f t="shared" si="25"/>
        <v>0.4</v>
      </c>
      <c r="P219" s="43">
        <f t="shared" si="25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4"/>
        <v>0</v>
      </c>
      <c r="C220" s="43">
        <v>1.5</v>
      </c>
      <c r="D220" s="43">
        <f t="shared" si="25"/>
        <v>1.5</v>
      </c>
      <c r="E220" s="43">
        <f t="shared" si="25"/>
        <v>1.5</v>
      </c>
      <c r="F220" s="43">
        <f t="shared" si="25"/>
        <v>1.5</v>
      </c>
      <c r="G220" s="43">
        <f t="shared" si="25"/>
        <v>1.5</v>
      </c>
      <c r="H220" s="43">
        <f t="shared" si="25"/>
        <v>1.5</v>
      </c>
      <c r="I220" s="43">
        <f t="shared" si="25"/>
        <v>1.5</v>
      </c>
      <c r="J220" s="43">
        <f t="shared" si="25"/>
        <v>1.5</v>
      </c>
      <c r="K220" s="43">
        <f t="shared" si="25"/>
        <v>1.5</v>
      </c>
      <c r="L220" s="43">
        <f t="shared" si="25"/>
        <v>1.5</v>
      </c>
      <c r="M220" s="43">
        <f t="shared" si="25"/>
        <v>1.5</v>
      </c>
      <c r="N220" s="43">
        <f t="shared" si="25"/>
        <v>1.5</v>
      </c>
      <c r="O220" s="43">
        <f t="shared" si="25"/>
        <v>1.5</v>
      </c>
      <c r="P220" s="43">
        <f t="shared" si="25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4"/>
        <v>0</v>
      </c>
      <c r="C221" s="43">
        <v>0.3</v>
      </c>
      <c r="D221" s="43">
        <f t="shared" si="25"/>
        <v>0.3</v>
      </c>
      <c r="E221" s="43">
        <f t="shared" si="25"/>
        <v>0.3</v>
      </c>
      <c r="F221" s="43">
        <f t="shared" si="25"/>
        <v>0.3</v>
      </c>
      <c r="G221" s="43">
        <f t="shared" si="25"/>
        <v>0.3</v>
      </c>
      <c r="H221" s="43">
        <f t="shared" si="25"/>
        <v>0.3</v>
      </c>
      <c r="I221" s="43">
        <f t="shared" si="25"/>
        <v>0.3</v>
      </c>
      <c r="J221" s="43">
        <f t="shared" si="25"/>
        <v>0.3</v>
      </c>
      <c r="K221" s="43">
        <f t="shared" si="25"/>
        <v>0.3</v>
      </c>
      <c r="L221" s="43">
        <f t="shared" si="25"/>
        <v>0.3</v>
      </c>
      <c r="M221" s="43">
        <f t="shared" si="25"/>
        <v>0.3</v>
      </c>
      <c r="N221" s="43">
        <f t="shared" si="25"/>
        <v>0.3</v>
      </c>
      <c r="O221" s="43">
        <f t="shared" si="25"/>
        <v>0.3</v>
      </c>
      <c r="P221" s="43">
        <f t="shared" si="25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4"/>
        <v>0</v>
      </c>
      <c r="C222" s="43">
        <v>0.4</v>
      </c>
      <c r="D222" s="43">
        <f t="shared" si="25"/>
        <v>0.4</v>
      </c>
      <c r="E222" s="43">
        <f t="shared" si="25"/>
        <v>0.4</v>
      </c>
      <c r="F222" s="43">
        <f t="shared" si="25"/>
        <v>0.4</v>
      </c>
      <c r="G222" s="43">
        <f t="shared" si="25"/>
        <v>0.4</v>
      </c>
      <c r="H222" s="43">
        <f t="shared" si="25"/>
        <v>0.4</v>
      </c>
      <c r="I222" s="43">
        <f t="shared" si="25"/>
        <v>0.4</v>
      </c>
      <c r="J222" s="43">
        <f t="shared" si="25"/>
        <v>0.4</v>
      </c>
      <c r="K222" s="43">
        <f t="shared" si="25"/>
        <v>0.4</v>
      </c>
      <c r="L222" s="43">
        <f t="shared" si="25"/>
        <v>0.4</v>
      </c>
      <c r="M222" s="43">
        <f t="shared" si="25"/>
        <v>0.4</v>
      </c>
      <c r="N222" s="43">
        <f t="shared" si="25"/>
        <v>0.4</v>
      </c>
      <c r="O222" s="43">
        <f t="shared" si="25"/>
        <v>0.4</v>
      </c>
      <c r="P222" s="43">
        <f t="shared" si="25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4"/>
        <v>0</v>
      </c>
      <c r="C223" s="39">
        <v>0.64</v>
      </c>
      <c r="D223" s="39">
        <f t="shared" si="25"/>
        <v>0.64</v>
      </c>
      <c r="E223" s="39">
        <f t="shared" si="25"/>
        <v>0.64</v>
      </c>
      <c r="F223" s="39">
        <f t="shared" si="25"/>
        <v>0.64</v>
      </c>
      <c r="G223" s="39">
        <f t="shared" si="25"/>
        <v>0.64</v>
      </c>
      <c r="H223" s="39">
        <f t="shared" si="25"/>
        <v>0.64</v>
      </c>
      <c r="I223" s="39">
        <f t="shared" si="25"/>
        <v>0.64</v>
      </c>
      <c r="J223" s="39">
        <f t="shared" si="25"/>
        <v>0.64</v>
      </c>
      <c r="K223" s="39">
        <f t="shared" si="25"/>
        <v>0.64</v>
      </c>
      <c r="L223" s="39">
        <f t="shared" si="25"/>
        <v>0.64</v>
      </c>
      <c r="M223" s="39">
        <f t="shared" si="25"/>
        <v>0.64</v>
      </c>
      <c r="N223" s="39">
        <f t="shared" si="25"/>
        <v>0.64</v>
      </c>
      <c r="O223" s="39">
        <f t="shared" si="25"/>
        <v>0.64</v>
      </c>
      <c r="P223" s="39">
        <f t="shared" si="25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6">SUM(B218:B223)</f>
        <v>0</v>
      </c>
      <c r="C224" s="36">
        <f t="shared" si="26"/>
        <v>3.54</v>
      </c>
      <c r="D224" s="36">
        <f t="shared" si="26"/>
        <v>3.54</v>
      </c>
      <c r="E224" s="36">
        <f t="shared" si="26"/>
        <v>3.54</v>
      </c>
      <c r="F224" s="36">
        <f t="shared" si="26"/>
        <v>3.54</v>
      </c>
      <c r="G224" s="36">
        <f t="shared" si="26"/>
        <v>3.54</v>
      </c>
      <c r="H224" s="36">
        <f t="shared" si="26"/>
        <v>3.54</v>
      </c>
      <c r="I224" s="36">
        <f t="shared" si="26"/>
        <v>3.54</v>
      </c>
      <c r="J224" s="36">
        <f t="shared" si="26"/>
        <v>3.54</v>
      </c>
      <c r="K224" s="36">
        <f t="shared" si="26"/>
        <v>3.54</v>
      </c>
      <c r="L224" s="36">
        <f t="shared" si="26"/>
        <v>3.54</v>
      </c>
      <c r="M224" s="36">
        <f t="shared" si="26"/>
        <v>3.54</v>
      </c>
      <c r="N224" s="36">
        <f t="shared" si="26"/>
        <v>3.54</v>
      </c>
      <c r="O224" s="36">
        <f t="shared" si="26"/>
        <v>3.54</v>
      </c>
      <c r="P224" s="36">
        <f t="shared" si="26"/>
        <v>3.54</v>
      </c>
      <c r="Q224" s="36">
        <f t="shared" si="26"/>
        <v>0</v>
      </c>
      <c r="R224" s="36">
        <f t="shared" si="26"/>
        <v>0</v>
      </c>
      <c r="S224" s="36">
        <f t="shared" si="26"/>
        <v>0</v>
      </c>
      <c r="T224" s="36">
        <f t="shared" si="26"/>
        <v>0</v>
      </c>
      <c r="U224" s="36">
        <f t="shared" si="26"/>
        <v>0</v>
      </c>
      <c r="V224" s="36">
        <f t="shared" si="26"/>
        <v>0</v>
      </c>
      <c r="W224" s="36">
        <f t="shared" si="26"/>
        <v>0</v>
      </c>
      <c r="X224" s="36">
        <f t="shared" si="26"/>
        <v>0</v>
      </c>
      <c r="Y224" s="36">
        <f t="shared" si="26"/>
        <v>0</v>
      </c>
      <c r="Z224" s="36">
        <f t="shared" si="26"/>
        <v>0</v>
      </c>
      <c r="AA224" s="36">
        <f t="shared" si="26"/>
        <v>0</v>
      </c>
      <c r="AB224" s="36">
        <f t="shared" si="26"/>
        <v>0</v>
      </c>
      <c r="AC224" s="36">
        <f t="shared" si="26"/>
        <v>0</v>
      </c>
      <c r="AD224" s="36">
        <f t="shared" si="26"/>
        <v>0</v>
      </c>
      <c r="AE224" s="36">
        <f t="shared" si="26"/>
        <v>0</v>
      </c>
      <c r="AF224" s="36">
        <f t="shared" si="26"/>
        <v>0</v>
      </c>
      <c r="AG224" s="35">
        <f t="shared" si="26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1333.54</v>
      </c>
      <c r="C233" s="16">
        <f>INDEX(G9:N9,1,MATCH(MAX(G81:N81),G81:N81,0))</f>
        <v>0.375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21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2079/06/21)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2079/06/21)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7">B81</f>
        <v>1340.04</v>
      </c>
      <c r="U238" s="9">
        <f t="shared" si="27"/>
        <v>1254.04</v>
      </c>
      <c r="V238" s="9">
        <f t="shared" si="27"/>
        <v>1232.8399999999999</v>
      </c>
      <c r="W238" s="9">
        <f t="shared" si="27"/>
        <v>1234.44</v>
      </c>
      <c r="X238" s="9">
        <f t="shared" si="27"/>
        <v>1226.6399999999999</v>
      </c>
      <c r="Y238" s="9">
        <f t="shared" si="27"/>
        <v>1228.6399999999999</v>
      </c>
      <c r="Z238" s="9">
        <f t="shared" si="27"/>
        <v>1214.3399999999999</v>
      </c>
      <c r="AA238" s="9">
        <f t="shared" si="27"/>
        <v>1229.3399999999999</v>
      </c>
      <c r="AB238" s="9">
        <f t="shared" si="27"/>
        <v>1228.3399999999999</v>
      </c>
      <c r="AC238" s="9">
        <f t="shared" si="27"/>
        <v>1212.3399999999999</v>
      </c>
      <c r="AD238" s="9">
        <f t="shared" si="27"/>
        <v>1232.3399999999999</v>
      </c>
      <c r="AE238" s="9">
        <f t="shared" si="27"/>
        <v>1316.54</v>
      </c>
      <c r="AF238" s="9">
        <f t="shared" si="27"/>
        <v>1333.54</v>
      </c>
      <c r="AG238" s="9">
        <f t="shared" si="27"/>
        <v>1283.54</v>
      </c>
      <c r="AH238" s="9">
        <f t="shared" si="27"/>
        <v>1370.54</v>
      </c>
      <c r="AI238" s="9">
        <f t="shared" si="27"/>
        <v>1350.34</v>
      </c>
      <c r="AJ238" s="9">
        <f t="shared" si="27"/>
        <v>1354.44</v>
      </c>
      <c r="AK238" s="9">
        <f t="shared" si="27"/>
        <v>1337.34</v>
      </c>
      <c r="AL238" s="9">
        <f t="shared" si="27"/>
        <v>1339.44</v>
      </c>
      <c r="AM238" s="9">
        <f t="shared" si="27"/>
        <v>1325.24</v>
      </c>
      <c r="AN238" s="9">
        <f t="shared" si="27"/>
        <v>1375.9399999999998</v>
      </c>
      <c r="AO238" s="9">
        <f t="shared" si="27"/>
        <v>1385.04</v>
      </c>
      <c r="AP238" s="9">
        <f t="shared" si="27"/>
        <v>1494.3400000000001</v>
      </c>
      <c r="AQ238" s="9">
        <f t="shared" si="27"/>
        <v>1522.3400000000001</v>
      </c>
      <c r="AR238" s="9">
        <f t="shared" si="27"/>
        <v>1501.04</v>
      </c>
      <c r="AS238" s="9">
        <f t="shared" si="27"/>
        <v>1527.1399999999999</v>
      </c>
      <c r="AT238" s="9">
        <f t="shared" si="27"/>
        <v>1465.84</v>
      </c>
      <c r="AU238" s="9">
        <f t="shared" si="27"/>
        <v>1450.04</v>
      </c>
      <c r="AV238" s="9">
        <f t="shared" si="27"/>
        <v>1438.04</v>
      </c>
      <c r="AW238" s="9">
        <f t="shared" si="27"/>
        <v>1393.14</v>
      </c>
      <c r="AX238" s="9">
        <f t="shared" si="27"/>
        <v>1334.34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8">C223</f>
        <v>0.64</v>
      </c>
      <c r="C259" s="4">
        <f t="shared" si="28"/>
        <v>0.64</v>
      </c>
      <c r="D259" s="4">
        <f t="shared" si="28"/>
        <v>0.64</v>
      </c>
      <c r="E259" s="4">
        <f t="shared" si="28"/>
        <v>0.64</v>
      </c>
      <c r="F259" s="4">
        <f t="shared" si="28"/>
        <v>0.64</v>
      </c>
      <c r="G259" s="4">
        <f t="shared" si="28"/>
        <v>0.64</v>
      </c>
      <c r="H259" s="4">
        <f t="shared" si="28"/>
        <v>0.64</v>
      </c>
      <c r="I259" s="4">
        <f t="shared" si="28"/>
        <v>0.64</v>
      </c>
      <c r="J259" s="4">
        <f t="shared" si="28"/>
        <v>0.64</v>
      </c>
      <c r="K259" s="4">
        <f t="shared" si="28"/>
        <v>0.64</v>
      </c>
      <c r="L259" s="4">
        <f t="shared" si="28"/>
        <v>0.64</v>
      </c>
      <c r="M259" s="4">
        <f t="shared" si="28"/>
        <v>0.64</v>
      </c>
      <c r="N259" s="4">
        <f t="shared" si="28"/>
        <v>0.64</v>
      </c>
      <c r="O259" s="4">
        <f t="shared" si="28"/>
        <v>0.64</v>
      </c>
      <c r="P259" s="4">
        <f t="shared" si="28"/>
        <v>0</v>
      </c>
      <c r="Q259" s="4">
        <f t="shared" si="28"/>
        <v>0</v>
      </c>
      <c r="R259" s="4">
        <f t="shared" si="28"/>
        <v>0</v>
      </c>
      <c r="S259" s="4">
        <f t="shared" si="28"/>
        <v>0</v>
      </c>
      <c r="T259" s="4">
        <f t="shared" si="28"/>
        <v>0</v>
      </c>
      <c r="U259" s="4">
        <f t="shared" si="28"/>
        <v>0</v>
      </c>
      <c r="V259" s="4">
        <f t="shared" si="28"/>
        <v>0</v>
      </c>
      <c r="W259" s="4">
        <f t="shared" si="28"/>
        <v>0</v>
      </c>
      <c r="X259" s="4">
        <f t="shared" si="28"/>
        <v>0</v>
      </c>
      <c r="Y259" s="4">
        <f t="shared" si="28"/>
        <v>0</v>
      </c>
      <c r="Z259" s="4">
        <f t="shared" si="28"/>
        <v>0</v>
      </c>
      <c r="AA259" s="4">
        <f t="shared" si="28"/>
        <v>0</v>
      </c>
      <c r="AB259" s="4">
        <f t="shared" si="28"/>
        <v>0</v>
      </c>
      <c r="AC259" s="4">
        <f t="shared" si="28"/>
        <v>0</v>
      </c>
      <c r="AD259" s="4">
        <f t="shared" si="28"/>
        <v>0</v>
      </c>
      <c r="AE259" s="4">
        <f t="shared" si="28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29">IF(B227&lt;100,"",B227-520)</f>
        <v/>
      </c>
      <c r="C260" s="3" t="str">
        <f t="shared" si="29"/>
        <v/>
      </c>
      <c r="D260" s="3" t="str">
        <f t="shared" si="29"/>
        <v/>
      </c>
      <c r="E260" s="3" t="str">
        <f t="shared" si="29"/>
        <v/>
      </c>
      <c r="F260" s="3" t="str">
        <f t="shared" si="29"/>
        <v/>
      </c>
      <c r="G260" s="3" t="str">
        <f t="shared" si="29"/>
        <v/>
      </c>
      <c r="H260" s="3" t="str">
        <f t="shared" si="29"/>
        <v/>
      </c>
      <c r="I260" s="3" t="str">
        <f t="shared" si="29"/>
        <v/>
      </c>
      <c r="J260" s="3" t="str">
        <f t="shared" si="29"/>
        <v/>
      </c>
      <c r="K260" s="3" t="str">
        <f t="shared" si="29"/>
        <v/>
      </c>
      <c r="L260" s="3" t="str">
        <f t="shared" si="29"/>
        <v/>
      </c>
      <c r="M260" s="3" t="str">
        <f t="shared" si="29"/>
        <v/>
      </c>
      <c r="N260" s="3" t="str">
        <f t="shared" si="29"/>
        <v/>
      </c>
      <c r="O260" s="3" t="str">
        <f t="shared" si="29"/>
        <v/>
      </c>
      <c r="P260" s="3" t="str">
        <f t="shared" si="29"/>
        <v/>
      </c>
      <c r="Q260" s="3" t="str">
        <f t="shared" si="29"/>
        <v/>
      </c>
      <c r="R260" s="3" t="str">
        <f t="shared" si="29"/>
        <v/>
      </c>
      <c r="S260" s="3" t="str">
        <f t="shared" si="29"/>
        <v/>
      </c>
      <c r="T260" s="3" t="str">
        <f t="shared" si="29"/>
        <v/>
      </c>
      <c r="U260" s="3" t="str">
        <f t="shared" si="29"/>
        <v/>
      </c>
      <c r="V260" s="3" t="str">
        <f t="shared" si="29"/>
        <v/>
      </c>
      <c r="W260" s="3" t="str">
        <f t="shared" si="29"/>
        <v/>
      </c>
      <c r="X260" s="3" t="str">
        <f t="shared" si="29"/>
        <v/>
      </c>
      <c r="Y260" s="3" t="str">
        <f t="shared" si="29"/>
        <v/>
      </c>
      <c r="Z260" s="3" t="str">
        <f t="shared" si="29"/>
        <v/>
      </c>
      <c r="AA260" s="3" t="str">
        <f t="shared" si="29"/>
        <v/>
      </c>
      <c r="AB260" s="3" t="str">
        <f t="shared" si="29"/>
        <v/>
      </c>
      <c r="AC260" s="3" t="str">
        <f t="shared" si="29"/>
        <v/>
      </c>
      <c r="AD260" s="3" t="str">
        <f t="shared" si="29"/>
        <v/>
      </c>
      <c r="AE260" s="3" t="str">
        <f t="shared" si="29"/>
        <v/>
      </c>
      <c r="AF260" s="3" t="str">
        <f t="shared" si="29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30">IF(B228&lt;100,"",B228-620)</f>
        <v/>
      </c>
      <c r="C261" s="3" t="str">
        <f t="shared" si="30"/>
        <v/>
      </c>
      <c r="D261" s="3" t="str">
        <f t="shared" si="30"/>
        <v/>
      </c>
      <c r="E261" s="3" t="str">
        <f t="shared" si="30"/>
        <v/>
      </c>
      <c r="F261" s="3" t="str">
        <f t="shared" si="30"/>
        <v/>
      </c>
      <c r="G261" s="3" t="str">
        <f t="shared" si="30"/>
        <v/>
      </c>
      <c r="H261" s="3" t="str">
        <f t="shared" si="30"/>
        <v/>
      </c>
      <c r="I261" s="3" t="str">
        <f t="shared" si="30"/>
        <v/>
      </c>
      <c r="J261" s="3" t="str">
        <f t="shared" si="30"/>
        <v/>
      </c>
      <c r="K261" s="3" t="str">
        <f t="shared" si="30"/>
        <v/>
      </c>
      <c r="L261" s="3" t="str">
        <f t="shared" si="30"/>
        <v/>
      </c>
      <c r="M261" s="3" t="str">
        <f t="shared" si="30"/>
        <v/>
      </c>
      <c r="N261" s="3" t="str">
        <f t="shared" si="30"/>
        <v/>
      </c>
      <c r="O261" s="3" t="str">
        <f t="shared" si="30"/>
        <v/>
      </c>
      <c r="P261" s="3" t="str">
        <f t="shared" si="30"/>
        <v/>
      </c>
      <c r="Q261" s="3" t="str">
        <f t="shared" si="30"/>
        <v/>
      </c>
      <c r="R261" s="3" t="str">
        <f t="shared" si="30"/>
        <v/>
      </c>
      <c r="S261" s="3" t="str">
        <f t="shared" si="30"/>
        <v/>
      </c>
      <c r="T261" s="3" t="str">
        <f t="shared" si="30"/>
        <v/>
      </c>
      <c r="U261" s="3" t="str">
        <f t="shared" si="30"/>
        <v/>
      </c>
      <c r="V261" s="3" t="str">
        <f t="shared" si="30"/>
        <v/>
      </c>
      <c r="W261" s="3" t="str">
        <f t="shared" si="30"/>
        <v/>
      </c>
      <c r="X261" s="3" t="str">
        <f t="shared" si="30"/>
        <v/>
      </c>
      <c r="Y261" s="3" t="str">
        <f t="shared" si="30"/>
        <v/>
      </c>
      <c r="Z261" s="3" t="str">
        <f t="shared" si="30"/>
        <v/>
      </c>
      <c r="AA261" s="3" t="str">
        <f t="shared" si="30"/>
        <v/>
      </c>
      <c r="AB261" s="3" t="str">
        <f t="shared" si="30"/>
        <v/>
      </c>
      <c r="AC261" s="3" t="str">
        <f t="shared" si="30"/>
        <v/>
      </c>
      <c r="AD261" s="3" t="str">
        <f t="shared" si="30"/>
        <v/>
      </c>
      <c r="AE261" s="3" t="str">
        <f t="shared" si="30"/>
        <v/>
      </c>
      <c r="AF261" s="3" t="str">
        <f t="shared" si="30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1">IF(B229&lt;100,"",B229-330)</f>
        <v/>
      </c>
      <c r="C262" s="3" t="str">
        <f t="shared" si="31"/>
        <v/>
      </c>
      <c r="D262" s="3" t="str">
        <f t="shared" si="31"/>
        <v/>
      </c>
      <c r="E262" s="3" t="str">
        <f t="shared" si="31"/>
        <v/>
      </c>
      <c r="F262" s="3" t="str">
        <f t="shared" si="31"/>
        <v/>
      </c>
      <c r="G262" s="3" t="str">
        <f t="shared" si="31"/>
        <v/>
      </c>
      <c r="H262" s="3" t="str">
        <f t="shared" si="31"/>
        <v/>
      </c>
      <c r="I262" s="3" t="str">
        <f t="shared" si="31"/>
        <v/>
      </c>
      <c r="J262" s="3" t="str">
        <f t="shared" si="31"/>
        <v/>
      </c>
      <c r="K262" s="3" t="str">
        <f t="shared" si="31"/>
        <v/>
      </c>
      <c r="L262" s="3" t="str">
        <f t="shared" si="31"/>
        <v/>
      </c>
      <c r="M262" s="3" t="str">
        <f t="shared" si="31"/>
        <v/>
      </c>
      <c r="N262" s="3" t="str">
        <f t="shared" si="31"/>
        <v/>
      </c>
      <c r="O262" s="3" t="str">
        <f t="shared" si="31"/>
        <v/>
      </c>
      <c r="P262" s="3" t="str">
        <f t="shared" si="31"/>
        <v/>
      </c>
      <c r="Q262" s="3" t="str">
        <f t="shared" si="31"/>
        <v/>
      </c>
      <c r="R262" s="3" t="str">
        <f t="shared" si="31"/>
        <v/>
      </c>
      <c r="S262" s="3" t="str">
        <f t="shared" si="31"/>
        <v/>
      </c>
      <c r="T262" s="3" t="str">
        <f t="shared" si="31"/>
        <v/>
      </c>
      <c r="U262" s="3" t="str">
        <f t="shared" si="31"/>
        <v/>
      </c>
      <c r="V262" s="3" t="str">
        <f t="shared" si="31"/>
        <v/>
      </c>
      <c r="W262" s="3" t="str">
        <f t="shared" si="31"/>
        <v/>
      </c>
      <c r="X262" s="3" t="str">
        <f t="shared" si="31"/>
        <v/>
      </c>
      <c r="Y262" s="3" t="str">
        <f t="shared" si="31"/>
        <v/>
      </c>
      <c r="Z262" s="3" t="str">
        <f t="shared" si="31"/>
        <v/>
      </c>
      <c r="AA262" s="3" t="str">
        <f t="shared" si="31"/>
        <v/>
      </c>
      <c r="AB262" s="3" t="str">
        <f t="shared" si="31"/>
        <v/>
      </c>
      <c r="AC262" s="3" t="str">
        <f t="shared" si="31"/>
        <v/>
      </c>
      <c r="AD262" s="3" t="str">
        <f t="shared" si="31"/>
        <v/>
      </c>
      <c r="AE262" s="3" t="str">
        <f t="shared" si="31"/>
        <v/>
      </c>
      <c r="AF262" s="3" t="str">
        <f t="shared" si="31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2">IF(B230&lt;100,"",B230-1500)</f>
        <v/>
      </c>
      <c r="C263" s="3" t="str">
        <f t="shared" si="32"/>
        <v/>
      </c>
      <c r="D263" s="3" t="str">
        <f t="shared" si="32"/>
        <v/>
      </c>
      <c r="E263" s="3" t="str">
        <f t="shared" si="32"/>
        <v/>
      </c>
      <c r="F263" s="3" t="str">
        <f t="shared" si="32"/>
        <v/>
      </c>
      <c r="G263" s="3" t="str">
        <f t="shared" si="32"/>
        <v/>
      </c>
      <c r="H263" s="3" t="str">
        <f t="shared" si="32"/>
        <v/>
      </c>
      <c r="I263" s="3" t="str">
        <f t="shared" si="32"/>
        <v/>
      </c>
      <c r="J263" s="3" t="str">
        <f t="shared" si="32"/>
        <v/>
      </c>
      <c r="K263" s="3" t="str">
        <f t="shared" si="32"/>
        <v/>
      </c>
      <c r="L263" s="3" t="str">
        <f t="shared" si="32"/>
        <v/>
      </c>
      <c r="M263" s="3" t="str">
        <f t="shared" si="32"/>
        <v/>
      </c>
      <c r="N263" s="3" t="str">
        <f t="shared" si="32"/>
        <v/>
      </c>
      <c r="O263" s="3" t="str">
        <f t="shared" si="32"/>
        <v/>
      </c>
      <c r="P263" s="3" t="str">
        <f t="shared" si="32"/>
        <v/>
      </c>
      <c r="Q263" s="3" t="str">
        <f t="shared" si="32"/>
        <v/>
      </c>
      <c r="R263" s="3" t="str">
        <f t="shared" si="32"/>
        <v/>
      </c>
      <c r="S263" s="3" t="str">
        <f t="shared" si="32"/>
        <v/>
      </c>
      <c r="T263" s="3" t="str">
        <f t="shared" si="32"/>
        <v/>
      </c>
      <c r="U263" s="3" t="str">
        <f t="shared" si="32"/>
        <v/>
      </c>
      <c r="V263" s="3" t="str">
        <f t="shared" si="32"/>
        <v/>
      </c>
      <c r="W263" s="3" t="str">
        <f t="shared" si="32"/>
        <v/>
      </c>
      <c r="X263" s="3" t="str">
        <f t="shared" si="32"/>
        <v/>
      </c>
      <c r="Y263" s="3" t="str">
        <f t="shared" si="32"/>
        <v/>
      </c>
      <c r="Z263" s="3" t="str">
        <f t="shared" si="32"/>
        <v/>
      </c>
      <c r="AA263" s="3" t="str">
        <f t="shared" si="32"/>
        <v/>
      </c>
      <c r="AB263" s="3" t="str">
        <f t="shared" si="32"/>
        <v/>
      </c>
      <c r="AC263" s="3" t="str">
        <f t="shared" si="32"/>
        <v/>
      </c>
      <c r="AD263" s="3" t="str">
        <f t="shared" si="32"/>
        <v/>
      </c>
      <c r="AE263" s="3" t="str">
        <f t="shared" si="32"/>
        <v/>
      </c>
      <c r="AF263" s="3" t="str">
        <f t="shared" si="32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U11:AF11 B16:AF16 B20:AF23">
    <cfRule type="expression" dxfId="4193" priority="239">
      <formula>B$9&gt;=20/24</formula>
    </cfRule>
    <cfRule type="expression" dxfId="4192" priority="240">
      <formula>AND(B$9&gt;=14/24,B$9&lt;20/24)</formula>
    </cfRule>
    <cfRule type="expression" dxfId="4191" priority="241">
      <formula>AND(B$9&gt;=8/24,B$9&lt;14/24)</formula>
    </cfRule>
    <cfRule type="expression" dxfId="4190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4189" priority="234">
      <formula>S$9&gt;=20/24</formula>
    </cfRule>
    <cfRule type="expression" dxfId="4188" priority="235">
      <formula>AND(S$9&gt;=14/24,S$9&lt;20/24)</formula>
    </cfRule>
    <cfRule type="expression" dxfId="4187" priority="236">
      <formula>AND(S$9&gt;=8/24,S$9&lt;14/24)</formula>
    </cfRule>
    <cfRule type="expression" dxfId="4186" priority="237">
      <formula>S$9&lt;8/24</formula>
    </cfRule>
  </conditionalFormatting>
  <conditionalFormatting sqref="AG57 B12:R16 S39:AF39 B37:AF37 S11:AF16 B18:AF18 B20:AF23">
    <cfRule type="expression" dxfId="4185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4184" priority="232">
      <formula>$AH11=0</formula>
    </cfRule>
  </conditionalFormatting>
  <conditionalFormatting sqref="A106">
    <cfRule type="expression" dxfId="4183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4182" priority="229">
      <formula>$AH37=0</formula>
    </cfRule>
  </conditionalFormatting>
  <conditionalFormatting sqref="A90">
    <cfRule type="expression" dxfId="4181" priority="228">
      <formula>$AH90=0</formula>
    </cfRule>
  </conditionalFormatting>
  <conditionalFormatting sqref="A15">
    <cfRule type="expression" dxfId="4180" priority="227">
      <formula>$AH15=0</formula>
    </cfRule>
  </conditionalFormatting>
  <conditionalFormatting sqref="A188:A193">
    <cfRule type="expression" dxfId="4179" priority="226">
      <formula>$AH188=0</formula>
    </cfRule>
  </conditionalFormatting>
  <conditionalFormatting sqref="A182:A187">
    <cfRule type="expression" dxfId="4178" priority="225">
      <formula>$AH182=0</formula>
    </cfRule>
  </conditionalFormatting>
  <conditionalFormatting sqref="A50">
    <cfRule type="expression" dxfId="4177" priority="224">
      <formula>$AH50=0</formula>
    </cfRule>
  </conditionalFormatting>
  <conditionalFormatting sqref="A86">
    <cfRule type="expression" dxfId="4176" priority="223">
      <formula>$AH86=0</formula>
    </cfRule>
  </conditionalFormatting>
  <conditionalFormatting sqref="C91:AF91">
    <cfRule type="expression" dxfId="4175" priority="219">
      <formula>C$9&gt;=20/24</formula>
    </cfRule>
    <cfRule type="expression" dxfId="4174" priority="220">
      <formula>AND(C$9&gt;=14/24,C$9&lt;20/24)</formula>
    </cfRule>
    <cfRule type="expression" dxfId="4173" priority="221">
      <formula>AND(C$9&gt;=8/24,C$9&lt;14/24)</formula>
    </cfRule>
    <cfRule type="expression" dxfId="4172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4171" priority="245">
      <formula>C$9&gt;=20/24</formula>
    </cfRule>
    <cfRule type="expression" dxfId="4170" priority="246">
      <formula>AND(C$9&gt;=14/24,C$9&lt;20/24)</formula>
    </cfRule>
    <cfRule type="expression" dxfId="4169" priority="247">
      <formula>AND(C$9&gt;=8/24,C$9&lt;14/24)</formula>
    </cfRule>
    <cfRule type="expression" dxfId="4168" priority="248">
      <formula>C$9&lt;8/24</formula>
    </cfRule>
  </conditionalFormatting>
  <conditionalFormatting sqref="A225">
    <cfRule type="expression" dxfId="4167" priority="249">
      <formula>$AH225=0</formula>
    </cfRule>
  </conditionalFormatting>
  <conditionalFormatting sqref="AG237">
    <cfRule type="expression" dxfId="4166" priority="250">
      <formula>B$9&gt;=20/24</formula>
    </cfRule>
    <cfRule type="expression" dxfId="4165" priority="251">
      <formula>AND(B$9&gt;=14/24,B$9&lt;20/24)</formula>
    </cfRule>
    <cfRule type="expression" dxfId="4164" priority="252">
      <formula>AND(B$9&gt;=8/24,B$9&lt;14/24)</formula>
    </cfRule>
    <cfRule type="expression" dxfId="4163" priority="253">
      <formula>B$9&lt;8/24</formula>
    </cfRule>
  </conditionalFormatting>
  <conditionalFormatting sqref="S8">
    <cfRule type="expression" dxfId="4162" priority="214">
      <formula>U$9&gt;=20/24</formula>
    </cfRule>
    <cfRule type="expression" dxfId="4161" priority="215">
      <formula>AND(U$9&gt;=14/24,U$9&lt;20/24)</formula>
    </cfRule>
    <cfRule type="expression" dxfId="4160" priority="216">
      <formula>AND(U$9&gt;=8/24,U$9&lt;14/24)</formula>
    </cfRule>
    <cfRule type="expression" dxfId="4159" priority="217">
      <formula>U$9&lt;8/24</formula>
    </cfRule>
  </conditionalFormatting>
  <conditionalFormatting sqref="AB8">
    <cfRule type="expression" dxfId="4158" priority="210">
      <formula>AD$9&gt;=20/24</formula>
    </cfRule>
    <cfRule type="expression" dxfId="4157" priority="211">
      <formula>AND(AD$9&gt;=14/24,AD$9&lt;20/24)</formula>
    </cfRule>
    <cfRule type="expression" dxfId="4156" priority="212">
      <formula>AND(AD$9&gt;=8/24,AD$9&lt;14/24)</formula>
    </cfRule>
    <cfRule type="expression" dxfId="4155" priority="213">
      <formula>AD$9&lt;8/24</formula>
    </cfRule>
  </conditionalFormatting>
  <conditionalFormatting sqref="AH237:AX237">
    <cfRule type="expression" dxfId="4154" priority="254">
      <formula>AG$9&gt;=20/24</formula>
    </cfRule>
    <cfRule type="expression" dxfId="4153" priority="255">
      <formula>AND(AG$9&gt;=14/24,AG$9&lt;20/24)</formula>
    </cfRule>
    <cfRule type="expression" dxfId="4152" priority="256">
      <formula>AND(AG$9&gt;=8/24,AG$9&lt;14/24)</formula>
    </cfRule>
    <cfRule type="expression" dxfId="4151" priority="257">
      <formula>AG$9&lt;8/24</formula>
    </cfRule>
  </conditionalFormatting>
  <conditionalFormatting sqref="T237">
    <cfRule type="expression" dxfId="4150" priority="258">
      <formula>AX$9&gt;=20/24</formula>
    </cfRule>
    <cfRule type="expression" dxfId="4149" priority="259">
      <formula>AND(AX$9&gt;=14/24,AX$9&lt;20/24)</formula>
    </cfRule>
    <cfRule type="expression" dxfId="4148" priority="260">
      <formula>AND(AX$9&gt;=8/24,AX$9&lt;14/24)</formula>
    </cfRule>
    <cfRule type="expression" dxfId="4147" priority="261">
      <formula>AX$9&lt;8/24</formula>
    </cfRule>
  </conditionalFormatting>
  <conditionalFormatting sqref="A107:A108">
    <cfRule type="expression" dxfId="4146" priority="209">
      <formula>$AH107=0</formula>
    </cfRule>
  </conditionalFormatting>
  <conditionalFormatting sqref="AF38 E46:L47 M46:O48 S46:AF47 E63:AF63">
    <cfRule type="expression" dxfId="4145" priority="205">
      <formula>E$9&gt;=20/24</formula>
    </cfRule>
    <cfRule type="expression" dxfId="4144" priority="206">
      <formula>AND(E$9&gt;=14/24,E$9&lt;20/24)</formula>
    </cfRule>
    <cfRule type="expression" dxfId="4143" priority="207">
      <formula>AND(E$9&gt;=8/24,E$9&lt;14/24)</formula>
    </cfRule>
    <cfRule type="expression" dxfId="4142" priority="208">
      <formula>E$9&lt;8/24</formula>
    </cfRule>
  </conditionalFormatting>
  <conditionalFormatting sqref="E45:L45 S45:AF45">
    <cfRule type="expression" dxfId="4141" priority="201">
      <formula>E$9&gt;=20/24</formula>
    </cfRule>
    <cfRule type="expression" dxfId="4140" priority="202">
      <formula>AND(E$9&gt;=14/24,E$9&lt;20/24)</formula>
    </cfRule>
    <cfRule type="expression" dxfId="4139" priority="203">
      <formula>AND(E$9&gt;=8/24,E$9&lt;14/24)</formula>
    </cfRule>
    <cfRule type="expression" dxfId="4138" priority="204">
      <formula>E$9&lt;8/24</formula>
    </cfRule>
  </conditionalFormatting>
  <conditionalFormatting sqref="AF38 E45:L47 M46:O48 S45:AF47">
    <cfRule type="expression" dxfId="4137" priority="200">
      <formula>E38&gt;$AG38</formula>
    </cfRule>
  </conditionalFormatting>
  <conditionalFormatting sqref="C88:AF88 C75:AF78 L39:R39 E64:S65 S11:T14 D92:AF98 S59:AF61 T64:AF73 U38:AE38 U12:AF14 S18:AF18 W29:AF29 W31:AF34 W25:AF27">
    <cfRule type="expression" dxfId="4136" priority="196">
      <formula>C$9&gt;=20/24</formula>
    </cfRule>
    <cfRule type="expression" dxfId="4135" priority="197">
      <formula>AND(C$9&gt;=14/24,C$9&lt;20/24)</formula>
    </cfRule>
    <cfRule type="expression" dxfId="4134" priority="198">
      <formula>AND(C$9&gt;=8/24,C$9&lt;14/24)</formula>
    </cfRule>
    <cfRule type="expression" dxfId="4133" priority="199">
      <formula>C$9&lt;8/24</formula>
    </cfRule>
  </conditionalFormatting>
  <conditionalFormatting sqref="W35:AF35">
    <cfRule type="expression" dxfId="4132" priority="192">
      <formula>W$9&gt;=20/24</formula>
    </cfRule>
    <cfRule type="expression" dxfId="4131" priority="193">
      <formula>AND(W$9&gt;=14/24,W$9&lt;20/24)</formula>
    </cfRule>
    <cfRule type="expression" dxfId="4130" priority="194">
      <formula>AND(W$9&gt;=8/24,W$9&lt;14/24)</formula>
    </cfRule>
    <cfRule type="expression" dxfId="4129" priority="195">
      <formula>W$9&lt;8/24</formula>
    </cfRule>
  </conditionalFormatting>
  <conditionalFormatting sqref="AE48:AF49 C57:AF57 E48:L48 L39:R39 S11:T11 S59:AF61 U38:AE38 W31:AF35 W25:AF29">
    <cfRule type="expression" dxfId="4128" priority="191">
      <formula>C11&gt;$AG11</formula>
    </cfRule>
  </conditionalFormatting>
  <conditionalFormatting sqref="W37:AF37">
    <cfRule type="expression" dxfId="4127" priority="187">
      <formula>W$9&gt;=20/24</formula>
    </cfRule>
    <cfRule type="expression" dxfId="4126" priority="188">
      <formula>AND(W$9&gt;=14/24,W$9&lt;20/24)</formula>
    </cfRule>
    <cfRule type="expression" dxfId="4125" priority="189">
      <formula>AND(W$9&gt;=8/24,W$9&lt;14/24)</formula>
    </cfRule>
    <cfRule type="expression" dxfId="4124" priority="190">
      <formula>W$9&lt;8/24</formula>
    </cfRule>
  </conditionalFormatting>
  <conditionalFormatting sqref="S15:AF15">
    <cfRule type="expression" dxfId="4123" priority="183">
      <formula>S$9&gt;=20/24</formula>
    </cfRule>
    <cfRule type="expression" dxfId="4122" priority="184">
      <formula>AND(S$9&gt;=14/24,S$9&lt;20/24)</formula>
    </cfRule>
    <cfRule type="expression" dxfId="4121" priority="185">
      <formula>AND(S$9&gt;=8/24,S$9&lt;14/24)</formula>
    </cfRule>
    <cfRule type="expression" dxfId="4120" priority="186">
      <formula>S$9&lt;8/24</formula>
    </cfRule>
  </conditionalFormatting>
  <conditionalFormatting sqref="W36:AF36">
    <cfRule type="expression" dxfId="4119" priority="179">
      <formula>W$9&gt;=20/24</formula>
    </cfRule>
    <cfRule type="expression" dxfId="4118" priority="180">
      <formula>AND(W$9&gt;=14/24,W$9&lt;20/24)</formula>
    </cfRule>
    <cfRule type="expression" dxfId="4117" priority="181">
      <formula>AND(W$9&gt;=8/24,W$9&lt;14/24)</formula>
    </cfRule>
    <cfRule type="expression" dxfId="4116" priority="182">
      <formula>W$9&lt;8/24</formula>
    </cfRule>
  </conditionalFormatting>
  <conditionalFormatting sqref="W36:AF36">
    <cfRule type="expression" dxfId="4115" priority="178">
      <formula>W36&gt;$AG36</formula>
    </cfRule>
  </conditionalFormatting>
  <conditionalFormatting sqref="AE50:AF56 V48:AD49">
    <cfRule type="expression" dxfId="4114" priority="174">
      <formula>V$9&gt;=20/24</formula>
    </cfRule>
    <cfRule type="expression" dxfId="4113" priority="175">
      <formula>AND(V$9&gt;=14/24,V$9&lt;20/24)</formula>
    </cfRule>
    <cfRule type="expression" dxfId="4112" priority="176">
      <formula>AND(V$9&gt;=8/24,V$9&lt;14/24)</formula>
    </cfRule>
    <cfRule type="expression" dxfId="4111" priority="177">
      <formula>V$9&lt;8/24</formula>
    </cfRule>
  </conditionalFormatting>
  <conditionalFormatting sqref="AE50:AF56 V48:AD49">
    <cfRule type="expression" dxfId="4110" priority="173">
      <formula>V48&gt;$AG48</formula>
    </cfRule>
  </conditionalFormatting>
  <conditionalFormatting sqref="T52:T56 M45:O45 S48:U49 P45:R49 S50:AD51">
    <cfRule type="expression" dxfId="4109" priority="169">
      <formula>M$9&gt;=20/24</formula>
    </cfRule>
    <cfRule type="expression" dxfId="4108" priority="170">
      <formula>AND(M$9&gt;=14/24,M$9&lt;20/24)</formula>
    </cfRule>
    <cfRule type="expression" dxfId="4107" priority="171">
      <formula>AND(M$9&gt;=8/24,M$9&lt;14/24)</formula>
    </cfRule>
    <cfRule type="expression" dxfId="4106" priority="172">
      <formula>M$9&lt;8/24</formula>
    </cfRule>
  </conditionalFormatting>
  <conditionalFormatting sqref="T52:T56 M45:O45 S48:U49 P45:R49 S50:AD51">
    <cfRule type="expression" dxfId="4105" priority="168">
      <formula>M45&gt;$AG45</formula>
    </cfRule>
  </conditionalFormatting>
  <conditionalFormatting sqref="W28:AF28">
    <cfRule type="expression" dxfId="4104" priority="164">
      <formula>W$9&gt;=20/24</formula>
    </cfRule>
    <cfRule type="expression" dxfId="4103" priority="165">
      <formula>AND(W$9&gt;=14/24,W$9&lt;20/24)</formula>
    </cfRule>
    <cfRule type="expression" dxfId="4102" priority="166">
      <formula>AND(W$9&gt;=8/24,W$9&lt;14/24)</formula>
    </cfRule>
    <cfRule type="expression" dxfId="4101" priority="167">
      <formula>W$9&lt;8/24</formula>
    </cfRule>
  </conditionalFormatting>
  <conditionalFormatting sqref="S31:V31 U19:AF19 W24:AF24">
    <cfRule type="expression" dxfId="4100" priority="160">
      <formula>S$9&gt;=20/24</formula>
    </cfRule>
    <cfRule type="expression" dxfId="4099" priority="161">
      <formula>AND(S$9&gt;=14/24,S$9&lt;20/24)</formula>
    </cfRule>
    <cfRule type="expression" dxfId="4098" priority="162">
      <formula>AND(S$9&gt;=8/24,S$9&lt;14/24)</formula>
    </cfRule>
    <cfRule type="expression" dxfId="4097" priority="163">
      <formula>S$9&lt;8/24</formula>
    </cfRule>
  </conditionalFormatting>
  <conditionalFormatting sqref="S31:V31 U19:AF19 W24:AF24">
    <cfRule type="expression" dxfId="4096" priority="159">
      <formula>S19&gt;$AG19</formula>
    </cfRule>
  </conditionalFormatting>
  <conditionalFormatting sqref="B101 B80:AF80 B89:AF89 B103:B108 B11:R11">
    <cfRule type="expression" dxfId="4095" priority="141">
      <formula>B$9&gt;=20/24</formula>
    </cfRule>
    <cfRule type="expression" dxfId="4094" priority="142">
      <formula>AND(B$9&gt;=14/24,B$9&lt;20/24)</formula>
    </cfRule>
    <cfRule type="expression" dxfId="4093" priority="143">
      <formula>AND(B$9&gt;=8/24,B$9&lt;14/24)</formula>
    </cfRule>
    <cfRule type="expression" dxfId="4092" priority="144">
      <formula>B$9&lt;8/24</formula>
    </cfRule>
  </conditionalFormatting>
  <conditionalFormatting sqref="B39:K39">
    <cfRule type="expression" dxfId="4091" priority="137">
      <formula>B$9&gt;=20/24</formula>
    </cfRule>
    <cfRule type="expression" dxfId="4090" priority="138">
      <formula>AND(B$9&gt;=14/24,B$9&lt;20/24)</formula>
    </cfRule>
    <cfRule type="expression" dxfId="4089" priority="139">
      <formula>AND(B$9&gt;=8/24,B$9&lt;14/24)</formula>
    </cfRule>
    <cfRule type="expression" dxfId="4088" priority="140">
      <formula>B$9&lt;8/24</formula>
    </cfRule>
  </conditionalFormatting>
  <conditionalFormatting sqref="B39:K39 B11:R11">
    <cfRule type="expression" dxfId="4087" priority="136">
      <formula>B11&gt;$AG11</formula>
    </cfRule>
  </conditionalFormatting>
  <conditionalFormatting sqref="B91">
    <cfRule type="expression" dxfId="4086" priority="132">
      <formula>B$9&gt;=20/24</formula>
    </cfRule>
    <cfRule type="expression" dxfId="4085" priority="133">
      <formula>AND(B$9&gt;=14/24,B$9&lt;20/24)</formula>
    </cfRule>
    <cfRule type="expression" dxfId="4084" priority="134">
      <formula>AND(B$9&gt;=8/24,B$9&lt;14/24)</formula>
    </cfRule>
    <cfRule type="expression" dxfId="4083" priority="135">
      <formula>B$9&lt;8/24</formula>
    </cfRule>
  </conditionalFormatting>
  <conditionalFormatting sqref="B46:D47 B63:D63 B38:T38">
    <cfRule type="expression" dxfId="4082" priority="128">
      <formula>B$9&gt;=20/24</formula>
    </cfRule>
    <cfRule type="expression" dxfId="4081" priority="129">
      <formula>AND(B$9&gt;=14/24,B$9&lt;20/24)</formula>
    </cfRule>
    <cfRule type="expression" dxfId="4080" priority="130">
      <formula>AND(B$9&gt;=8/24,B$9&lt;14/24)</formula>
    </cfRule>
    <cfRule type="expression" dxfId="4079" priority="131">
      <formula>B$9&lt;8/24</formula>
    </cfRule>
  </conditionalFormatting>
  <conditionalFormatting sqref="B45:D45">
    <cfRule type="expression" dxfId="4078" priority="124">
      <formula>B$9&gt;=20/24</formula>
    </cfRule>
    <cfRule type="expression" dxfId="4077" priority="125">
      <formula>AND(B$9&gt;=14/24,B$9&lt;20/24)</formula>
    </cfRule>
    <cfRule type="expression" dxfId="4076" priority="126">
      <formula>AND(B$9&gt;=8/24,B$9&lt;14/24)</formula>
    </cfRule>
    <cfRule type="expression" dxfId="4075" priority="127">
      <formula>B$9&lt;8/24</formula>
    </cfRule>
  </conditionalFormatting>
  <conditionalFormatting sqref="B45:D47 B38:T38">
    <cfRule type="expression" dxfId="4074" priority="123">
      <formula>B38&gt;$AG38</formula>
    </cfRule>
  </conditionalFormatting>
  <conditionalFormatting sqref="B59:B62 B75:B79 B81:AF81 B88 C62:AG62 C79:AG79 B90:AF90 B92:C98 B64:D73 B12:R14 B18:R18 B31:R34 C59:R61 E66:S73 S32:V34 B25:V27 B29:V29">
    <cfRule type="expression" dxfId="4073" priority="119">
      <formula>B$9&gt;=20/24</formula>
    </cfRule>
    <cfRule type="expression" dxfId="4072" priority="120">
      <formula>AND(B$9&gt;=14/24,B$9&lt;20/24)</formula>
    </cfRule>
    <cfRule type="expression" dxfId="4071" priority="121">
      <formula>AND(B$9&gt;=8/24,B$9&lt;14/24)</formula>
    </cfRule>
    <cfRule type="expression" dxfId="4070" priority="122">
      <formula>B$9&lt;8/24</formula>
    </cfRule>
  </conditionalFormatting>
  <conditionalFormatting sqref="B35:V35">
    <cfRule type="expression" dxfId="4069" priority="115">
      <formula>B$9&gt;=20/24</formula>
    </cfRule>
    <cfRule type="expression" dxfId="4068" priority="116">
      <formula>AND(B$9&gt;=14/24,B$9&lt;20/24)</formula>
    </cfRule>
    <cfRule type="expression" dxfId="4067" priority="117">
      <formula>AND(B$9&gt;=8/24,B$9&lt;14/24)</formula>
    </cfRule>
    <cfRule type="expression" dxfId="4066" priority="118">
      <formula>B$9&lt;8/24</formula>
    </cfRule>
  </conditionalFormatting>
  <conditionalFormatting sqref="B57:B62 B40:AG40 C58:AG58 C62:AG62 B48:D49 E49:O49 B31:R35 C59:R61 S32:V35 B25:V29">
    <cfRule type="expression" dxfId="4065" priority="114">
      <formula>B25&gt;$AG25</formula>
    </cfRule>
  </conditionalFormatting>
  <conditionalFormatting sqref="B37:V37">
    <cfRule type="expression" dxfId="4064" priority="110">
      <formula>B$9&gt;=20/24</formula>
    </cfRule>
    <cfRule type="expression" dxfId="4063" priority="111">
      <formula>AND(B$9&gt;=14/24,B$9&lt;20/24)</formula>
    </cfRule>
    <cfRule type="expression" dxfId="4062" priority="112">
      <formula>AND(B$9&gt;=8/24,B$9&lt;14/24)</formula>
    </cfRule>
    <cfRule type="expression" dxfId="4061" priority="113">
      <formula>B$9&lt;8/24</formula>
    </cfRule>
  </conditionalFormatting>
  <conditionalFormatting sqref="B15:R15">
    <cfRule type="expression" dxfId="4060" priority="106">
      <formula>B$9&gt;=20/24</formula>
    </cfRule>
    <cfRule type="expression" dxfId="4059" priority="107">
      <formula>AND(B$9&gt;=14/24,B$9&lt;20/24)</formula>
    </cfRule>
    <cfRule type="expression" dxfId="4058" priority="108">
      <formula>AND(B$9&gt;=8/24,B$9&lt;14/24)</formula>
    </cfRule>
    <cfRule type="expression" dxfId="4057" priority="109">
      <formula>B$9&lt;8/24</formula>
    </cfRule>
  </conditionalFormatting>
  <conditionalFormatting sqref="B36:V36">
    <cfRule type="expression" dxfId="4056" priority="102">
      <formula>B$9&gt;=20/24</formula>
    </cfRule>
    <cfRule type="expression" dxfId="4055" priority="103">
      <formula>AND(B$9&gt;=14/24,B$9&lt;20/24)</formula>
    </cfRule>
    <cfRule type="expression" dxfId="4054" priority="104">
      <formula>AND(B$9&gt;=8/24,B$9&lt;14/24)</formula>
    </cfRule>
    <cfRule type="expression" dxfId="4053" priority="105">
      <formula>B$9&lt;8/24</formula>
    </cfRule>
  </conditionalFormatting>
  <conditionalFormatting sqref="B36:V36">
    <cfRule type="expression" dxfId="4052" priority="101">
      <formula>B36&gt;$AG36</formula>
    </cfRule>
  </conditionalFormatting>
  <conditionalFormatting sqref="S52:S56 B50:R56">
    <cfRule type="expression" dxfId="4051" priority="97">
      <formula>B$9&gt;=20/24</formula>
    </cfRule>
    <cfRule type="expression" dxfId="4050" priority="98">
      <formula>AND(B$9&gt;=14/24,B$9&lt;20/24)</formula>
    </cfRule>
    <cfRule type="expression" dxfId="4049" priority="99">
      <formula>AND(B$9&gt;=8/24,B$9&lt;14/24)</formula>
    </cfRule>
    <cfRule type="expression" dxfId="4048" priority="100">
      <formula>B$9&lt;8/24</formula>
    </cfRule>
  </conditionalFormatting>
  <conditionalFormatting sqref="S52:S56 B50:R56">
    <cfRule type="expression" dxfId="4047" priority="96">
      <formula>B50&gt;$AG50</formula>
    </cfRule>
  </conditionalFormatting>
  <conditionalFormatting sqref="B28:V28">
    <cfRule type="expression" dxfId="4046" priority="92">
      <formula>B$9&gt;=20/24</formula>
    </cfRule>
    <cfRule type="expression" dxfId="4045" priority="93">
      <formula>AND(B$9&gt;=14/24,B$9&lt;20/24)</formula>
    </cfRule>
    <cfRule type="expression" dxfId="4044" priority="94">
      <formula>AND(B$9&gt;=8/24,B$9&lt;14/24)</formula>
    </cfRule>
    <cfRule type="expression" dxfId="4043" priority="95">
      <formula>B$9&lt;8/24</formula>
    </cfRule>
  </conditionalFormatting>
  <conditionalFormatting sqref="B19:T19 B24:V24">
    <cfRule type="expression" dxfId="4042" priority="88">
      <formula>B$9&gt;=20/24</formula>
    </cfRule>
    <cfRule type="expression" dxfId="4041" priority="89">
      <formula>AND(B$9&gt;=14/24,B$9&lt;20/24)</formula>
    </cfRule>
    <cfRule type="expression" dxfId="4040" priority="90">
      <formula>AND(B$9&gt;=8/24,B$9&lt;14/24)</formula>
    </cfRule>
    <cfRule type="expression" dxfId="4039" priority="91">
      <formula>B$9&lt;8/24</formula>
    </cfRule>
  </conditionalFormatting>
  <conditionalFormatting sqref="B19:T19 B24:V24">
    <cfRule type="expression" dxfId="4038" priority="87">
      <formula>B19&gt;$AG19</formula>
    </cfRule>
  </conditionalFormatting>
  <conditionalFormatting sqref="A36">
    <cfRule type="expression" dxfId="4037" priority="86">
      <formula>$AH36=0</formula>
    </cfRule>
  </conditionalFormatting>
  <conditionalFormatting sqref="B74:AF74">
    <cfRule type="expression" dxfId="4036" priority="82">
      <formula>B$9&gt;=20/24</formula>
    </cfRule>
    <cfRule type="expression" dxfId="4035" priority="83">
      <formula>AND(B$9&gt;=14/24,B$9&lt;20/24)</formula>
    </cfRule>
    <cfRule type="expression" dxfId="4034" priority="84">
      <formula>AND(B$9&gt;=8/24,B$9&lt;14/24)</formula>
    </cfRule>
    <cfRule type="expression" dxfId="4033" priority="85">
      <formula>B$9&lt;8/24</formula>
    </cfRule>
  </conditionalFormatting>
  <conditionalFormatting sqref="B83:AF87">
    <cfRule type="expression" dxfId="4032" priority="78">
      <formula>B$9&gt;=20/24</formula>
    </cfRule>
    <cfRule type="expression" dxfId="4031" priority="79">
      <formula>AND(B$9&gt;=14/24,B$9&lt;20/24)</formula>
    </cfRule>
    <cfRule type="expression" dxfId="4030" priority="80">
      <formula>AND(B$9&gt;=8/24,B$9&lt;14/24)</formula>
    </cfRule>
    <cfRule type="expression" dxfId="4029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1:AF43">
    <cfRule type="expression" dxfId="4028" priority="74">
      <formula>C$9&gt;=20/24</formula>
    </cfRule>
    <cfRule type="expression" dxfId="4027" priority="75">
      <formula>AND(C$9&gt;=14/24,C$9&lt;20/24)</formula>
    </cfRule>
    <cfRule type="expression" dxfId="4026" priority="76">
      <formula>AND(C$9&gt;=8/24,C$9&lt;14/24)</formula>
    </cfRule>
    <cfRule type="expression" dxfId="4025" priority="77">
      <formula>C$9&lt;8/24</formula>
    </cfRule>
  </conditionalFormatting>
  <conditionalFormatting sqref="C41:AF43">
    <cfRule type="expression" dxfId="4024" priority="73">
      <formula>C41&gt;$AG41</formula>
    </cfRule>
  </conditionalFormatting>
  <conditionalFormatting sqref="B41:B44 C44:AG44">
    <cfRule type="expression" dxfId="4023" priority="69">
      <formula>B$9&gt;=20/24</formula>
    </cfRule>
    <cfRule type="expression" dxfId="4022" priority="70">
      <formula>AND(B$9&gt;=14/24,B$9&lt;20/24)</formula>
    </cfRule>
    <cfRule type="expression" dxfId="4021" priority="71">
      <formula>AND(B$9&gt;=8/24,B$9&lt;14/24)</formula>
    </cfRule>
    <cfRule type="expression" dxfId="4020" priority="72">
      <formula>B$9&lt;8/24</formula>
    </cfRule>
  </conditionalFormatting>
  <conditionalFormatting sqref="B41:B44 C44:AG44">
    <cfRule type="expression" dxfId="4019" priority="68">
      <formula>B41&gt;$AG41</formula>
    </cfRule>
  </conditionalFormatting>
  <conditionalFormatting sqref="C99:AF99">
    <cfRule type="expression" dxfId="4018" priority="64">
      <formula>C$9&gt;=20/24</formula>
    </cfRule>
    <cfRule type="expression" dxfId="4017" priority="65">
      <formula>AND(C$9&gt;=14/24,C$9&lt;20/24)</formula>
    </cfRule>
    <cfRule type="expression" dxfId="4016" priority="66">
      <formula>AND(C$9&gt;=8/24,C$9&lt;14/24)</formula>
    </cfRule>
    <cfRule type="expression" dxfId="4015" priority="67">
      <formula>C$9&lt;8/24</formula>
    </cfRule>
  </conditionalFormatting>
  <conditionalFormatting sqref="B99">
    <cfRule type="expression" dxfId="4014" priority="60">
      <formula>B$9&gt;=20/24</formula>
    </cfRule>
    <cfRule type="expression" dxfId="4013" priority="61">
      <formula>AND(B$9&gt;=14/24,B$9&lt;20/24)</formula>
    </cfRule>
    <cfRule type="expression" dxfId="4012" priority="62">
      <formula>AND(B$9&gt;=8/24,B$9&lt;14/24)</formula>
    </cfRule>
    <cfRule type="expression" dxfId="4011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4010" priority="54">
      <formula>$AH33=0</formula>
    </cfRule>
  </conditionalFormatting>
  <conditionalFormatting sqref="A82">
    <cfRule type="expression" dxfId="4009" priority="52">
      <formula>$AH82=0</formula>
    </cfRule>
  </conditionalFormatting>
  <conditionalFormatting sqref="A79">
    <cfRule type="expression" dxfId="4008" priority="53">
      <formula>$AH79=0</formula>
    </cfRule>
  </conditionalFormatting>
  <conditionalFormatting sqref="A109">
    <cfRule type="expression" dxfId="4007" priority="43">
      <formula>$AH109=0</formula>
    </cfRule>
  </conditionalFormatting>
  <conditionalFormatting sqref="C102:AF102">
    <cfRule type="expression" dxfId="4006" priority="39">
      <formula>C$9&gt;=20/24</formula>
    </cfRule>
    <cfRule type="expression" dxfId="4005" priority="40">
      <formula>AND(C$9&gt;=14/24,C$9&lt;20/24)</formula>
    </cfRule>
    <cfRule type="expression" dxfId="4004" priority="41">
      <formula>AND(C$9&gt;=8/24,C$9&lt;14/24)</formula>
    </cfRule>
    <cfRule type="expression" dxfId="4003" priority="42">
      <formula>C$9&lt;8/24</formula>
    </cfRule>
  </conditionalFormatting>
  <conditionalFormatting sqref="A102">
    <cfRule type="expression" dxfId="4002" priority="38">
      <formula>$AH102=0</formula>
    </cfRule>
  </conditionalFormatting>
  <conditionalFormatting sqref="B102">
    <cfRule type="expression" dxfId="4001" priority="34">
      <formula>B$9&gt;=20/24</formula>
    </cfRule>
    <cfRule type="expression" dxfId="4000" priority="35">
      <formula>AND(B$9&gt;=14/24,B$9&lt;20/24)</formula>
    </cfRule>
    <cfRule type="expression" dxfId="3999" priority="36">
      <formula>AND(B$9&gt;=8/24,B$9&lt;14/24)</formula>
    </cfRule>
    <cfRule type="expression" dxfId="3998" priority="37">
      <formula>B$9&lt;8/24</formula>
    </cfRule>
  </conditionalFormatting>
  <conditionalFormatting sqref="U52:AD56">
    <cfRule type="expression" dxfId="3997" priority="30">
      <formula>U$9&gt;=20/24</formula>
    </cfRule>
    <cfRule type="expression" dxfId="3996" priority="31">
      <formula>AND(U$9&gt;=14/24,U$9&lt;20/24)</formula>
    </cfRule>
    <cfRule type="expression" dxfId="3995" priority="32">
      <formula>AND(U$9&gt;=8/24,U$9&lt;14/24)</formula>
    </cfRule>
    <cfRule type="expression" dxfId="3994" priority="33">
      <formula>U$9&lt;8/24</formula>
    </cfRule>
  </conditionalFormatting>
  <conditionalFormatting sqref="U52:AD56">
    <cfRule type="expression" dxfId="3993" priority="29">
      <formula>U52&gt;$AG52</formula>
    </cfRule>
  </conditionalFormatting>
  <conditionalFormatting sqref="B17:AF17">
    <cfRule type="expression" dxfId="3992" priority="27">
      <formula>B17&gt;$AG17</formula>
    </cfRule>
  </conditionalFormatting>
  <conditionalFormatting sqref="A17">
    <cfRule type="expression" dxfId="3991" priority="26">
      <formula>$AH17=0</formula>
    </cfRule>
  </conditionalFormatting>
  <conditionalFormatting sqref="S17:AF17">
    <cfRule type="expression" dxfId="3990" priority="22">
      <formula>S$9&gt;=20/24</formula>
    </cfRule>
    <cfRule type="expression" dxfId="3989" priority="23">
      <formula>AND(S$9&gt;=14/24,S$9&lt;20/24)</formula>
    </cfRule>
    <cfRule type="expression" dxfId="3988" priority="24">
      <formula>AND(S$9&gt;=8/24,S$9&lt;14/24)</formula>
    </cfRule>
    <cfRule type="expression" dxfId="3987" priority="25">
      <formula>S$9&lt;8/24</formula>
    </cfRule>
  </conditionalFormatting>
  <conditionalFormatting sqref="B17:R17">
    <cfRule type="expression" dxfId="3986" priority="18">
      <formula>B$9&gt;=20/24</formula>
    </cfRule>
    <cfRule type="expression" dxfId="3985" priority="19">
      <formula>AND(B$9&gt;=14/24,B$9&lt;20/24)</formula>
    </cfRule>
    <cfRule type="expression" dxfId="3984" priority="20">
      <formula>AND(B$9&gt;=8/24,B$9&lt;14/24)</formula>
    </cfRule>
    <cfRule type="expression" dxfId="3983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3982" priority="16">
      <formula>$AH30=0</formula>
    </cfRule>
  </conditionalFormatting>
  <conditionalFormatting sqref="W30:AF30">
    <cfRule type="expression" dxfId="3981" priority="12">
      <formula>W$9&gt;=20/24</formula>
    </cfRule>
    <cfRule type="expression" dxfId="3980" priority="13">
      <formula>AND(W$9&gt;=14/24,W$9&lt;20/24)</formula>
    </cfRule>
    <cfRule type="expression" dxfId="3979" priority="14">
      <formula>AND(W$9&gt;=8/24,W$9&lt;14/24)</formula>
    </cfRule>
    <cfRule type="expression" dxfId="3978" priority="15">
      <formula>W$9&lt;8/24</formula>
    </cfRule>
  </conditionalFormatting>
  <conditionalFormatting sqref="W30:AF30">
    <cfRule type="expression" dxfId="3977" priority="11">
      <formula>W30&gt;$AG30</formula>
    </cfRule>
  </conditionalFormatting>
  <conditionalFormatting sqref="S30:V30">
    <cfRule type="expression" dxfId="3976" priority="7">
      <formula>S$9&gt;=20/24</formula>
    </cfRule>
    <cfRule type="expression" dxfId="3975" priority="8">
      <formula>AND(S$9&gt;=14/24,S$9&lt;20/24)</formula>
    </cfRule>
    <cfRule type="expression" dxfId="3974" priority="9">
      <formula>AND(S$9&gt;=8/24,S$9&lt;14/24)</formula>
    </cfRule>
    <cfRule type="expression" dxfId="3973" priority="10">
      <formula>S$9&lt;8/24</formula>
    </cfRule>
  </conditionalFormatting>
  <conditionalFormatting sqref="S30:V30">
    <cfRule type="expression" dxfId="3972" priority="6">
      <formula>S30&gt;$AG30</formula>
    </cfRule>
  </conditionalFormatting>
  <conditionalFormatting sqref="B30:R30">
    <cfRule type="expression" dxfId="3971" priority="2">
      <formula>B$9&gt;=20/24</formula>
    </cfRule>
    <cfRule type="expression" dxfId="3970" priority="3">
      <formula>AND(B$9&gt;=14/24,B$9&lt;20/24)</formula>
    </cfRule>
    <cfRule type="expression" dxfId="3969" priority="4">
      <formula>AND(B$9&gt;=8/24,B$9&lt;14/24)</formula>
    </cfRule>
    <cfRule type="expression" dxfId="3968" priority="5">
      <formula>B$9&lt;8/24</formula>
    </cfRule>
  </conditionalFormatting>
  <conditionalFormatting sqref="B30:R30">
    <cfRule type="expression" dxfId="3967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4D0F81CC-3793-41B4-A0CD-563C2D2A176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00A5C179-2E59-46F2-8FDB-95AA4BDEE74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ED342363-FAF5-40E0-BF59-67B9ED0EE8A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D7FF9599-A3E2-4544-926D-D7CB1253C726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0EEB10EC-42A4-478F-90AB-FBEAF52FF0F6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C0C792D6-1607-4F09-A07B-41AD9D880CE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21B1678B-93A0-4F8D-90BE-D04952A0FFF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78EDA6CF-6F5F-42B5-9517-5FAA2C3C363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6634C03A-8A13-46CF-BA26-7403F5C50782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62902BDB-B2DA-4DB9-9C30-DEBDC8BBCF5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A0144A8D-5113-4F9B-B487-005C84597D2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8A163A2D-4D79-4EBF-89E5-75258A92277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J270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AJ7" sqref="AJ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4" width="6.85546875" style="1" customWidth="1"/>
    <col min="25" max="25" width="6.28515625" style="1" customWidth="1"/>
    <col min="26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11.140625" style="1" customWidth="1"/>
    <col min="37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2079/06/22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4.5</v>
      </c>
      <c r="X5" s="148">
        <f t="shared" si="0"/>
        <v>30.1</v>
      </c>
      <c r="Y5" s="148">
        <f t="shared" si="0"/>
        <v>19.8</v>
      </c>
      <c r="Z5" s="148">
        <f t="shared" si="0"/>
        <v>17.7</v>
      </c>
      <c r="AA5" s="148">
        <f t="shared" si="0"/>
        <v>0</v>
      </c>
      <c r="AB5" s="148">
        <f t="shared" si="0"/>
        <v>0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B74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1376MW at 9:00hr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Load=1264</v>
      </c>
      <c r="B7" s="137">
        <f t="shared" ref="B7:AF7" si="1">B81</f>
        <v>1334.74</v>
      </c>
      <c r="C7" s="137">
        <f t="shared" si="1"/>
        <v>1302.74</v>
      </c>
      <c r="D7" s="137">
        <f t="shared" si="1"/>
        <v>1303.54</v>
      </c>
      <c r="E7" s="137">
        <f t="shared" si="1"/>
        <v>1265.94</v>
      </c>
      <c r="F7" s="137">
        <f t="shared" si="1"/>
        <v>1263.94</v>
      </c>
      <c r="G7" s="137">
        <f t="shared" si="1"/>
        <v>1263.94</v>
      </c>
      <c r="H7" s="137">
        <f t="shared" si="1"/>
        <v>1263.94</v>
      </c>
      <c r="I7" s="137">
        <f t="shared" si="1"/>
        <v>1284.94</v>
      </c>
      <c r="J7" s="137">
        <f t="shared" si="1"/>
        <v>1287.94</v>
      </c>
      <c r="K7" s="137">
        <f t="shared" si="1"/>
        <v>1304.94</v>
      </c>
      <c r="L7" s="137">
        <f t="shared" si="1"/>
        <v>1336.94</v>
      </c>
      <c r="M7" s="137">
        <f t="shared" si="1"/>
        <v>1369.24</v>
      </c>
      <c r="N7" s="137">
        <f t="shared" si="1"/>
        <v>1376.3400000000001</v>
      </c>
      <c r="O7" s="137">
        <f t="shared" si="1"/>
        <v>1380.3400000000001</v>
      </c>
      <c r="P7" s="137">
        <f t="shared" si="1"/>
        <v>1385.6399999999999</v>
      </c>
      <c r="Q7" s="137">
        <f t="shared" si="1"/>
        <v>1383.3400000000001</v>
      </c>
      <c r="R7" s="137">
        <f t="shared" si="1"/>
        <v>1346.54</v>
      </c>
      <c r="S7" s="137">
        <f t="shared" si="1"/>
        <v>1353.6399999999999</v>
      </c>
      <c r="T7" s="137">
        <f t="shared" si="1"/>
        <v>1365.04</v>
      </c>
      <c r="U7" s="137">
        <f t="shared" si="1"/>
        <v>1369.74</v>
      </c>
      <c r="V7" s="137">
        <f t="shared" si="1"/>
        <v>1365.24</v>
      </c>
      <c r="W7" s="137">
        <f t="shared" si="1"/>
        <v>1375.8400000000001</v>
      </c>
      <c r="X7" s="137">
        <f t="shared" si="1"/>
        <v>1474.04</v>
      </c>
      <c r="Y7" s="137">
        <f t="shared" si="1"/>
        <v>1578.34</v>
      </c>
      <c r="Z7" s="137">
        <f t="shared" si="1"/>
        <v>1567.54</v>
      </c>
      <c r="AA7" s="137">
        <f t="shared" si="1"/>
        <v>1565.44</v>
      </c>
      <c r="AB7" s="137">
        <f t="shared" si="1"/>
        <v>1568.34</v>
      </c>
      <c r="AC7" s="137">
        <f t="shared" si="1"/>
        <v>1568.1399999999999</v>
      </c>
      <c r="AD7" s="137">
        <f t="shared" si="1"/>
        <v>1567.94</v>
      </c>
      <c r="AE7" s="137">
        <f t="shared" si="1"/>
        <v>1493.54</v>
      </c>
      <c r="AF7" s="137">
        <f t="shared" si="1"/>
        <v>1436.04</v>
      </c>
      <c r="AG7" s="136"/>
      <c r="AI7" s="135"/>
      <c r="AJ7" s="141">
        <f>(1700*24-(B7+C7+D7+E7+F7+G7+I7+K7+M7+N7+O7+P7+Q7+R7+S7+T7+U7+V7+X7+Z7+AB7+AD7+AE7+AF7))</f>
        <v>7672.7399999999907</v>
      </c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J8" s="141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28">
        <v>41.1</v>
      </c>
      <c r="C11" s="128">
        <v>20.399999999999999</v>
      </c>
      <c r="D11" s="128">
        <v>20.399999999999999</v>
      </c>
      <c r="E11" s="128">
        <v>30</v>
      </c>
      <c r="F11" s="128">
        <v>13</v>
      </c>
      <c r="G11" s="128">
        <v>13</v>
      </c>
      <c r="H11" s="128">
        <v>13</v>
      </c>
      <c r="I11" s="128">
        <v>27</v>
      </c>
      <c r="J11" s="128">
        <v>27</v>
      </c>
      <c r="K11" s="128">
        <v>20</v>
      </c>
      <c r="L11" s="105">
        <v>27</v>
      </c>
      <c r="M11" s="105">
        <v>27</v>
      </c>
      <c r="N11" s="105">
        <v>27</v>
      </c>
      <c r="O11" s="105">
        <v>27</v>
      </c>
      <c r="P11" s="105">
        <v>27.5</v>
      </c>
      <c r="Q11" s="105">
        <v>27.5</v>
      </c>
      <c r="R11" s="105">
        <v>15.6</v>
      </c>
      <c r="S11" s="105">
        <v>15.7</v>
      </c>
      <c r="T11" s="105">
        <v>15.5</v>
      </c>
      <c r="U11" s="105">
        <v>15.5</v>
      </c>
      <c r="V11" s="105">
        <v>16.399999999999999</v>
      </c>
      <c r="W11" s="105">
        <v>16.399999999999999</v>
      </c>
      <c r="X11" s="105">
        <v>53.4</v>
      </c>
      <c r="Y11" s="105">
        <v>53.4</v>
      </c>
      <c r="Z11" s="105">
        <v>53.4</v>
      </c>
      <c r="AA11" s="105">
        <v>53.4</v>
      </c>
      <c r="AB11" s="105">
        <v>53.4</v>
      </c>
      <c r="AC11" s="105">
        <v>53.4</v>
      </c>
      <c r="AD11" s="105">
        <v>53.4</v>
      </c>
      <c r="AE11" s="128">
        <v>53.4</v>
      </c>
      <c r="AF11" s="128">
        <v>53.4</v>
      </c>
      <c r="AG11" s="127">
        <v>52.4</v>
      </c>
      <c r="AH11" s="20">
        <f>MAX(B11:AF11)</f>
        <v>53.4</v>
      </c>
      <c r="AI11" s="19">
        <f>MIN(B11:AF11)</f>
        <v>13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50.3</v>
      </c>
      <c r="C12" s="105">
        <v>50.4</v>
      </c>
      <c r="D12" s="105">
        <v>50.4</v>
      </c>
      <c r="E12" s="105">
        <v>50.4</v>
      </c>
      <c r="F12" s="105">
        <v>50.4</v>
      </c>
      <c r="G12" s="105">
        <v>50.4</v>
      </c>
      <c r="H12" s="105">
        <v>50.4</v>
      </c>
      <c r="I12" s="105">
        <v>50.4</v>
      </c>
      <c r="J12" s="105">
        <v>50.4</v>
      </c>
      <c r="K12" s="105">
        <v>50.4</v>
      </c>
      <c r="L12" s="105">
        <v>50.4</v>
      </c>
      <c r="M12" s="105">
        <v>50.4</v>
      </c>
      <c r="N12" s="105">
        <v>50.4</v>
      </c>
      <c r="O12" s="105">
        <v>50.4</v>
      </c>
      <c r="P12" s="105">
        <v>50.5</v>
      </c>
      <c r="Q12" s="105">
        <v>50.3</v>
      </c>
      <c r="R12" s="105">
        <v>50.3</v>
      </c>
      <c r="S12" s="105">
        <v>50.5</v>
      </c>
      <c r="T12" s="105">
        <v>50.6</v>
      </c>
      <c r="U12" s="105">
        <v>50.6</v>
      </c>
      <c r="V12" s="105">
        <v>50.6</v>
      </c>
      <c r="W12" s="105">
        <v>50.6</v>
      </c>
      <c r="X12" s="105">
        <v>50.6</v>
      </c>
      <c r="Y12" s="105">
        <v>50.6</v>
      </c>
      <c r="Z12" s="105">
        <v>50.6</v>
      </c>
      <c r="AA12" s="105">
        <v>50.6</v>
      </c>
      <c r="AB12" s="105">
        <v>50.6</v>
      </c>
      <c r="AC12" s="105">
        <v>50.6</v>
      </c>
      <c r="AD12" s="105">
        <v>50.6</v>
      </c>
      <c r="AE12" s="105">
        <v>50.6</v>
      </c>
      <c r="AF12" s="105">
        <v>50.6</v>
      </c>
      <c r="AG12" s="126">
        <v>50</v>
      </c>
      <c r="AH12" s="20">
        <f t="shared" ref="AH12:AH75" si="2">MAX(B12:AF12)</f>
        <v>50.6</v>
      </c>
      <c r="AI12" s="19">
        <f t="shared" ref="AI12:AI75" si="3">MIN(B12:AF12)</f>
        <v>50.3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0</v>
      </c>
      <c r="C13" s="105">
        <v>0</v>
      </c>
      <c r="D13" s="105">
        <v>0</v>
      </c>
      <c r="E13" s="105">
        <v>0</v>
      </c>
      <c r="F13" s="105">
        <v>0</v>
      </c>
      <c r="G13" s="105">
        <v>0</v>
      </c>
      <c r="H13" s="105">
        <v>0</v>
      </c>
      <c r="I13" s="105">
        <v>0</v>
      </c>
      <c r="J13" s="105">
        <v>0</v>
      </c>
      <c r="K13" s="105">
        <v>10</v>
      </c>
      <c r="L13" s="105">
        <v>30</v>
      </c>
      <c r="M13" s="105">
        <v>36</v>
      </c>
      <c r="N13" s="105">
        <v>36</v>
      </c>
      <c r="O13" s="105">
        <v>36</v>
      </c>
      <c r="P13" s="105">
        <v>36</v>
      </c>
      <c r="Q13" s="105">
        <v>36</v>
      </c>
      <c r="R13" s="105">
        <v>14.7</v>
      </c>
      <c r="S13" s="105">
        <v>25.2</v>
      </c>
      <c r="T13" s="105">
        <v>36.1</v>
      </c>
      <c r="U13" s="105">
        <v>36.1</v>
      </c>
      <c r="V13" s="105">
        <v>37.200000000000003</v>
      </c>
      <c r="W13" s="105">
        <v>37.200000000000003</v>
      </c>
      <c r="X13" s="105">
        <v>40.799999999999997</v>
      </c>
      <c r="Y13" s="105">
        <v>46.8</v>
      </c>
      <c r="Z13" s="105">
        <v>46</v>
      </c>
      <c r="AA13" s="105">
        <v>46</v>
      </c>
      <c r="AB13" s="105">
        <v>46</v>
      </c>
      <c r="AC13" s="105">
        <v>46</v>
      </c>
      <c r="AD13" s="105">
        <v>46</v>
      </c>
      <c r="AE13" s="105">
        <v>37</v>
      </c>
      <c r="AF13" s="105">
        <v>36</v>
      </c>
      <c r="AG13" s="126">
        <v>45</v>
      </c>
      <c r="AH13" s="20">
        <f t="shared" si="2"/>
        <v>46.8</v>
      </c>
      <c r="AI13" s="19">
        <f t="shared" si="3"/>
        <v>0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24</v>
      </c>
      <c r="C14" s="105">
        <v>24</v>
      </c>
      <c r="D14" s="105">
        <v>24</v>
      </c>
      <c r="E14" s="105">
        <v>24</v>
      </c>
      <c r="F14" s="105">
        <v>24</v>
      </c>
      <c r="G14" s="105">
        <v>24</v>
      </c>
      <c r="H14" s="105">
        <v>24</v>
      </c>
      <c r="I14" s="105">
        <v>24</v>
      </c>
      <c r="J14" s="105">
        <v>24</v>
      </c>
      <c r="K14" s="105">
        <v>24</v>
      </c>
      <c r="L14" s="105">
        <v>24</v>
      </c>
      <c r="M14" s="105">
        <v>30</v>
      </c>
      <c r="N14" s="105">
        <v>30</v>
      </c>
      <c r="O14" s="105">
        <v>0</v>
      </c>
      <c r="P14" s="105">
        <v>27</v>
      </c>
      <c r="Q14" s="105">
        <v>27</v>
      </c>
      <c r="R14" s="105">
        <v>21</v>
      </c>
      <c r="S14" s="105">
        <v>21</v>
      </c>
      <c r="T14" s="105">
        <v>21</v>
      </c>
      <c r="U14" s="105">
        <v>25</v>
      </c>
      <c r="V14" s="105">
        <v>20</v>
      </c>
      <c r="W14" s="105">
        <v>25</v>
      </c>
      <c r="X14" s="105">
        <v>40</v>
      </c>
      <c r="Y14" s="105">
        <v>40</v>
      </c>
      <c r="Z14" s="105">
        <v>40</v>
      </c>
      <c r="AA14" s="105">
        <v>40</v>
      </c>
      <c r="AB14" s="105">
        <v>40</v>
      </c>
      <c r="AC14" s="105">
        <v>40</v>
      </c>
      <c r="AD14" s="105">
        <v>40</v>
      </c>
      <c r="AE14" s="105">
        <v>30</v>
      </c>
      <c r="AF14" s="105">
        <v>20</v>
      </c>
      <c r="AG14" s="126">
        <v>42</v>
      </c>
      <c r="AH14" s="20">
        <f t="shared" si="2"/>
        <v>40</v>
      </c>
      <c r="AI14" s="19">
        <f t="shared" si="3"/>
        <v>0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0</v>
      </c>
      <c r="N15" s="105">
        <v>0</v>
      </c>
      <c r="O15" s="105">
        <v>0</v>
      </c>
      <c r="P15" s="105">
        <v>0</v>
      </c>
      <c r="Q15" s="105">
        <v>0</v>
      </c>
      <c r="R15" s="105">
        <v>0</v>
      </c>
      <c r="S15" s="105">
        <v>0</v>
      </c>
      <c r="T15" s="105">
        <v>0</v>
      </c>
      <c r="U15" s="105">
        <v>0</v>
      </c>
      <c r="V15" s="105">
        <v>0</v>
      </c>
      <c r="W15" s="105">
        <v>0</v>
      </c>
      <c r="X15" s="105">
        <v>0</v>
      </c>
      <c r="Y15" s="105">
        <v>26.6</v>
      </c>
      <c r="Z15" s="105">
        <v>26.6</v>
      </c>
      <c r="AA15" s="105">
        <v>26.6</v>
      </c>
      <c r="AB15" s="105">
        <v>12.2</v>
      </c>
      <c r="AC15" s="105">
        <v>12.2</v>
      </c>
      <c r="AD15" s="105">
        <v>12.2</v>
      </c>
      <c r="AE15" s="105">
        <v>0</v>
      </c>
      <c r="AF15" s="105">
        <v>0</v>
      </c>
      <c r="AG15" s="96">
        <v>30</v>
      </c>
      <c r="AH15" s="20">
        <f t="shared" si="2"/>
        <v>26.6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20.6</v>
      </c>
      <c r="C16" s="105">
        <v>10.4</v>
      </c>
      <c r="D16" s="105">
        <v>10.4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8.9</v>
      </c>
      <c r="N16" s="105">
        <v>10.5</v>
      </c>
      <c r="O16" s="105">
        <v>10.5</v>
      </c>
      <c r="P16" s="105">
        <v>10.5</v>
      </c>
      <c r="Q16" s="105">
        <v>10.6</v>
      </c>
      <c r="R16" s="105">
        <v>10.6</v>
      </c>
      <c r="S16" s="105">
        <v>10.6</v>
      </c>
      <c r="T16" s="105">
        <v>10.6</v>
      </c>
      <c r="U16" s="105">
        <v>20.7</v>
      </c>
      <c r="V16" s="105">
        <v>20.7</v>
      </c>
      <c r="W16" s="105">
        <v>20.7</v>
      </c>
      <c r="X16" s="105">
        <v>20.7</v>
      </c>
      <c r="Y16" s="105">
        <v>24.6</v>
      </c>
      <c r="Z16" s="105">
        <v>24.6</v>
      </c>
      <c r="AA16" s="105">
        <v>24.6</v>
      </c>
      <c r="AB16" s="105">
        <v>33.200000000000003</v>
      </c>
      <c r="AC16" s="105">
        <v>33.200000000000003</v>
      </c>
      <c r="AD16" s="105">
        <v>33.200000000000003</v>
      </c>
      <c r="AE16" s="105">
        <v>33</v>
      </c>
      <c r="AF16" s="105">
        <v>33</v>
      </c>
      <c r="AG16" s="126">
        <v>24.2</v>
      </c>
      <c r="AH16" s="20">
        <f t="shared" si="2"/>
        <v>33.200000000000003</v>
      </c>
      <c r="AI16" s="19">
        <f t="shared" si="3"/>
        <v>0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0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5">
        <v>0</v>
      </c>
      <c r="O17" s="105">
        <v>0</v>
      </c>
      <c r="P17" s="105">
        <v>0</v>
      </c>
      <c r="Q17" s="105">
        <v>0</v>
      </c>
      <c r="R17" s="105">
        <v>0</v>
      </c>
      <c r="S17" s="105">
        <v>0</v>
      </c>
      <c r="T17" s="105">
        <v>0</v>
      </c>
      <c r="U17" s="105">
        <v>0</v>
      </c>
      <c r="V17" s="105">
        <v>0</v>
      </c>
      <c r="W17" s="105">
        <v>0</v>
      </c>
      <c r="X17" s="105">
        <v>18</v>
      </c>
      <c r="Y17" s="105">
        <v>18</v>
      </c>
      <c r="Z17" s="105">
        <v>18</v>
      </c>
      <c r="AA17" s="105">
        <v>18</v>
      </c>
      <c r="AB17" s="105">
        <v>15</v>
      </c>
      <c r="AC17" s="105">
        <v>15</v>
      </c>
      <c r="AD17" s="105">
        <v>15</v>
      </c>
      <c r="AE17" s="105">
        <v>0</v>
      </c>
      <c r="AF17" s="105">
        <v>0</v>
      </c>
      <c r="AG17" s="96">
        <v>30</v>
      </c>
      <c r="AH17" s="20">
        <f t="shared" si="2"/>
        <v>18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0</v>
      </c>
      <c r="C18" s="105">
        <v>0</v>
      </c>
      <c r="D18" s="105">
        <v>0</v>
      </c>
      <c r="E18" s="105">
        <v>0</v>
      </c>
      <c r="F18" s="105">
        <v>0</v>
      </c>
      <c r="G18" s="105">
        <v>0</v>
      </c>
      <c r="H18" s="105">
        <v>0</v>
      </c>
      <c r="I18" s="105">
        <v>7</v>
      </c>
      <c r="J18" s="105">
        <v>7</v>
      </c>
      <c r="K18" s="105">
        <v>10</v>
      </c>
      <c r="L18" s="105">
        <v>15</v>
      </c>
      <c r="M18" s="105">
        <v>20</v>
      </c>
      <c r="N18" s="105">
        <v>20</v>
      </c>
      <c r="O18" s="105">
        <v>20</v>
      </c>
      <c r="P18" s="105">
        <v>20.5</v>
      </c>
      <c r="Q18" s="105">
        <v>20.5</v>
      </c>
      <c r="R18" s="105">
        <v>20.5</v>
      </c>
      <c r="S18" s="105">
        <v>0</v>
      </c>
      <c r="T18" s="105">
        <v>0</v>
      </c>
      <c r="U18" s="105">
        <v>0</v>
      </c>
      <c r="V18" s="105">
        <v>0</v>
      </c>
      <c r="W18" s="105">
        <v>0</v>
      </c>
      <c r="X18" s="105">
        <v>13</v>
      </c>
      <c r="Y18" s="105">
        <v>13.2</v>
      </c>
      <c r="Z18" s="105">
        <v>13.2</v>
      </c>
      <c r="AA18" s="105">
        <v>13.2</v>
      </c>
      <c r="AB18" s="105">
        <v>13.1</v>
      </c>
      <c r="AC18" s="105">
        <v>13.1</v>
      </c>
      <c r="AD18" s="105">
        <v>13.1</v>
      </c>
      <c r="AE18" s="105">
        <v>13.1</v>
      </c>
      <c r="AF18" s="105">
        <v>13.1</v>
      </c>
      <c r="AG18" s="126">
        <v>25</v>
      </c>
      <c r="AH18" s="20">
        <f t="shared" si="2"/>
        <v>20.5</v>
      </c>
      <c r="AI18" s="19">
        <f t="shared" si="3"/>
        <v>0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0</v>
      </c>
      <c r="C19" s="105">
        <v>0</v>
      </c>
      <c r="D19" s="105">
        <v>0</v>
      </c>
      <c r="E19" s="105">
        <v>0</v>
      </c>
      <c r="F19" s="105">
        <v>0</v>
      </c>
      <c r="G19" s="105">
        <v>0</v>
      </c>
      <c r="H19" s="105">
        <v>0</v>
      </c>
      <c r="I19" s="105">
        <v>0</v>
      </c>
      <c r="J19" s="105">
        <v>0</v>
      </c>
      <c r="K19" s="105">
        <v>0</v>
      </c>
      <c r="L19" s="105">
        <v>0</v>
      </c>
      <c r="M19" s="105">
        <v>0</v>
      </c>
      <c r="N19" s="105">
        <v>12.5</v>
      </c>
      <c r="O19" s="105">
        <v>12.5</v>
      </c>
      <c r="P19" s="105">
        <v>12.5</v>
      </c>
      <c r="Q19" s="105">
        <v>12.5</v>
      </c>
      <c r="R19" s="105">
        <v>12.5</v>
      </c>
      <c r="S19" s="105">
        <v>15</v>
      </c>
      <c r="T19" s="105">
        <v>15</v>
      </c>
      <c r="U19" s="105">
        <v>15</v>
      </c>
      <c r="V19" s="105">
        <v>15</v>
      </c>
      <c r="W19" s="105">
        <v>15</v>
      </c>
      <c r="X19" s="105">
        <v>15</v>
      </c>
      <c r="Y19" s="105">
        <v>25</v>
      </c>
      <c r="Z19" s="105">
        <v>25</v>
      </c>
      <c r="AA19" s="105">
        <v>25</v>
      </c>
      <c r="AB19" s="105">
        <v>25</v>
      </c>
      <c r="AC19" s="105">
        <v>25</v>
      </c>
      <c r="AD19" s="105">
        <v>25</v>
      </c>
      <c r="AE19" s="105">
        <v>18</v>
      </c>
      <c r="AF19" s="105">
        <v>18</v>
      </c>
      <c r="AG19" s="126">
        <v>25</v>
      </c>
      <c r="AH19" s="20">
        <f t="shared" si="2"/>
        <v>25</v>
      </c>
      <c r="AI19" s="19">
        <f t="shared" si="3"/>
        <v>0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0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0</v>
      </c>
      <c r="J20" s="105">
        <v>0</v>
      </c>
      <c r="K20" s="105">
        <v>0</v>
      </c>
      <c r="L20" s="105">
        <v>0</v>
      </c>
      <c r="M20" s="105">
        <v>0</v>
      </c>
      <c r="N20" s="105">
        <v>0</v>
      </c>
      <c r="O20" s="105">
        <v>20</v>
      </c>
      <c r="P20" s="105">
        <v>20</v>
      </c>
      <c r="Q20" s="105">
        <v>20</v>
      </c>
      <c r="R20" s="105">
        <v>20.5</v>
      </c>
      <c r="S20" s="105">
        <v>20.5</v>
      </c>
      <c r="T20" s="105">
        <v>20.5</v>
      </c>
      <c r="U20" s="105">
        <v>20.5</v>
      </c>
      <c r="V20" s="105">
        <v>20.5</v>
      </c>
      <c r="W20" s="105">
        <v>20.5</v>
      </c>
      <c r="X20" s="105">
        <v>20.5</v>
      </c>
      <c r="Y20" s="105">
        <v>20.5</v>
      </c>
      <c r="Z20" s="105">
        <v>20.5</v>
      </c>
      <c r="AA20" s="105">
        <v>20.5</v>
      </c>
      <c r="AB20" s="105">
        <v>20.5</v>
      </c>
      <c r="AC20" s="105">
        <v>20.5</v>
      </c>
      <c r="AD20" s="105">
        <v>20.5</v>
      </c>
      <c r="AE20" s="105">
        <v>20.5</v>
      </c>
      <c r="AF20" s="105">
        <v>0</v>
      </c>
      <c r="AG20" s="126">
        <v>25</v>
      </c>
      <c r="AH20" s="20">
        <f t="shared" si="2"/>
        <v>20.5</v>
      </c>
      <c r="AI20" s="19">
        <f t="shared" si="3"/>
        <v>0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18.5</v>
      </c>
      <c r="C21" s="105">
        <v>18.5</v>
      </c>
      <c r="D21" s="105">
        <v>18.5</v>
      </c>
      <c r="E21" s="105">
        <v>18.5</v>
      </c>
      <c r="F21" s="105">
        <v>18.5</v>
      </c>
      <c r="G21" s="105">
        <v>18.5</v>
      </c>
      <c r="H21" s="105">
        <v>18.5</v>
      </c>
      <c r="I21" s="105">
        <v>18.5</v>
      </c>
      <c r="J21" s="105">
        <v>18.5</v>
      </c>
      <c r="K21" s="105">
        <v>18.5</v>
      </c>
      <c r="L21" s="105">
        <v>18.5</v>
      </c>
      <c r="M21" s="105">
        <v>18.5</v>
      </c>
      <c r="N21" s="105">
        <v>18.5</v>
      </c>
      <c r="O21" s="105">
        <v>18.5</v>
      </c>
      <c r="P21" s="105">
        <v>18.5</v>
      </c>
      <c r="Q21" s="105">
        <v>18.5</v>
      </c>
      <c r="R21" s="105">
        <v>18.5</v>
      </c>
      <c r="S21" s="105">
        <v>18.5</v>
      </c>
      <c r="T21" s="105">
        <v>18.5</v>
      </c>
      <c r="U21" s="105">
        <v>18.5</v>
      </c>
      <c r="V21" s="105">
        <v>18.5</v>
      </c>
      <c r="W21" s="105">
        <v>18.5</v>
      </c>
      <c r="X21" s="105">
        <v>18.5</v>
      </c>
      <c r="Y21" s="105">
        <v>18.5</v>
      </c>
      <c r="Z21" s="105">
        <v>18.5</v>
      </c>
      <c r="AA21" s="105">
        <v>18.5</v>
      </c>
      <c r="AB21" s="105">
        <v>18.5</v>
      </c>
      <c r="AC21" s="105">
        <v>18.5</v>
      </c>
      <c r="AD21" s="105">
        <v>18.5</v>
      </c>
      <c r="AE21" s="105">
        <v>18.5</v>
      </c>
      <c r="AF21" s="105">
        <v>18.5</v>
      </c>
      <c r="AG21" s="126">
        <v>23.5</v>
      </c>
      <c r="AH21" s="20">
        <f t="shared" si="2"/>
        <v>18.5</v>
      </c>
      <c r="AI21" s="19">
        <f t="shared" si="3"/>
        <v>18.5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0</v>
      </c>
      <c r="C22" s="105">
        <v>0</v>
      </c>
      <c r="D22" s="105">
        <v>0</v>
      </c>
      <c r="E22" s="105">
        <v>0</v>
      </c>
      <c r="F22" s="105">
        <v>0</v>
      </c>
      <c r="G22" s="105">
        <v>0</v>
      </c>
      <c r="H22" s="105">
        <v>0</v>
      </c>
      <c r="I22" s="105">
        <v>0</v>
      </c>
      <c r="J22" s="105">
        <v>0</v>
      </c>
      <c r="K22" s="105">
        <v>0</v>
      </c>
      <c r="L22" s="105">
        <v>0</v>
      </c>
      <c r="M22" s="105">
        <v>0</v>
      </c>
      <c r="N22" s="105">
        <v>10</v>
      </c>
      <c r="O22" s="105">
        <v>10</v>
      </c>
      <c r="P22" s="105">
        <v>10</v>
      </c>
      <c r="Q22" s="105">
        <v>10</v>
      </c>
      <c r="R22" s="105">
        <v>10</v>
      </c>
      <c r="S22" s="105">
        <v>10</v>
      </c>
      <c r="T22" s="105">
        <v>10</v>
      </c>
      <c r="U22" s="105">
        <v>10</v>
      </c>
      <c r="V22" s="105">
        <v>10</v>
      </c>
      <c r="W22" s="105">
        <v>10</v>
      </c>
      <c r="X22" s="105">
        <v>10</v>
      </c>
      <c r="Y22" s="105">
        <v>10</v>
      </c>
      <c r="Z22" s="105">
        <v>10</v>
      </c>
      <c r="AA22" s="105">
        <v>10</v>
      </c>
      <c r="AB22" s="105">
        <v>10</v>
      </c>
      <c r="AC22" s="105">
        <v>10</v>
      </c>
      <c r="AD22" s="105">
        <v>10</v>
      </c>
      <c r="AE22" s="105">
        <v>10</v>
      </c>
      <c r="AF22" s="105">
        <v>0</v>
      </c>
      <c r="AG22" s="126">
        <v>22.2</v>
      </c>
      <c r="AH22" s="20">
        <f t="shared" si="2"/>
        <v>10</v>
      </c>
      <c r="AI22" s="19">
        <f t="shared" si="3"/>
        <v>0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18</v>
      </c>
      <c r="C23" s="105">
        <v>18</v>
      </c>
      <c r="D23" s="105">
        <v>18</v>
      </c>
      <c r="E23" s="105">
        <v>18</v>
      </c>
      <c r="F23" s="105">
        <v>18</v>
      </c>
      <c r="G23" s="105">
        <v>18</v>
      </c>
      <c r="H23" s="105">
        <v>18</v>
      </c>
      <c r="I23" s="105">
        <v>18</v>
      </c>
      <c r="J23" s="105">
        <v>18</v>
      </c>
      <c r="K23" s="105">
        <v>18</v>
      </c>
      <c r="L23" s="105">
        <v>18</v>
      </c>
      <c r="M23" s="105">
        <v>22</v>
      </c>
      <c r="N23" s="105">
        <v>15</v>
      </c>
      <c r="O23" s="105">
        <v>15</v>
      </c>
      <c r="P23" s="105">
        <v>0</v>
      </c>
      <c r="Q23" s="105">
        <v>0</v>
      </c>
      <c r="R23" s="105">
        <v>0</v>
      </c>
      <c r="S23" s="105">
        <v>0</v>
      </c>
      <c r="T23" s="105">
        <v>0</v>
      </c>
      <c r="U23" s="105">
        <v>0</v>
      </c>
      <c r="V23" s="105">
        <v>0</v>
      </c>
      <c r="W23" s="105">
        <v>0</v>
      </c>
      <c r="X23" s="105">
        <v>0</v>
      </c>
      <c r="Y23" s="105">
        <v>22</v>
      </c>
      <c r="Z23" s="105">
        <v>22</v>
      </c>
      <c r="AA23" s="105">
        <v>22</v>
      </c>
      <c r="AB23" s="105">
        <v>22</v>
      </c>
      <c r="AC23" s="105">
        <v>22</v>
      </c>
      <c r="AD23" s="105">
        <v>22</v>
      </c>
      <c r="AE23" s="105">
        <v>22</v>
      </c>
      <c r="AF23" s="105">
        <v>15</v>
      </c>
      <c r="AG23" s="126">
        <v>22.1</v>
      </c>
      <c r="AH23" s="20">
        <f t="shared" si="2"/>
        <v>22</v>
      </c>
      <c r="AI23" s="19">
        <f t="shared" si="3"/>
        <v>0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20</v>
      </c>
      <c r="C24" s="105">
        <v>20</v>
      </c>
      <c r="D24" s="105">
        <v>20</v>
      </c>
      <c r="E24" s="105">
        <v>20</v>
      </c>
      <c r="F24" s="105">
        <v>20</v>
      </c>
      <c r="G24" s="105">
        <v>20</v>
      </c>
      <c r="H24" s="105">
        <v>20</v>
      </c>
      <c r="I24" s="105">
        <v>20</v>
      </c>
      <c r="J24" s="105">
        <v>20</v>
      </c>
      <c r="K24" s="105">
        <v>20</v>
      </c>
      <c r="L24" s="105">
        <v>20</v>
      </c>
      <c r="M24" s="105">
        <v>20</v>
      </c>
      <c r="N24" s="105">
        <v>20</v>
      </c>
      <c r="O24" s="105">
        <v>20</v>
      </c>
      <c r="P24" s="105">
        <v>20</v>
      </c>
      <c r="Q24" s="105">
        <v>20</v>
      </c>
      <c r="R24" s="105">
        <v>20</v>
      </c>
      <c r="S24" s="105">
        <v>20</v>
      </c>
      <c r="T24" s="105">
        <v>20</v>
      </c>
      <c r="U24" s="105">
        <v>20</v>
      </c>
      <c r="V24" s="105">
        <v>20</v>
      </c>
      <c r="W24" s="105">
        <v>20</v>
      </c>
      <c r="X24" s="105">
        <v>20</v>
      </c>
      <c r="Y24" s="105">
        <v>20</v>
      </c>
      <c r="Z24" s="105">
        <v>20</v>
      </c>
      <c r="AA24" s="105">
        <v>20</v>
      </c>
      <c r="AB24" s="105">
        <v>20</v>
      </c>
      <c r="AC24" s="105">
        <v>20</v>
      </c>
      <c r="AD24" s="105">
        <v>20</v>
      </c>
      <c r="AE24" s="105">
        <v>20</v>
      </c>
      <c r="AF24" s="105">
        <v>20</v>
      </c>
      <c r="AG24" s="126">
        <v>22</v>
      </c>
      <c r="AH24" s="20">
        <f t="shared" si="2"/>
        <v>20</v>
      </c>
      <c r="AI24" s="19">
        <f t="shared" si="3"/>
        <v>20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22</v>
      </c>
      <c r="C25" s="105">
        <v>22</v>
      </c>
      <c r="D25" s="105">
        <v>22</v>
      </c>
      <c r="E25" s="105">
        <v>0</v>
      </c>
      <c r="F25" s="105">
        <v>0</v>
      </c>
      <c r="G25" s="105">
        <v>0</v>
      </c>
      <c r="H25" s="105">
        <v>0</v>
      </c>
      <c r="I25" s="105">
        <v>0</v>
      </c>
      <c r="J25" s="105">
        <v>0</v>
      </c>
      <c r="K25" s="105">
        <v>8</v>
      </c>
      <c r="L25" s="105">
        <v>8</v>
      </c>
      <c r="M25" s="105">
        <v>8</v>
      </c>
      <c r="N25" s="105">
        <v>10</v>
      </c>
      <c r="O25" s="105">
        <v>12</v>
      </c>
      <c r="P25" s="105">
        <v>0</v>
      </c>
      <c r="Q25" s="105">
        <v>0</v>
      </c>
      <c r="R25" s="105">
        <v>0</v>
      </c>
      <c r="S25" s="105">
        <v>0</v>
      </c>
      <c r="T25" s="105">
        <v>0</v>
      </c>
      <c r="U25" s="105">
        <v>0</v>
      </c>
      <c r="V25" s="105">
        <v>0</v>
      </c>
      <c r="W25" s="105">
        <v>0</v>
      </c>
      <c r="X25" s="105">
        <v>0</v>
      </c>
      <c r="Y25" s="105">
        <v>0</v>
      </c>
      <c r="Z25" s="105">
        <v>0</v>
      </c>
      <c r="AA25" s="105">
        <v>0</v>
      </c>
      <c r="AB25" s="105">
        <v>22</v>
      </c>
      <c r="AC25" s="105">
        <v>22</v>
      </c>
      <c r="AD25" s="105">
        <v>22</v>
      </c>
      <c r="AE25" s="105">
        <v>22</v>
      </c>
      <c r="AF25" s="105">
        <v>22</v>
      </c>
      <c r="AG25" s="126">
        <v>22</v>
      </c>
      <c r="AH25" s="20">
        <f t="shared" si="2"/>
        <v>22</v>
      </c>
      <c r="AI25" s="19">
        <f t="shared" si="3"/>
        <v>0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5">
        <v>0</v>
      </c>
      <c r="M26" s="105">
        <v>0</v>
      </c>
      <c r="N26" s="105">
        <v>0</v>
      </c>
      <c r="O26" s="105">
        <v>0</v>
      </c>
      <c r="P26" s="105">
        <v>0</v>
      </c>
      <c r="Q26" s="105">
        <v>0</v>
      </c>
      <c r="R26" s="105">
        <v>0</v>
      </c>
      <c r="S26" s="105">
        <v>0</v>
      </c>
      <c r="T26" s="105">
        <v>0</v>
      </c>
      <c r="U26" s="105">
        <v>0</v>
      </c>
      <c r="V26" s="105">
        <v>0</v>
      </c>
      <c r="W26" s="105">
        <v>0</v>
      </c>
      <c r="X26" s="105">
        <v>0</v>
      </c>
      <c r="Y26" s="105">
        <v>10</v>
      </c>
      <c r="Z26" s="105">
        <v>10</v>
      </c>
      <c r="AA26" s="105">
        <v>10</v>
      </c>
      <c r="AB26" s="105">
        <v>10</v>
      </c>
      <c r="AC26" s="105">
        <v>10</v>
      </c>
      <c r="AD26" s="105">
        <v>10</v>
      </c>
      <c r="AE26" s="105">
        <v>0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</v>
      </c>
      <c r="C27" s="105">
        <v>14</v>
      </c>
      <c r="D27" s="105">
        <v>14</v>
      </c>
      <c r="E27" s="105">
        <v>14</v>
      </c>
      <c r="F27" s="105">
        <v>14</v>
      </c>
      <c r="G27" s="105">
        <v>14</v>
      </c>
      <c r="H27" s="105">
        <v>14</v>
      </c>
      <c r="I27" s="105">
        <v>14</v>
      </c>
      <c r="J27" s="105">
        <v>14</v>
      </c>
      <c r="K27" s="105">
        <v>14</v>
      </c>
      <c r="L27" s="105">
        <v>14</v>
      </c>
      <c r="M27" s="105">
        <v>14</v>
      </c>
      <c r="N27" s="105">
        <v>12</v>
      </c>
      <c r="O27" s="105">
        <v>8</v>
      </c>
      <c r="P27" s="105">
        <v>8</v>
      </c>
      <c r="Q27" s="105">
        <v>8</v>
      </c>
      <c r="R27" s="105">
        <v>8</v>
      </c>
      <c r="S27" s="105">
        <v>8</v>
      </c>
      <c r="T27" s="105">
        <v>8</v>
      </c>
      <c r="U27" s="105">
        <v>8</v>
      </c>
      <c r="V27" s="105">
        <v>8</v>
      </c>
      <c r="W27" s="105">
        <v>8</v>
      </c>
      <c r="X27" s="105">
        <v>8</v>
      </c>
      <c r="Y27" s="105">
        <v>8</v>
      </c>
      <c r="Z27" s="105">
        <v>8</v>
      </c>
      <c r="AA27" s="105">
        <v>8</v>
      </c>
      <c r="AB27" s="105">
        <v>15</v>
      </c>
      <c r="AC27" s="105">
        <v>15</v>
      </c>
      <c r="AD27" s="105">
        <v>15</v>
      </c>
      <c r="AE27" s="105">
        <v>8</v>
      </c>
      <c r="AF27" s="105">
        <v>5</v>
      </c>
      <c r="AG27" s="126">
        <v>14.9</v>
      </c>
      <c r="AH27" s="20">
        <f t="shared" si="2"/>
        <v>15</v>
      </c>
      <c r="AI27" s="19">
        <f t="shared" si="3"/>
        <v>5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0</v>
      </c>
      <c r="C28" s="105">
        <v>0</v>
      </c>
      <c r="D28" s="105">
        <v>0</v>
      </c>
      <c r="E28" s="105">
        <v>0</v>
      </c>
      <c r="F28" s="105">
        <v>0</v>
      </c>
      <c r="G28" s="105">
        <v>0</v>
      </c>
      <c r="H28" s="105">
        <v>0</v>
      </c>
      <c r="I28" s="105">
        <v>0</v>
      </c>
      <c r="J28" s="105">
        <v>0</v>
      </c>
      <c r="K28" s="105">
        <v>0</v>
      </c>
      <c r="L28" s="105">
        <v>0</v>
      </c>
      <c r="M28" s="105">
        <v>0</v>
      </c>
      <c r="N28" s="105">
        <v>0</v>
      </c>
      <c r="O28" s="105">
        <v>0</v>
      </c>
      <c r="P28" s="105">
        <v>0</v>
      </c>
      <c r="Q28" s="105">
        <v>0</v>
      </c>
      <c r="R28" s="105">
        <v>0</v>
      </c>
      <c r="S28" s="105">
        <v>0</v>
      </c>
      <c r="T28" s="105">
        <v>0</v>
      </c>
      <c r="U28" s="105">
        <v>0</v>
      </c>
      <c r="V28" s="105">
        <v>0</v>
      </c>
      <c r="W28" s="105">
        <v>0</v>
      </c>
      <c r="X28" s="105">
        <v>0</v>
      </c>
      <c r="Y28" s="105">
        <v>0</v>
      </c>
      <c r="Z28" s="105">
        <v>0</v>
      </c>
      <c r="AA28" s="105">
        <v>0</v>
      </c>
      <c r="AB28" s="105">
        <v>0</v>
      </c>
      <c r="AC28" s="105">
        <v>0</v>
      </c>
      <c r="AD28" s="105">
        <v>0</v>
      </c>
      <c r="AE28" s="105">
        <v>0</v>
      </c>
      <c r="AF28" s="105">
        <v>0</v>
      </c>
      <c r="AG28" s="126">
        <v>13.6</v>
      </c>
      <c r="AH28" s="20">
        <f t="shared" si="2"/>
        <v>0</v>
      </c>
      <c r="AI28" s="19">
        <f t="shared" si="3"/>
        <v>0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0</v>
      </c>
      <c r="C29" s="105">
        <v>0</v>
      </c>
      <c r="D29" s="105">
        <v>0</v>
      </c>
      <c r="E29" s="105">
        <v>0</v>
      </c>
      <c r="F29" s="105">
        <v>0</v>
      </c>
      <c r="G29" s="105">
        <v>0</v>
      </c>
      <c r="H29" s="105">
        <v>0</v>
      </c>
      <c r="I29" s="105">
        <v>0</v>
      </c>
      <c r="J29" s="105">
        <v>0</v>
      </c>
      <c r="K29" s="105">
        <v>3</v>
      </c>
      <c r="L29" s="105">
        <v>3</v>
      </c>
      <c r="M29" s="105">
        <v>3</v>
      </c>
      <c r="N29" s="105">
        <v>13</v>
      </c>
      <c r="O29" s="105">
        <v>13</v>
      </c>
      <c r="P29" s="105">
        <v>13</v>
      </c>
      <c r="Q29" s="105">
        <v>13</v>
      </c>
      <c r="R29" s="105">
        <v>12</v>
      </c>
      <c r="S29" s="105">
        <v>12</v>
      </c>
      <c r="T29" s="105">
        <v>12</v>
      </c>
      <c r="U29" s="105">
        <v>12</v>
      </c>
      <c r="V29" s="105">
        <v>12</v>
      </c>
      <c r="W29" s="105">
        <v>12</v>
      </c>
      <c r="X29" s="105">
        <v>12</v>
      </c>
      <c r="Y29" s="105">
        <v>12</v>
      </c>
      <c r="Z29" s="105">
        <v>12</v>
      </c>
      <c r="AA29" s="105">
        <v>12</v>
      </c>
      <c r="AB29" s="105">
        <v>12</v>
      </c>
      <c r="AC29" s="105">
        <v>12</v>
      </c>
      <c r="AD29" s="105">
        <v>12</v>
      </c>
      <c r="AE29" s="105">
        <v>12</v>
      </c>
      <c r="AF29" s="105">
        <v>12</v>
      </c>
      <c r="AG29" s="126">
        <v>13</v>
      </c>
      <c r="AH29" s="20">
        <f t="shared" si="2"/>
        <v>13</v>
      </c>
      <c r="AI29" s="19">
        <f t="shared" si="3"/>
        <v>0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0</v>
      </c>
      <c r="N30" s="105">
        <v>0</v>
      </c>
      <c r="O30" s="105">
        <v>0</v>
      </c>
      <c r="P30" s="105">
        <v>0</v>
      </c>
      <c r="Q30" s="105">
        <v>0</v>
      </c>
      <c r="R30" s="105">
        <v>0</v>
      </c>
      <c r="S30" s="105">
        <v>0</v>
      </c>
      <c r="T30" s="105">
        <v>0</v>
      </c>
      <c r="U30" s="105">
        <v>0</v>
      </c>
      <c r="V30" s="105">
        <v>0</v>
      </c>
      <c r="W30" s="105">
        <v>0</v>
      </c>
      <c r="X30" s="105">
        <v>10</v>
      </c>
      <c r="Y30" s="105">
        <v>10</v>
      </c>
      <c r="Z30" s="105">
        <v>10</v>
      </c>
      <c r="AA30" s="105">
        <v>10</v>
      </c>
      <c r="AB30" s="105">
        <v>10</v>
      </c>
      <c r="AC30" s="105">
        <v>10</v>
      </c>
      <c r="AD30" s="105">
        <v>10</v>
      </c>
      <c r="AE30" s="105">
        <v>6</v>
      </c>
      <c r="AF30" s="105">
        <v>0</v>
      </c>
      <c r="AG30" s="126">
        <v>12</v>
      </c>
      <c r="AH30" s="20">
        <f t="shared" si="2"/>
        <v>10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0</v>
      </c>
      <c r="C31" s="105">
        <v>0</v>
      </c>
      <c r="D31" s="105">
        <v>0</v>
      </c>
      <c r="E31" s="105">
        <v>0</v>
      </c>
      <c r="F31" s="105">
        <v>0</v>
      </c>
      <c r="G31" s="105">
        <v>0</v>
      </c>
      <c r="H31" s="105">
        <v>0</v>
      </c>
      <c r="I31" s="105">
        <v>0</v>
      </c>
      <c r="J31" s="105">
        <v>0</v>
      </c>
      <c r="K31" s="105">
        <v>0</v>
      </c>
      <c r="L31" s="105">
        <v>0</v>
      </c>
      <c r="M31" s="105">
        <v>0</v>
      </c>
      <c r="N31" s="105">
        <v>0</v>
      </c>
      <c r="O31" s="105">
        <v>0</v>
      </c>
      <c r="P31" s="105">
        <v>0</v>
      </c>
      <c r="Q31" s="105">
        <v>0</v>
      </c>
      <c r="R31" s="105">
        <v>0</v>
      </c>
      <c r="S31" s="105">
        <v>0</v>
      </c>
      <c r="T31" s="105">
        <v>0</v>
      </c>
      <c r="U31" s="105">
        <v>0</v>
      </c>
      <c r="V31" s="105">
        <v>0</v>
      </c>
      <c r="W31" s="105">
        <v>0</v>
      </c>
      <c r="X31" s="105">
        <v>0</v>
      </c>
      <c r="Y31" s="105">
        <v>0</v>
      </c>
      <c r="Z31" s="105">
        <v>0</v>
      </c>
      <c r="AA31" s="105">
        <v>0</v>
      </c>
      <c r="AB31" s="105">
        <v>0</v>
      </c>
      <c r="AC31" s="105">
        <v>0</v>
      </c>
      <c r="AD31" s="105">
        <v>0</v>
      </c>
      <c r="AE31" s="105">
        <v>0</v>
      </c>
      <c r="AF31" s="105">
        <v>0</v>
      </c>
      <c r="AG31" s="126">
        <v>12</v>
      </c>
      <c r="AH31" s="20">
        <f t="shared" si="2"/>
        <v>0</v>
      </c>
      <c r="AI31" s="19">
        <f t="shared" si="3"/>
        <v>0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2</v>
      </c>
      <c r="C32" s="105">
        <v>2</v>
      </c>
      <c r="D32" s="105">
        <v>2</v>
      </c>
      <c r="E32" s="105">
        <v>2</v>
      </c>
      <c r="F32" s="105">
        <v>2</v>
      </c>
      <c r="G32" s="105">
        <v>2</v>
      </c>
      <c r="H32" s="105">
        <v>2</v>
      </c>
      <c r="I32" s="105">
        <v>2</v>
      </c>
      <c r="J32" s="105">
        <v>2</v>
      </c>
      <c r="K32" s="105">
        <v>2</v>
      </c>
      <c r="L32" s="105">
        <v>2</v>
      </c>
      <c r="M32" s="105">
        <v>2</v>
      </c>
      <c r="N32" s="105">
        <v>2</v>
      </c>
      <c r="O32" s="105">
        <v>2</v>
      </c>
      <c r="P32" s="105">
        <v>2</v>
      </c>
      <c r="Q32" s="105">
        <v>2</v>
      </c>
      <c r="R32" s="105">
        <v>2</v>
      </c>
      <c r="S32" s="105">
        <v>2</v>
      </c>
      <c r="T32" s="105">
        <v>2</v>
      </c>
      <c r="U32" s="105">
        <v>2</v>
      </c>
      <c r="V32" s="105">
        <v>2</v>
      </c>
      <c r="W32" s="105">
        <v>2</v>
      </c>
      <c r="X32" s="105">
        <v>2</v>
      </c>
      <c r="Y32" s="105">
        <v>2</v>
      </c>
      <c r="Z32" s="105">
        <v>2</v>
      </c>
      <c r="AA32" s="105">
        <v>2</v>
      </c>
      <c r="AB32" s="105">
        <v>2</v>
      </c>
      <c r="AC32" s="105">
        <v>2</v>
      </c>
      <c r="AD32" s="105">
        <v>2</v>
      </c>
      <c r="AE32" s="105">
        <v>2</v>
      </c>
      <c r="AF32" s="105">
        <v>2</v>
      </c>
      <c r="AG32" s="126">
        <v>12</v>
      </c>
      <c r="AH32" s="20">
        <f t="shared" si="2"/>
        <v>2</v>
      </c>
      <c r="AI32" s="19">
        <f t="shared" si="3"/>
        <v>2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8</v>
      </c>
      <c r="C33" s="105">
        <v>8</v>
      </c>
      <c r="D33" s="105">
        <v>8</v>
      </c>
      <c r="E33" s="105">
        <v>8</v>
      </c>
      <c r="F33" s="105">
        <v>8</v>
      </c>
      <c r="G33" s="105">
        <v>8</v>
      </c>
      <c r="H33" s="105">
        <v>8</v>
      </c>
      <c r="I33" s="105">
        <v>8</v>
      </c>
      <c r="J33" s="105">
        <v>8</v>
      </c>
      <c r="K33" s="105">
        <v>8</v>
      </c>
      <c r="L33" s="105">
        <v>8</v>
      </c>
      <c r="M33" s="105">
        <v>8</v>
      </c>
      <c r="N33" s="105">
        <v>8</v>
      </c>
      <c r="O33" s="105">
        <v>8</v>
      </c>
      <c r="P33" s="105">
        <v>8</v>
      </c>
      <c r="Q33" s="105">
        <v>8</v>
      </c>
      <c r="R33" s="105">
        <v>8</v>
      </c>
      <c r="S33" s="105">
        <v>8</v>
      </c>
      <c r="T33" s="105">
        <v>8</v>
      </c>
      <c r="U33" s="105">
        <v>8</v>
      </c>
      <c r="V33" s="105">
        <v>8</v>
      </c>
      <c r="W33" s="105">
        <v>8</v>
      </c>
      <c r="X33" s="105">
        <v>8</v>
      </c>
      <c r="Y33" s="105">
        <v>8</v>
      </c>
      <c r="Z33" s="105">
        <v>8</v>
      </c>
      <c r="AA33" s="105">
        <v>8</v>
      </c>
      <c r="AB33" s="105">
        <v>8</v>
      </c>
      <c r="AC33" s="105">
        <v>8</v>
      </c>
      <c r="AD33" s="105">
        <v>8</v>
      </c>
      <c r="AE33" s="105">
        <v>8</v>
      </c>
      <c r="AF33" s="105">
        <v>8</v>
      </c>
      <c r="AG33" s="125">
        <v>22</v>
      </c>
      <c r="AH33" s="20">
        <f t="shared" si="2"/>
        <v>8</v>
      </c>
      <c r="AI33" s="19">
        <f t="shared" si="3"/>
        <v>8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3</v>
      </c>
      <c r="K34" s="105">
        <v>3</v>
      </c>
      <c r="L34" s="105">
        <v>3</v>
      </c>
      <c r="M34" s="105">
        <v>3</v>
      </c>
      <c r="N34" s="105">
        <v>3</v>
      </c>
      <c r="O34" s="105">
        <v>3</v>
      </c>
      <c r="P34" s="105">
        <v>3</v>
      </c>
      <c r="Q34" s="105">
        <v>3</v>
      </c>
      <c r="R34" s="105">
        <v>3</v>
      </c>
      <c r="S34" s="105">
        <v>11</v>
      </c>
      <c r="T34" s="105">
        <v>11</v>
      </c>
      <c r="U34" s="105">
        <v>11</v>
      </c>
      <c r="V34" s="105">
        <v>11</v>
      </c>
      <c r="W34" s="105">
        <v>11</v>
      </c>
      <c r="X34" s="105">
        <v>11</v>
      </c>
      <c r="Y34" s="105">
        <v>11</v>
      </c>
      <c r="Z34" s="105">
        <v>11</v>
      </c>
      <c r="AA34" s="105">
        <v>11</v>
      </c>
      <c r="AB34" s="105">
        <v>11</v>
      </c>
      <c r="AC34" s="105">
        <v>11</v>
      </c>
      <c r="AD34" s="105">
        <v>11</v>
      </c>
      <c r="AE34" s="105">
        <v>11</v>
      </c>
      <c r="AF34" s="105">
        <v>11</v>
      </c>
      <c r="AG34" s="96">
        <v>11.88</v>
      </c>
      <c r="AH34" s="20">
        <f t="shared" si="2"/>
        <v>11</v>
      </c>
      <c r="AI34" s="19">
        <f t="shared" si="3"/>
        <v>0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>
        <v>11</v>
      </c>
      <c r="AG35" s="94">
        <v>11</v>
      </c>
      <c r="AH35" s="20">
        <f t="shared" si="2"/>
        <v>11</v>
      </c>
      <c r="AI35" s="19">
        <f t="shared" si="3"/>
        <v>11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8.5</v>
      </c>
      <c r="C36" s="105">
        <v>8.5</v>
      </c>
      <c r="D36" s="105">
        <v>8.5</v>
      </c>
      <c r="E36" s="105">
        <v>8.5</v>
      </c>
      <c r="F36" s="105">
        <v>8.5</v>
      </c>
      <c r="G36" s="105">
        <v>8.5</v>
      </c>
      <c r="H36" s="105">
        <v>8.5</v>
      </c>
      <c r="I36" s="105">
        <v>8.5</v>
      </c>
      <c r="J36" s="105">
        <v>8.5</v>
      </c>
      <c r="K36" s="105">
        <v>8.5</v>
      </c>
      <c r="L36" s="105">
        <v>8.5</v>
      </c>
      <c r="M36" s="105">
        <v>8.5</v>
      </c>
      <c r="N36" s="105">
        <v>8.5</v>
      </c>
      <c r="O36" s="105">
        <v>8.5</v>
      </c>
      <c r="P36" s="105">
        <v>8.5</v>
      </c>
      <c r="Q36" s="105">
        <v>8.5</v>
      </c>
      <c r="R36" s="105">
        <v>8.5</v>
      </c>
      <c r="S36" s="105">
        <v>8.5</v>
      </c>
      <c r="T36" s="105">
        <v>8.5</v>
      </c>
      <c r="U36" s="105">
        <v>8.5</v>
      </c>
      <c r="V36" s="105">
        <v>8.5</v>
      </c>
      <c r="W36" s="105">
        <v>8.5</v>
      </c>
      <c r="X36" s="105">
        <v>8.5</v>
      </c>
      <c r="Y36" s="105">
        <v>8.5</v>
      </c>
      <c r="Z36" s="105">
        <v>8.5</v>
      </c>
      <c r="AA36" s="105">
        <v>8.5</v>
      </c>
      <c r="AB36" s="105">
        <v>8.5</v>
      </c>
      <c r="AC36" s="105">
        <v>8.5</v>
      </c>
      <c r="AD36" s="105">
        <v>8.5</v>
      </c>
      <c r="AE36" s="105">
        <v>8.5</v>
      </c>
      <c r="AF36" s="105">
        <v>8.5</v>
      </c>
      <c r="AG36" s="94">
        <v>10</v>
      </c>
      <c r="AH36" s="20">
        <f t="shared" si="2"/>
        <v>8.5</v>
      </c>
      <c r="AI36" s="19">
        <f t="shared" si="3"/>
        <v>8.5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5">
        <v>0</v>
      </c>
      <c r="O37" s="105">
        <v>0</v>
      </c>
      <c r="P37" s="105">
        <v>0</v>
      </c>
      <c r="Q37" s="105">
        <v>0</v>
      </c>
      <c r="R37" s="105">
        <v>0</v>
      </c>
      <c r="S37" s="105">
        <v>0</v>
      </c>
      <c r="T37" s="105">
        <v>0</v>
      </c>
      <c r="U37" s="105">
        <v>0</v>
      </c>
      <c r="V37" s="105">
        <v>0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0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f>42.4+100.2</f>
        <v>142.6</v>
      </c>
      <c r="C39" s="119">
        <f>42.7+100.2</f>
        <v>142.9</v>
      </c>
      <c r="D39" s="119">
        <f>42.7+100.6</f>
        <v>143.30000000000001</v>
      </c>
      <c r="E39" s="119">
        <f>100.6+42.7</f>
        <v>143.30000000000001</v>
      </c>
      <c r="F39" s="119">
        <f>100.8+42.7</f>
        <v>143.5</v>
      </c>
      <c r="G39" s="119">
        <f>42.5+100.7</f>
        <v>143.19999999999999</v>
      </c>
      <c r="H39" s="119">
        <f>100.3+42.5</f>
        <v>142.80000000000001</v>
      </c>
      <c r="I39" s="119">
        <f>100.2+37.3</f>
        <v>137.5</v>
      </c>
      <c r="J39" s="119">
        <f>100.5+42.6</f>
        <v>143.1</v>
      </c>
      <c r="K39" s="119">
        <f>99.8+42.5</f>
        <v>142.30000000000001</v>
      </c>
      <c r="L39" s="113">
        <f>99.7+41.8</f>
        <v>141.5</v>
      </c>
      <c r="M39" s="113">
        <f>99.7+59.2</f>
        <v>158.9</v>
      </c>
      <c r="N39" s="113">
        <f>99.7+54.5</f>
        <v>154.19999999999999</v>
      </c>
      <c r="O39" s="113">
        <f>90.2+55.2</f>
        <v>145.4</v>
      </c>
      <c r="P39" s="113">
        <f>81.2+37.2</f>
        <v>118.4</v>
      </c>
      <c r="Q39" s="113">
        <v>141</v>
      </c>
      <c r="R39" s="113">
        <v>143</v>
      </c>
      <c r="S39" s="113">
        <f>60.5+72.8</f>
        <v>133.30000000000001</v>
      </c>
      <c r="T39" s="113">
        <f>60.6+84.7</f>
        <v>145.30000000000001</v>
      </c>
      <c r="U39" s="113">
        <f>61.2+86.4</f>
        <v>147.60000000000002</v>
      </c>
      <c r="V39" s="119">
        <f>85.4+60.9</f>
        <v>146.30000000000001</v>
      </c>
      <c r="W39" s="119">
        <f t="shared" ref="W39" si="4">85.4+60.9</f>
        <v>146.30000000000001</v>
      </c>
      <c r="X39" s="119">
        <v>166</v>
      </c>
      <c r="Y39" s="119">
        <v>158</v>
      </c>
      <c r="Z39" s="119">
        <f>69.5+98.1</f>
        <v>167.6</v>
      </c>
      <c r="AA39" s="119">
        <f>99.1+69.5</f>
        <v>168.6</v>
      </c>
      <c r="AB39" s="119">
        <f>82+99.6</f>
        <v>181.6</v>
      </c>
      <c r="AC39" s="119">
        <f>82.3+99.7</f>
        <v>182</v>
      </c>
      <c r="AD39" s="119">
        <f>81.4+100.7</f>
        <v>182.10000000000002</v>
      </c>
      <c r="AE39" s="119">
        <v>180</v>
      </c>
      <c r="AF39" s="119">
        <v>180</v>
      </c>
      <c r="AG39" s="94">
        <v>240</v>
      </c>
      <c r="AH39" s="20">
        <f t="shared" si="2"/>
        <v>182.10000000000002</v>
      </c>
      <c r="AI39" s="19">
        <f t="shared" si="3"/>
        <v>118.4</v>
      </c>
      <c r="AK39" s="41"/>
    </row>
    <row r="40" spans="1:88" ht="15.75" thickBot="1" x14ac:dyDescent="0.3">
      <c r="A40" s="118" t="s">
        <v>195</v>
      </c>
      <c r="B40" s="86">
        <f t="shared" ref="B40" si="5">SUM(B11:B38)</f>
        <v>558</v>
      </c>
      <c r="C40" s="86">
        <f t="shared" ref="C40:AG40" si="6">SUM(C11:C38)</f>
        <v>527.20000000000005</v>
      </c>
      <c r="D40" s="86">
        <f t="shared" si="6"/>
        <v>527.20000000000005</v>
      </c>
      <c r="E40" s="86">
        <f t="shared" si="6"/>
        <v>504.4</v>
      </c>
      <c r="F40" s="86">
        <f t="shared" si="6"/>
        <v>487.4</v>
      </c>
      <c r="G40" s="86">
        <f t="shared" si="6"/>
        <v>487.4</v>
      </c>
      <c r="H40" s="86">
        <f t="shared" si="6"/>
        <v>487.4</v>
      </c>
      <c r="I40" s="86">
        <f t="shared" si="6"/>
        <v>508.4</v>
      </c>
      <c r="J40" s="86">
        <f t="shared" si="6"/>
        <v>511.4</v>
      </c>
      <c r="K40" s="86">
        <f t="shared" si="6"/>
        <v>528.4</v>
      </c>
      <c r="L40" s="86">
        <f t="shared" si="6"/>
        <v>560.4</v>
      </c>
      <c r="M40" s="86">
        <f t="shared" si="6"/>
        <v>590.29999999999995</v>
      </c>
      <c r="N40" s="86">
        <f t="shared" si="6"/>
        <v>617.4</v>
      </c>
      <c r="O40" s="86">
        <f t="shared" si="6"/>
        <v>605.4</v>
      </c>
      <c r="P40" s="86">
        <f t="shared" si="6"/>
        <v>606.5</v>
      </c>
      <c r="Q40" s="86">
        <f>SUM(Q11:Q38)</f>
        <v>606.4</v>
      </c>
      <c r="R40" s="86">
        <f>SUM(R11:R38)</f>
        <v>566.70000000000005</v>
      </c>
      <c r="S40" s="86">
        <f t="shared" si="6"/>
        <v>567.5</v>
      </c>
      <c r="T40" s="86">
        <f t="shared" si="6"/>
        <v>578.29999999999995</v>
      </c>
      <c r="U40" s="86">
        <f t="shared" si="6"/>
        <v>592.4</v>
      </c>
      <c r="V40" s="86">
        <f t="shared" si="6"/>
        <v>589.4</v>
      </c>
      <c r="W40" s="86">
        <f t="shared" si="6"/>
        <v>594.4</v>
      </c>
      <c r="X40" s="86">
        <f t="shared" si="6"/>
        <v>691</v>
      </c>
      <c r="Y40" s="86">
        <f t="shared" si="6"/>
        <v>769.7</v>
      </c>
      <c r="Z40" s="86">
        <f t="shared" si="6"/>
        <v>768.9</v>
      </c>
      <c r="AA40" s="86">
        <f t="shared" si="6"/>
        <v>768.9</v>
      </c>
      <c r="AB40" s="86">
        <f t="shared" si="6"/>
        <v>789</v>
      </c>
      <c r="AC40" s="86">
        <f t="shared" si="6"/>
        <v>789</v>
      </c>
      <c r="AD40" s="86">
        <f t="shared" si="6"/>
        <v>789</v>
      </c>
      <c r="AE40" s="86">
        <f t="shared" si="6"/>
        <v>714.6</v>
      </c>
      <c r="AF40" s="86">
        <f t="shared" si="6"/>
        <v>657.1</v>
      </c>
      <c r="AG40" s="101">
        <f t="shared" si="6"/>
        <v>707.78000000000009</v>
      </c>
      <c r="AH40" s="20">
        <f t="shared" si="2"/>
        <v>789</v>
      </c>
      <c r="AI40" s="19">
        <f t="shared" si="3"/>
        <v>487.4</v>
      </c>
      <c r="AK40" s="41"/>
    </row>
    <row r="41" spans="1:88" x14ac:dyDescent="0.25">
      <c r="A41" s="117" t="s">
        <v>194</v>
      </c>
      <c r="B41" s="105">
        <v>456</v>
      </c>
      <c r="C41" s="105">
        <v>456</v>
      </c>
      <c r="D41" s="105">
        <v>456</v>
      </c>
      <c r="E41" s="105">
        <v>456</v>
      </c>
      <c r="F41" s="105">
        <v>456</v>
      </c>
      <c r="G41" s="105">
        <v>456</v>
      </c>
      <c r="H41" s="105">
        <v>456</v>
      </c>
      <c r="I41" s="105">
        <v>456</v>
      </c>
      <c r="J41" s="105">
        <v>456</v>
      </c>
      <c r="K41" s="105">
        <v>456</v>
      </c>
      <c r="L41" s="105">
        <v>456</v>
      </c>
      <c r="M41" s="105">
        <v>456</v>
      </c>
      <c r="N41" s="105">
        <v>440</v>
      </c>
      <c r="O41" s="105">
        <v>456</v>
      </c>
      <c r="P41" s="105">
        <v>456</v>
      </c>
      <c r="Q41" s="105">
        <v>456</v>
      </c>
      <c r="R41" s="105">
        <v>456</v>
      </c>
      <c r="S41" s="105">
        <v>456</v>
      </c>
      <c r="T41" s="105">
        <v>456</v>
      </c>
      <c r="U41" s="105">
        <v>456</v>
      </c>
      <c r="V41" s="105">
        <v>456</v>
      </c>
      <c r="W41" s="105">
        <v>456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456</v>
      </c>
      <c r="AD41" s="105">
        <v>456</v>
      </c>
      <c r="AE41" s="105">
        <v>456</v>
      </c>
      <c r="AF41" s="105">
        <v>456</v>
      </c>
      <c r="AG41" s="96">
        <v>456</v>
      </c>
      <c r="AH41" s="20">
        <f t="shared" si="2"/>
        <v>456</v>
      </c>
      <c r="AI41" s="19">
        <f t="shared" si="3"/>
        <v>440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>
        <v>60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>
        <v>22</v>
      </c>
      <c r="S43" s="107">
        <v>22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>
        <v>22</v>
      </c>
      <c r="AG43" s="106">
        <v>22.1</v>
      </c>
      <c r="AH43" s="20">
        <f t="shared" si="2"/>
        <v>22</v>
      </c>
      <c r="AI43" s="19">
        <f t="shared" si="3"/>
        <v>22</v>
      </c>
      <c r="AK43" s="41"/>
    </row>
    <row r="44" spans="1:88" ht="15.75" thickBot="1" x14ac:dyDescent="0.3">
      <c r="A44" s="114" t="s">
        <v>191</v>
      </c>
      <c r="B44" s="86">
        <f t="shared" ref="B44" si="7">SUM(B41:B43)</f>
        <v>538</v>
      </c>
      <c r="C44" s="86">
        <f t="shared" ref="C44:AG44" si="8">SUM(C41:C43)</f>
        <v>538</v>
      </c>
      <c r="D44" s="86">
        <f t="shared" si="8"/>
        <v>538</v>
      </c>
      <c r="E44" s="86">
        <f t="shared" si="8"/>
        <v>538</v>
      </c>
      <c r="F44" s="86">
        <f t="shared" si="8"/>
        <v>538</v>
      </c>
      <c r="G44" s="86">
        <f t="shared" si="8"/>
        <v>538</v>
      </c>
      <c r="H44" s="86">
        <f t="shared" si="8"/>
        <v>538</v>
      </c>
      <c r="I44" s="86">
        <f t="shared" si="8"/>
        <v>538</v>
      </c>
      <c r="J44" s="86">
        <f t="shared" si="8"/>
        <v>538</v>
      </c>
      <c r="K44" s="86">
        <f t="shared" si="8"/>
        <v>538</v>
      </c>
      <c r="L44" s="86">
        <f t="shared" si="8"/>
        <v>538</v>
      </c>
      <c r="M44" s="86">
        <f t="shared" si="8"/>
        <v>538</v>
      </c>
      <c r="N44" s="86">
        <f t="shared" si="8"/>
        <v>522</v>
      </c>
      <c r="O44" s="86">
        <f t="shared" si="8"/>
        <v>538</v>
      </c>
      <c r="P44" s="86">
        <f t="shared" si="8"/>
        <v>538</v>
      </c>
      <c r="Q44" s="86">
        <f t="shared" si="8"/>
        <v>538</v>
      </c>
      <c r="R44" s="86">
        <f t="shared" si="8"/>
        <v>538</v>
      </c>
      <c r="S44" s="86">
        <f t="shared" si="8"/>
        <v>538</v>
      </c>
      <c r="T44" s="86">
        <f t="shared" si="8"/>
        <v>538</v>
      </c>
      <c r="U44" s="86">
        <f t="shared" si="8"/>
        <v>538</v>
      </c>
      <c r="V44" s="86">
        <f t="shared" si="8"/>
        <v>538</v>
      </c>
      <c r="W44" s="86">
        <f t="shared" si="8"/>
        <v>538</v>
      </c>
      <c r="X44" s="86">
        <f t="shared" si="8"/>
        <v>538</v>
      </c>
      <c r="Y44" s="86">
        <f t="shared" si="8"/>
        <v>538</v>
      </c>
      <c r="Z44" s="86">
        <f t="shared" si="8"/>
        <v>538</v>
      </c>
      <c r="AA44" s="86">
        <f t="shared" si="8"/>
        <v>538</v>
      </c>
      <c r="AB44" s="86">
        <f t="shared" si="8"/>
        <v>538</v>
      </c>
      <c r="AC44" s="86">
        <f t="shared" si="8"/>
        <v>538</v>
      </c>
      <c r="AD44" s="86">
        <f t="shared" si="8"/>
        <v>538</v>
      </c>
      <c r="AE44" s="86">
        <f t="shared" si="8"/>
        <v>538</v>
      </c>
      <c r="AF44" s="86">
        <f t="shared" si="8"/>
        <v>538</v>
      </c>
      <c r="AG44" s="101">
        <f t="shared" si="8"/>
        <v>538.1</v>
      </c>
      <c r="AH44" s="20">
        <f t="shared" si="2"/>
        <v>538</v>
      </c>
      <c r="AI44" s="19">
        <f t="shared" si="3"/>
        <v>522</v>
      </c>
      <c r="AK44" s="41"/>
    </row>
    <row r="45" spans="1:88" x14ac:dyDescent="0.25">
      <c r="A45" s="97" t="s">
        <v>190</v>
      </c>
      <c r="B45" s="105">
        <v>0</v>
      </c>
      <c r="C45" s="105">
        <v>0</v>
      </c>
      <c r="D45" s="105">
        <v>0</v>
      </c>
      <c r="E45" s="105">
        <v>0</v>
      </c>
      <c r="F45" s="105">
        <v>0</v>
      </c>
      <c r="G45" s="105">
        <v>0</v>
      </c>
      <c r="H45" s="105">
        <v>0</v>
      </c>
      <c r="I45" s="105">
        <v>0</v>
      </c>
      <c r="J45" s="105">
        <v>0</v>
      </c>
      <c r="K45" s="105">
        <v>0</v>
      </c>
      <c r="L45" s="105">
        <v>0</v>
      </c>
      <c r="M45" s="105">
        <v>0</v>
      </c>
      <c r="N45" s="105">
        <v>0</v>
      </c>
      <c r="O45" s="105">
        <v>0</v>
      </c>
      <c r="P45" s="105">
        <v>0</v>
      </c>
      <c r="Q45" s="105">
        <v>0</v>
      </c>
      <c r="R45" s="105">
        <v>0</v>
      </c>
      <c r="S45" s="105">
        <v>0</v>
      </c>
      <c r="T45" s="105">
        <v>0</v>
      </c>
      <c r="U45" s="105">
        <v>0</v>
      </c>
      <c r="V45" s="105">
        <v>0</v>
      </c>
      <c r="W45" s="105">
        <v>0</v>
      </c>
      <c r="X45" s="105">
        <v>0</v>
      </c>
      <c r="Y45" s="105">
        <v>0</v>
      </c>
      <c r="Z45" s="105">
        <v>0</v>
      </c>
      <c r="AA45" s="105">
        <v>0</v>
      </c>
      <c r="AB45" s="105">
        <v>0</v>
      </c>
      <c r="AC45" s="105">
        <v>0</v>
      </c>
      <c r="AD45" s="105">
        <v>0</v>
      </c>
      <c r="AE45" s="105">
        <v>0</v>
      </c>
      <c r="AF45" s="105">
        <v>0</v>
      </c>
      <c r="AG45" s="96">
        <v>144</v>
      </c>
      <c r="AH45" s="20">
        <f t="shared" si="2"/>
        <v>0</v>
      </c>
      <c r="AI45" s="19">
        <f t="shared" si="3"/>
        <v>0</v>
      </c>
      <c r="AK45" s="41"/>
    </row>
    <row r="46" spans="1:88" x14ac:dyDescent="0.25">
      <c r="A46" s="95" t="s">
        <v>189</v>
      </c>
      <c r="B46" s="80">
        <v>71.099999999999994</v>
      </c>
      <c r="C46" s="80">
        <v>70.599999999999994</v>
      </c>
      <c r="D46" s="80">
        <v>70.7</v>
      </c>
      <c r="E46" s="80">
        <v>70.7</v>
      </c>
      <c r="F46" s="80">
        <v>70.7</v>
      </c>
      <c r="G46" s="80">
        <v>70.7</v>
      </c>
      <c r="H46" s="80">
        <v>70.7</v>
      </c>
      <c r="I46" s="80">
        <v>70.7</v>
      </c>
      <c r="J46" s="80">
        <v>70.7</v>
      </c>
      <c r="K46" s="80">
        <v>70.7</v>
      </c>
      <c r="L46" s="80">
        <v>70.7</v>
      </c>
      <c r="M46" s="80">
        <v>72.2</v>
      </c>
      <c r="N46" s="80">
        <v>68.2</v>
      </c>
      <c r="O46" s="80">
        <v>68.2</v>
      </c>
      <c r="P46" s="105">
        <v>71.8</v>
      </c>
      <c r="Q46" s="105">
        <v>70</v>
      </c>
      <c r="R46" s="105">
        <v>72.3</v>
      </c>
      <c r="S46" s="105">
        <v>71.599999999999994</v>
      </c>
      <c r="T46" s="105">
        <v>71.8</v>
      </c>
      <c r="U46" s="105">
        <v>71.8</v>
      </c>
      <c r="V46" s="105">
        <v>71.8</v>
      </c>
      <c r="W46" s="105">
        <v>71.8</v>
      </c>
      <c r="X46" s="105">
        <v>72.2</v>
      </c>
      <c r="Y46" s="105">
        <v>72.2</v>
      </c>
      <c r="Z46" s="105">
        <v>72.5</v>
      </c>
      <c r="AA46" s="105">
        <v>72.5</v>
      </c>
      <c r="AB46" s="80">
        <v>72.599999999999994</v>
      </c>
      <c r="AC46" s="80">
        <v>72.8</v>
      </c>
      <c r="AD46" s="80">
        <v>72.2</v>
      </c>
      <c r="AE46" s="80">
        <v>72.2</v>
      </c>
      <c r="AF46" s="80">
        <v>72.2</v>
      </c>
      <c r="AG46" s="94">
        <v>70</v>
      </c>
      <c r="AH46" s="20">
        <f t="shared" si="2"/>
        <v>72.8</v>
      </c>
      <c r="AI46" s="19">
        <f t="shared" si="3"/>
        <v>68.2</v>
      </c>
      <c r="AK46" s="41"/>
    </row>
    <row r="47" spans="1:88" x14ac:dyDescent="0.25">
      <c r="A47" s="95" t="s">
        <v>188</v>
      </c>
      <c r="B47" s="80">
        <v>44.3</v>
      </c>
      <c r="C47" s="80">
        <v>44.6</v>
      </c>
      <c r="D47" s="80">
        <v>44.5</v>
      </c>
      <c r="E47" s="80">
        <v>44.5</v>
      </c>
      <c r="F47" s="80">
        <v>44.5</v>
      </c>
      <c r="G47" s="80">
        <v>44.5</v>
      </c>
      <c r="H47" s="80">
        <v>44.5</v>
      </c>
      <c r="I47" s="80">
        <v>44.5</v>
      </c>
      <c r="J47" s="80">
        <v>44.5</v>
      </c>
      <c r="K47" s="80">
        <v>44.5</v>
      </c>
      <c r="L47" s="80">
        <v>44.5</v>
      </c>
      <c r="M47" s="80">
        <v>45.2</v>
      </c>
      <c r="N47" s="80">
        <v>45.2</v>
      </c>
      <c r="O47" s="80">
        <v>45.2</v>
      </c>
      <c r="P47" s="105">
        <v>45.3</v>
      </c>
      <c r="Q47" s="105">
        <v>45.4</v>
      </c>
      <c r="R47" s="105">
        <v>46</v>
      </c>
      <c r="S47" s="105">
        <v>46</v>
      </c>
      <c r="T47" s="105">
        <v>46</v>
      </c>
      <c r="U47" s="105">
        <v>45.3</v>
      </c>
      <c r="V47" s="105">
        <v>45.3</v>
      </c>
      <c r="W47" s="105">
        <v>45.3</v>
      </c>
      <c r="X47" s="105">
        <v>45</v>
      </c>
      <c r="Y47" s="105">
        <v>45</v>
      </c>
      <c r="Z47" s="105">
        <v>45</v>
      </c>
      <c r="AA47" s="105">
        <v>45</v>
      </c>
      <c r="AB47" s="80">
        <v>45.1</v>
      </c>
      <c r="AC47" s="80">
        <v>44.8</v>
      </c>
      <c r="AD47" s="80">
        <v>45.2</v>
      </c>
      <c r="AE47" s="80">
        <v>45.2</v>
      </c>
      <c r="AF47" s="80">
        <v>45.2</v>
      </c>
      <c r="AG47" s="94">
        <v>69</v>
      </c>
      <c r="AH47" s="20">
        <f t="shared" si="2"/>
        <v>46</v>
      </c>
      <c r="AI47" s="19">
        <f t="shared" si="3"/>
        <v>44.3</v>
      </c>
      <c r="AK47" s="41"/>
    </row>
    <row r="48" spans="1:88" x14ac:dyDescent="0.25">
      <c r="A48" s="95" t="s">
        <v>187</v>
      </c>
      <c r="B48" s="113">
        <v>60.4</v>
      </c>
      <c r="C48" s="113">
        <v>60.2</v>
      </c>
      <c r="D48" s="113">
        <v>60.2</v>
      </c>
      <c r="E48" s="113">
        <v>60.2</v>
      </c>
      <c r="F48" s="113">
        <v>60.2</v>
      </c>
      <c r="G48" s="113">
        <v>60.2</v>
      </c>
      <c r="H48" s="113">
        <v>60.2</v>
      </c>
      <c r="I48" s="113">
        <v>60.2</v>
      </c>
      <c r="J48" s="113">
        <v>60.2</v>
      </c>
      <c r="K48" s="113">
        <v>60.2</v>
      </c>
      <c r="L48" s="113">
        <v>60.2</v>
      </c>
      <c r="M48" s="80">
        <v>60.4</v>
      </c>
      <c r="N48" s="80">
        <v>60.4</v>
      </c>
      <c r="O48" s="80">
        <v>60.4</v>
      </c>
      <c r="P48" s="105">
        <v>60.9</v>
      </c>
      <c r="Q48" s="105">
        <v>60.6</v>
      </c>
      <c r="R48" s="105">
        <v>60.6</v>
      </c>
      <c r="S48" s="105">
        <v>60.6</v>
      </c>
      <c r="T48" s="105">
        <v>60.9</v>
      </c>
      <c r="U48" s="105">
        <v>60.9</v>
      </c>
      <c r="V48" s="105">
        <v>60.9</v>
      </c>
      <c r="W48" s="105">
        <v>60.9</v>
      </c>
      <c r="X48" s="105">
        <v>60.9</v>
      </c>
      <c r="Y48" s="105">
        <v>60.9</v>
      </c>
      <c r="Z48" s="105">
        <v>60.9</v>
      </c>
      <c r="AA48" s="105">
        <v>60.9</v>
      </c>
      <c r="AB48" s="113">
        <v>61.4</v>
      </c>
      <c r="AC48" s="113">
        <v>61.4</v>
      </c>
      <c r="AD48" s="113">
        <v>61.4</v>
      </c>
      <c r="AE48" s="113">
        <v>61.4</v>
      </c>
      <c r="AF48" s="113">
        <v>61.4</v>
      </c>
      <c r="AG48" s="94">
        <v>60</v>
      </c>
      <c r="AH48" s="20">
        <f t="shared" si="2"/>
        <v>61.4</v>
      </c>
      <c r="AI48" s="19">
        <f t="shared" si="3"/>
        <v>60.2</v>
      </c>
      <c r="AK48" s="41"/>
    </row>
    <row r="49" spans="1:41" x14ac:dyDescent="0.25">
      <c r="A49" s="95" t="s">
        <v>186</v>
      </c>
      <c r="B49" s="113">
        <v>29.9</v>
      </c>
      <c r="C49" s="113">
        <v>29.8</v>
      </c>
      <c r="D49" s="113">
        <v>29.8</v>
      </c>
      <c r="E49" s="113">
        <v>15</v>
      </c>
      <c r="F49" s="113">
        <v>30</v>
      </c>
      <c r="G49" s="113">
        <v>30</v>
      </c>
      <c r="H49" s="113">
        <v>30</v>
      </c>
      <c r="I49" s="113">
        <v>30</v>
      </c>
      <c r="J49" s="113">
        <v>30</v>
      </c>
      <c r="K49" s="113">
        <v>30</v>
      </c>
      <c r="L49" s="113">
        <v>30</v>
      </c>
      <c r="M49" s="113">
        <v>30</v>
      </c>
      <c r="N49" s="113">
        <v>30</v>
      </c>
      <c r="O49" s="113">
        <v>30</v>
      </c>
      <c r="P49" s="105">
        <v>30</v>
      </c>
      <c r="Q49" s="105">
        <v>30</v>
      </c>
      <c r="R49" s="105">
        <v>30</v>
      </c>
      <c r="S49" s="105">
        <v>30</v>
      </c>
      <c r="T49" s="105">
        <v>30.1</v>
      </c>
      <c r="U49" s="105">
        <v>29.5</v>
      </c>
      <c r="V49" s="105">
        <v>29.5</v>
      </c>
      <c r="W49" s="105">
        <v>29.5</v>
      </c>
      <c r="X49" s="105">
        <v>29.5</v>
      </c>
      <c r="Y49" s="105">
        <v>29.5</v>
      </c>
      <c r="Z49" s="105">
        <v>29.5</v>
      </c>
      <c r="AA49" s="105">
        <v>29.5</v>
      </c>
      <c r="AB49" s="113">
        <v>29.3</v>
      </c>
      <c r="AC49" s="113">
        <v>29.2</v>
      </c>
      <c r="AD49" s="113">
        <v>29.2</v>
      </c>
      <c r="AE49" s="113">
        <v>29.2</v>
      </c>
      <c r="AF49" s="113">
        <v>29.2</v>
      </c>
      <c r="AG49" s="94">
        <v>30</v>
      </c>
      <c r="AH49" s="20">
        <f t="shared" si="2"/>
        <v>30.1</v>
      </c>
      <c r="AI49" s="19">
        <f t="shared" si="3"/>
        <v>15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0</v>
      </c>
      <c r="N50" s="80">
        <v>0</v>
      </c>
      <c r="O50" s="80">
        <v>0</v>
      </c>
      <c r="P50" s="80">
        <v>0</v>
      </c>
      <c r="Q50" s="80">
        <v>0</v>
      </c>
      <c r="R50" s="105">
        <v>0</v>
      </c>
      <c r="S50" s="105">
        <v>7</v>
      </c>
      <c r="T50" s="105">
        <v>7</v>
      </c>
      <c r="U50" s="105">
        <v>6</v>
      </c>
      <c r="V50" s="105">
        <v>4.5</v>
      </c>
      <c r="W50" s="105">
        <v>3</v>
      </c>
      <c r="X50" s="105">
        <v>0</v>
      </c>
      <c r="Y50" s="105">
        <v>0</v>
      </c>
      <c r="Z50" s="105">
        <v>0</v>
      </c>
      <c r="AA50" s="105">
        <v>0</v>
      </c>
      <c r="AB50" s="80">
        <v>0</v>
      </c>
      <c r="AC50" s="80">
        <v>0</v>
      </c>
      <c r="AD50" s="80">
        <v>0</v>
      </c>
      <c r="AE50" s="80">
        <v>0</v>
      </c>
      <c r="AF50" s="80">
        <v>0</v>
      </c>
      <c r="AG50" s="94">
        <v>25</v>
      </c>
      <c r="AH50" s="20">
        <f t="shared" si="2"/>
        <v>7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0</v>
      </c>
      <c r="C51" s="80">
        <v>0</v>
      </c>
      <c r="D51" s="80">
        <v>0</v>
      </c>
      <c r="E51" s="80">
        <v>0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>
        <v>0</v>
      </c>
      <c r="L51" s="80">
        <v>0</v>
      </c>
      <c r="M51" s="80">
        <v>0</v>
      </c>
      <c r="N51" s="80">
        <v>0</v>
      </c>
      <c r="O51" s="80">
        <v>0</v>
      </c>
      <c r="P51" s="80">
        <v>0</v>
      </c>
      <c r="Q51" s="80">
        <v>0</v>
      </c>
      <c r="R51" s="105">
        <v>0</v>
      </c>
      <c r="S51" s="105">
        <v>0</v>
      </c>
      <c r="T51" s="105">
        <v>0</v>
      </c>
      <c r="U51" s="105">
        <v>0</v>
      </c>
      <c r="V51" s="105">
        <v>0</v>
      </c>
      <c r="W51" s="105">
        <v>0</v>
      </c>
      <c r="X51" s="105">
        <v>0</v>
      </c>
      <c r="Y51" s="105">
        <v>0</v>
      </c>
      <c r="Z51" s="105">
        <v>0</v>
      </c>
      <c r="AA51" s="105">
        <v>0</v>
      </c>
      <c r="AB51" s="105">
        <v>0</v>
      </c>
      <c r="AC51" s="105">
        <v>0</v>
      </c>
      <c r="AD51" s="105">
        <v>0</v>
      </c>
      <c r="AE51" s="105">
        <v>0</v>
      </c>
      <c r="AF51" s="105">
        <v>0</v>
      </c>
      <c r="AG51" s="94">
        <v>24</v>
      </c>
      <c r="AH51" s="20">
        <f t="shared" si="2"/>
        <v>0</v>
      </c>
      <c r="AI51" s="19">
        <f t="shared" si="3"/>
        <v>0</v>
      </c>
      <c r="AK51" s="41"/>
    </row>
    <row r="52" spans="1:41" x14ac:dyDescent="0.25">
      <c r="A52" s="95" t="s">
        <v>183</v>
      </c>
      <c r="B52" s="80">
        <v>0</v>
      </c>
      <c r="C52" s="80">
        <v>0</v>
      </c>
      <c r="D52" s="80">
        <v>0</v>
      </c>
      <c r="E52" s="80">
        <v>0</v>
      </c>
      <c r="F52" s="80">
        <v>0</v>
      </c>
      <c r="G52" s="80">
        <v>0</v>
      </c>
      <c r="H52" s="80">
        <v>0</v>
      </c>
      <c r="I52" s="80">
        <v>0</v>
      </c>
      <c r="J52" s="80">
        <v>0</v>
      </c>
      <c r="K52" s="80">
        <v>0</v>
      </c>
      <c r="L52" s="80">
        <v>0</v>
      </c>
      <c r="M52" s="80">
        <v>0</v>
      </c>
      <c r="N52" s="80">
        <v>0</v>
      </c>
      <c r="O52" s="80">
        <v>0</v>
      </c>
      <c r="P52" s="80">
        <v>0</v>
      </c>
      <c r="Q52" s="80">
        <v>0</v>
      </c>
      <c r="R52" s="80">
        <v>0</v>
      </c>
      <c r="S52" s="80">
        <v>0</v>
      </c>
      <c r="T52" s="80">
        <v>0</v>
      </c>
      <c r="U52" s="80">
        <v>0</v>
      </c>
      <c r="V52" s="80">
        <v>0</v>
      </c>
      <c r="W52" s="80">
        <v>0</v>
      </c>
      <c r="X52" s="80">
        <v>0</v>
      </c>
      <c r="Y52" s="80">
        <v>0</v>
      </c>
      <c r="Z52" s="80">
        <v>0</v>
      </c>
      <c r="AA52" s="80">
        <v>0</v>
      </c>
      <c r="AB52" s="80">
        <v>0</v>
      </c>
      <c r="AC52" s="80">
        <v>0</v>
      </c>
      <c r="AD52" s="80">
        <v>0</v>
      </c>
      <c r="AE52" s="80">
        <v>0</v>
      </c>
      <c r="AF52" s="80">
        <v>0</v>
      </c>
      <c r="AG52" s="94">
        <v>15</v>
      </c>
      <c r="AH52" s="20">
        <f t="shared" si="2"/>
        <v>0</v>
      </c>
      <c r="AI52" s="19">
        <f t="shared" si="3"/>
        <v>0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0</v>
      </c>
      <c r="C53" s="80">
        <v>0</v>
      </c>
      <c r="D53" s="80">
        <v>0</v>
      </c>
      <c r="E53" s="80">
        <v>0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>
        <v>0</v>
      </c>
      <c r="L53" s="80">
        <v>0</v>
      </c>
      <c r="M53" s="80">
        <v>0</v>
      </c>
      <c r="N53" s="80">
        <v>0</v>
      </c>
      <c r="O53" s="80">
        <v>0</v>
      </c>
      <c r="P53" s="80">
        <v>0</v>
      </c>
      <c r="Q53" s="80">
        <v>0</v>
      </c>
      <c r="R53" s="80">
        <v>0</v>
      </c>
      <c r="S53" s="80">
        <v>0</v>
      </c>
      <c r="T53" s="80">
        <v>0</v>
      </c>
      <c r="U53" s="80">
        <v>0</v>
      </c>
      <c r="V53" s="80">
        <v>0</v>
      </c>
      <c r="W53" s="80">
        <v>0</v>
      </c>
      <c r="X53" s="80">
        <v>0</v>
      </c>
      <c r="Y53" s="80">
        <v>0</v>
      </c>
      <c r="Z53" s="80">
        <v>0</v>
      </c>
      <c r="AA53" s="80">
        <v>0</v>
      </c>
      <c r="AB53" s="80">
        <v>0</v>
      </c>
      <c r="AC53" s="80">
        <v>0</v>
      </c>
      <c r="AD53" s="80">
        <v>0</v>
      </c>
      <c r="AE53" s="80">
        <v>0</v>
      </c>
      <c r="AF53" s="80">
        <v>0</v>
      </c>
      <c r="AG53" s="94">
        <v>14.1</v>
      </c>
      <c r="AH53" s="20">
        <f t="shared" si="2"/>
        <v>0</v>
      </c>
      <c r="AI53" s="19">
        <f t="shared" si="3"/>
        <v>0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14.2</v>
      </c>
      <c r="C54" s="80">
        <v>13.5</v>
      </c>
      <c r="D54" s="80">
        <v>14.3</v>
      </c>
      <c r="E54" s="80">
        <v>14.3</v>
      </c>
      <c r="F54" s="80">
        <v>14.3</v>
      </c>
      <c r="G54" s="80">
        <v>14.3</v>
      </c>
      <c r="H54" s="80">
        <v>14.3</v>
      </c>
      <c r="I54" s="80">
        <v>14.3</v>
      </c>
      <c r="J54" s="80">
        <v>14.3</v>
      </c>
      <c r="K54" s="80">
        <v>14.3</v>
      </c>
      <c r="L54" s="80">
        <v>14.3</v>
      </c>
      <c r="M54" s="80">
        <v>14.3</v>
      </c>
      <c r="N54" s="80">
        <v>14.3</v>
      </c>
      <c r="O54" s="80">
        <v>14.3</v>
      </c>
      <c r="P54" s="80">
        <v>14.3</v>
      </c>
      <c r="Q54" s="80">
        <v>14.1</v>
      </c>
      <c r="R54" s="80">
        <v>14.1</v>
      </c>
      <c r="S54" s="80">
        <v>14.1</v>
      </c>
      <c r="T54" s="80">
        <v>14.1</v>
      </c>
      <c r="U54" s="80">
        <v>7</v>
      </c>
      <c r="V54" s="80">
        <v>7</v>
      </c>
      <c r="W54" s="80">
        <v>14.1</v>
      </c>
      <c r="X54" s="80">
        <v>14.1</v>
      </c>
      <c r="Y54" s="80">
        <v>14.1</v>
      </c>
      <c r="Z54" s="80">
        <v>14.1</v>
      </c>
      <c r="AA54" s="80">
        <v>14.1</v>
      </c>
      <c r="AB54" s="80">
        <v>14.1</v>
      </c>
      <c r="AC54" s="80">
        <v>14.1</v>
      </c>
      <c r="AD54" s="80">
        <v>14.1</v>
      </c>
      <c r="AE54" s="80">
        <v>14.1</v>
      </c>
      <c r="AF54" s="80">
        <v>14.1</v>
      </c>
      <c r="AG54" s="94">
        <v>14</v>
      </c>
      <c r="AH54" s="20">
        <f t="shared" si="2"/>
        <v>14.3</v>
      </c>
      <c r="AI54" s="19">
        <f t="shared" si="3"/>
        <v>7</v>
      </c>
      <c r="AK54" s="41"/>
    </row>
    <row r="55" spans="1:41" x14ac:dyDescent="0.25">
      <c r="A55" s="95" t="s">
        <v>180</v>
      </c>
      <c r="B55" s="80">
        <v>9.1</v>
      </c>
      <c r="C55" s="80">
        <v>9.1</v>
      </c>
      <c r="D55" s="80">
        <v>9.1</v>
      </c>
      <c r="E55" s="80">
        <v>9.1</v>
      </c>
      <c r="F55" s="80">
        <v>9.1</v>
      </c>
      <c r="G55" s="80">
        <v>9.1</v>
      </c>
      <c r="H55" s="80">
        <v>9.1</v>
      </c>
      <c r="I55" s="80">
        <v>9.1</v>
      </c>
      <c r="J55" s="80">
        <v>9.1</v>
      </c>
      <c r="K55" s="80">
        <v>9.1</v>
      </c>
      <c r="L55" s="80">
        <v>9.1</v>
      </c>
      <c r="M55" s="80">
        <v>9.1</v>
      </c>
      <c r="N55" s="80">
        <v>9.1</v>
      </c>
      <c r="O55" s="80">
        <v>9.1</v>
      </c>
      <c r="P55" s="80">
        <v>9.1</v>
      </c>
      <c r="Q55" s="80">
        <v>9.1</v>
      </c>
      <c r="R55" s="80">
        <v>9.1</v>
      </c>
      <c r="S55" s="80">
        <v>9.1</v>
      </c>
      <c r="T55" s="80">
        <v>9.1</v>
      </c>
      <c r="U55" s="80">
        <v>9.1</v>
      </c>
      <c r="V55" s="80">
        <v>9.1</v>
      </c>
      <c r="W55" s="80">
        <v>9.1</v>
      </c>
      <c r="X55" s="80">
        <v>9.1</v>
      </c>
      <c r="Y55" s="80">
        <v>9.1</v>
      </c>
      <c r="Z55" s="80">
        <v>9.1</v>
      </c>
      <c r="AA55" s="80">
        <v>9.1</v>
      </c>
      <c r="AB55" s="80">
        <v>9.1</v>
      </c>
      <c r="AC55" s="80">
        <v>9.1</v>
      </c>
      <c r="AD55" s="80">
        <v>9.1</v>
      </c>
      <c r="AE55" s="80">
        <v>9.1</v>
      </c>
      <c r="AF55" s="80">
        <v>9.1</v>
      </c>
      <c r="AG55" s="94">
        <v>10.050000000000001</v>
      </c>
      <c r="AH55" s="20">
        <f t="shared" si="2"/>
        <v>9.1</v>
      </c>
      <c r="AI55" s="19">
        <f t="shared" si="3"/>
        <v>9.1</v>
      </c>
      <c r="AK55" s="41"/>
    </row>
    <row r="56" spans="1:41" x14ac:dyDescent="0.25">
      <c r="A56" s="95" t="s">
        <v>179</v>
      </c>
      <c r="B56" s="80">
        <v>6.2</v>
      </c>
      <c r="C56" s="80">
        <v>6.2</v>
      </c>
      <c r="D56" s="80">
        <v>6.2</v>
      </c>
      <c r="E56" s="80">
        <v>6.2</v>
      </c>
      <c r="F56" s="80">
        <v>6.2</v>
      </c>
      <c r="G56" s="80">
        <v>6.2</v>
      </c>
      <c r="H56" s="80">
        <v>6.2</v>
      </c>
      <c r="I56" s="80">
        <v>6.2</v>
      </c>
      <c r="J56" s="80">
        <v>6.2</v>
      </c>
      <c r="K56" s="80">
        <v>6.2</v>
      </c>
      <c r="L56" s="80">
        <v>6.2</v>
      </c>
      <c r="M56" s="80">
        <v>6.2</v>
      </c>
      <c r="N56" s="80">
        <v>6.2</v>
      </c>
      <c r="O56" s="80">
        <v>6.2</v>
      </c>
      <c r="P56" s="80">
        <v>6.2</v>
      </c>
      <c r="Q56" s="80">
        <v>6.2</v>
      </c>
      <c r="R56" s="80">
        <v>6.2</v>
      </c>
      <c r="S56" s="80">
        <v>6.2</v>
      </c>
      <c r="T56" s="80">
        <v>6.2</v>
      </c>
      <c r="U56" s="80">
        <v>6.2</v>
      </c>
      <c r="V56" s="80">
        <v>6.2</v>
      </c>
      <c r="W56" s="80">
        <v>6.2</v>
      </c>
      <c r="X56" s="80">
        <v>6.2</v>
      </c>
      <c r="Y56" s="80">
        <v>6.2</v>
      </c>
      <c r="Z56" s="80">
        <v>6.2</v>
      </c>
      <c r="AA56" s="80">
        <v>6.2</v>
      </c>
      <c r="AB56" s="80">
        <v>6.2</v>
      </c>
      <c r="AC56" s="80">
        <v>6.2</v>
      </c>
      <c r="AD56" s="80">
        <v>6.2</v>
      </c>
      <c r="AE56" s="80">
        <v>6.2</v>
      </c>
      <c r="AF56" s="80">
        <v>6.2</v>
      </c>
      <c r="AG56" s="94">
        <v>6.2</v>
      </c>
      <c r="AH56" s="20">
        <f t="shared" si="2"/>
        <v>6.2</v>
      </c>
      <c r="AI56" s="19">
        <f t="shared" si="3"/>
        <v>6.2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" si="9">SUM(B45:B57)</f>
        <v>238.73999999999995</v>
      </c>
      <c r="C58" s="86">
        <f t="shared" ref="C58:AG58" si="10">SUM(C45:C57)</f>
        <v>237.53999999999996</v>
      </c>
      <c r="D58" s="86">
        <f t="shared" si="10"/>
        <v>238.34</v>
      </c>
      <c r="E58" s="86">
        <f t="shared" si="10"/>
        <v>223.54</v>
      </c>
      <c r="F58" s="86">
        <f t="shared" si="10"/>
        <v>238.54</v>
      </c>
      <c r="G58" s="86">
        <f t="shared" si="10"/>
        <v>238.54</v>
      </c>
      <c r="H58" s="86">
        <f t="shared" si="10"/>
        <v>238.54</v>
      </c>
      <c r="I58" s="86">
        <f t="shared" si="10"/>
        <v>238.54</v>
      </c>
      <c r="J58" s="86">
        <f t="shared" si="10"/>
        <v>238.54</v>
      </c>
      <c r="K58" s="86">
        <f t="shared" si="10"/>
        <v>238.54</v>
      </c>
      <c r="L58" s="86">
        <f t="shared" si="10"/>
        <v>238.54</v>
      </c>
      <c r="M58" s="86">
        <f t="shared" si="10"/>
        <v>240.94</v>
      </c>
      <c r="N58" s="86">
        <f t="shared" si="10"/>
        <v>236.94</v>
      </c>
      <c r="O58" s="86">
        <f t="shared" si="10"/>
        <v>236.94</v>
      </c>
      <c r="P58" s="86">
        <f t="shared" ref="P58" si="11">SUM(P45:P57)</f>
        <v>241.14</v>
      </c>
      <c r="Q58" s="86">
        <f t="shared" si="10"/>
        <v>238.93999999999997</v>
      </c>
      <c r="R58" s="86">
        <f t="shared" si="10"/>
        <v>241.83999999999997</v>
      </c>
      <c r="S58" s="86">
        <f t="shared" si="10"/>
        <v>248.13999999999996</v>
      </c>
      <c r="T58" s="86">
        <f t="shared" si="10"/>
        <v>248.73999999999995</v>
      </c>
      <c r="U58" s="86">
        <f t="shared" si="10"/>
        <v>239.33999999999997</v>
      </c>
      <c r="V58" s="86">
        <f t="shared" si="10"/>
        <v>237.83999999999997</v>
      </c>
      <c r="W58" s="86">
        <f t="shared" si="10"/>
        <v>243.43999999999997</v>
      </c>
      <c r="X58" s="86">
        <f t="shared" si="10"/>
        <v>240.53999999999996</v>
      </c>
      <c r="Y58" s="86">
        <f t="shared" si="10"/>
        <v>240.53999999999996</v>
      </c>
      <c r="Z58" s="86">
        <f t="shared" si="10"/>
        <v>240.83999999999997</v>
      </c>
      <c r="AA58" s="86">
        <f t="shared" si="10"/>
        <v>240.83999999999997</v>
      </c>
      <c r="AB58" s="86">
        <f t="shared" si="10"/>
        <v>241.33999999999997</v>
      </c>
      <c r="AC58" s="86">
        <f t="shared" si="10"/>
        <v>241.13999999999996</v>
      </c>
      <c r="AD58" s="86">
        <f t="shared" si="10"/>
        <v>240.93999999999997</v>
      </c>
      <c r="AE58" s="86">
        <f t="shared" si="10"/>
        <v>240.93999999999997</v>
      </c>
      <c r="AF58" s="86">
        <f t="shared" si="10"/>
        <v>240.93999999999997</v>
      </c>
      <c r="AG58" s="101">
        <f t="shared" si="10"/>
        <v>489.91</v>
      </c>
      <c r="AH58" s="20">
        <f t="shared" si="2"/>
        <v>248.73999999999995</v>
      </c>
      <c r="AI58" s="19">
        <f t="shared" si="3"/>
        <v>223.54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>
        <v>0</v>
      </c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>
        <v>0</v>
      </c>
      <c r="Z59" s="105">
        <v>0</v>
      </c>
      <c r="AA59" s="105">
        <v>0</v>
      </c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07">
        <v>0</v>
      </c>
      <c r="Y61" s="107">
        <v>0</v>
      </c>
      <c r="Z61" s="107">
        <v>0</v>
      </c>
      <c r="AA61" s="107">
        <v>0</v>
      </c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" si="12">SUM(B59:B61)</f>
        <v>0</v>
      </c>
      <c r="C62" s="86">
        <f t="shared" ref="C62:AG62" si="13">SUM(C59:C61)</f>
        <v>0</v>
      </c>
      <c r="D62" s="86">
        <f t="shared" si="13"/>
        <v>0</v>
      </c>
      <c r="E62" s="86">
        <f t="shared" si="13"/>
        <v>0</v>
      </c>
      <c r="F62" s="86">
        <f t="shared" si="13"/>
        <v>0</v>
      </c>
      <c r="G62" s="86">
        <f t="shared" si="13"/>
        <v>0</v>
      </c>
      <c r="H62" s="86">
        <f t="shared" si="13"/>
        <v>0</v>
      </c>
      <c r="I62" s="86">
        <f t="shared" si="13"/>
        <v>0</v>
      </c>
      <c r="J62" s="86">
        <f t="shared" si="13"/>
        <v>0</v>
      </c>
      <c r="K62" s="86">
        <f t="shared" si="13"/>
        <v>0</v>
      </c>
      <c r="L62" s="86">
        <f t="shared" si="13"/>
        <v>0</v>
      </c>
      <c r="M62" s="86">
        <f t="shared" si="13"/>
        <v>0</v>
      </c>
      <c r="N62" s="86">
        <f t="shared" si="13"/>
        <v>0</v>
      </c>
      <c r="O62" s="86">
        <f t="shared" si="13"/>
        <v>0</v>
      </c>
      <c r="P62" s="86">
        <f t="shared" si="13"/>
        <v>0</v>
      </c>
      <c r="Q62" s="86">
        <f t="shared" si="13"/>
        <v>0</v>
      </c>
      <c r="R62" s="86">
        <f t="shared" si="13"/>
        <v>0</v>
      </c>
      <c r="S62" s="86">
        <f t="shared" si="13"/>
        <v>0</v>
      </c>
      <c r="T62" s="86">
        <f t="shared" si="13"/>
        <v>0</v>
      </c>
      <c r="U62" s="86">
        <f t="shared" si="13"/>
        <v>0</v>
      </c>
      <c r="V62" s="86">
        <f t="shared" si="13"/>
        <v>0</v>
      </c>
      <c r="W62" s="86">
        <f t="shared" si="13"/>
        <v>0</v>
      </c>
      <c r="X62" s="86">
        <f t="shared" si="13"/>
        <v>0</v>
      </c>
      <c r="Y62" s="86">
        <f t="shared" si="13"/>
        <v>0</v>
      </c>
      <c r="Z62" s="86">
        <f t="shared" si="13"/>
        <v>0</v>
      </c>
      <c r="AA62" s="86">
        <f t="shared" si="13"/>
        <v>0</v>
      </c>
      <c r="AB62" s="86">
        <f t="shared" si="13"/>
        <v>0</v>
      </c>
      <c r="AC62" s="86">
        <f t="shared" si="13"/>
        <v>0</v>
      </c>
      <c r="AD62" s="86">
        <f t="shared" si="13"/>
        <v>0</v>
      </c>
      <c r="AE62" s="86">
        <f t="shared" si="13"/>
        <v>0</v>
      </c>
      <c r="AF62" s="86">
        <f t="shared" si="13"/>
        <v>0</v>
      </c>
      <c r="AG62" s="101">
        <f t="shared" si="13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>
        <v>0</v>
      </c>
      <c r="S63" s="105">
        <v>0</v>
      </c>
      <c r="T63" s="105">
        <v>0</v>
      </c>
      <c r="U63" s="105">
        <v>0</v>
      </c>
      <c r="V63" s="105">
        <v>0</v>
      </c>
      <c r="W63" s="105">
        <v>0</v>
      </c>
      <c r="X63" s="105">
        <v>4.5</v>
      </c>
      <c r="Y63" s="105">
        <v>30.1</v>
      </c>
      <c r="Z63" s="105">
        <v>19.8</v>
      </c>
      <c r="AA63" s="105">
        <v>17.7</v>
      </c>
      <c r="AB63" s="105">
        <v>0</v>
      </c>
      <c r="AC63" s="105">
        <v>0</v>
      </c>
      <c r="AD63" s="105">
        <v>0</v>
      </c>
      <c r="AE63" s="105">
        <v>0</v>
      </c>
      <c r="AF63" s="105">
        <v>0</v>
      </c>
      <c r="AG63" s="96"/>
      <c r="AH63" s="20">
        <f t="shared" si="2"/>
        <v>30.1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-399.3</v>
      </c>
      <c r="C65" s="80">
        <v>-406.2</v>
      </c>
      <c r="D65" s="80">
        <v>-415.3</v>
      </c>
      <c r="E65" s="80">
        <v>-391</v>
      </c>
      <c r="F65" s="80">
        <v>-399</v>
      </c>
      <c r="G65" s="80">
        <v>-392</v>
      </c>
      <c r="H65" s="80">
        <v>-404</v>
      </c>
      <c r="I65" s="80">
        <v>-416</v>
      </c>
      <c r="J65" s="80">
        <v>-416</v>
      </c>
      <c r="K65" s="80">
        <v>-402.3</v>
      </c>
      <c r="L65" s="80">
        <v>-394</v>
      </c>
      <c r="M65" s="80">
        <v>-408</v>
      </c>
      <c r="N65" s="80">
        <v>-401.9</v>
      </c>
      <c r="O65" s="80">
        <v>-410.6</v>
      </c>
      <c r="P65" s="80">
        <v>-400.7</v>
      </c>
      <c r="Q65" s="80">
        <v>-413</v>
      </c>
      <c r="R65" s="80">
        <v>-408</v>
      </c>
      <c r="S65" s="80">
        <v>-371.1</v>
      </c>
      <c r="T65" s="80">
        <v>-409</v>
      </c>
      <c r="U65" s="80">
        <v>-413</v>
      </c>
      <c r="V65" s="80">
        <v>-400</v>
      </c>
      <c r="W65" s="80">
        <v>-400</v>
      </c>
      <c r="X65" s="80">
        <v>-360</v>
      </c>
      <c r="Y65" s="80">
        <v>-302</v>
      </c>
      <c r="Z65" s="80">
        <v>-330.5</v>
      </c>
      <c r="AA65" s="80">
        <v>-343.2</v>
      </c>
      <c r="AB65" s="80">
        <v>-374</v>
      </c>
      <c r="AC65" s="80">
        <v>-398.9</v>
      </c>
      <c r="AD65" s="80">
        <v>-392.6</v>
      </c>
      <c r="AE65" s="80">
        <v>-410</v>
      </c>
      <c r="AF65" s="80">
        <v>-415</v>
      </c>
      <c r="AG65" s="102"/>
      <c r="AH65" s="20">
        <f t="shared" si="2"/>
        <v>-302</v>
      </c>
      <c r="AI65" s="19">
        <f t="shared" si="3"/>
        <v>-416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" si="14">SUMIF(B63:B73,"&gt;0")</f>
        <v>0</v>
      </c>
      <c r="C74" s="86">
        <f t="shared" ref="C74:AF74" si="15">SUMIF(C63:C73,"&gt;0")</f>
        <v>0</v>
      </c>
      <c r="D74" s="86">
        <f t="shared" si="15"/>
        <v>0</v>
      </c>
      <c r="E74" s="86">
        <f t="shared" si="15"/>
        <v>0</v>
      </c>
      <c r="F74" s="86">
        <f t="shared" si="15"/>
        <v>0</v>
      </c>
      <c r="G74" s="86">
        <f t="shared" si="15"/>
        <v>0</v>
      </c>
      <c r="H74" s="86">
        <f t="shared" si="15"/>
        <v>0</v>
      </c>
      <c r="I74" s="86">
        <f t="shared" si="15"/>
        <v>0</v>
      </c>
      <c r="J74" s="86">
        <f t="shared" si="15"/>
        <v>0</v>
      </c>
      <c r="K74" s="86">
        <f t="shared" si="15"/>
        <v>0</v>
      </c>
      <c r="L74" s="86">
        <f t="shared" si="15"/>
        <v>0</v>
      </c>
      <c r="M74" s="86">
        <f t="shared" si="15"/>
        <v>0</v>
      </c>
      <c r="N74" s="86">
        <f t="shared" si="15"/>
        <v>0</v>
      </c>
      <c r="O74" s="86">
        <f t="shared" si="15"/>
        <v>0</v>
      </c>
      <c r="P74" s="86">
        <f t="shared" si="15"/>
        <v>0</v>
      </c>
      <c r="Q74" s="86">
        <f t="shared" si="15"/>
        <v>0</v>
      </c>
      <c r="R74" s="86">
        <f t="shared" si="15"/>
        <v>0</v>
      </c>
      <c r="S74" s="86">
        <f t="shared" si="15"/>
        <v>0</v>
      </c>
      <c r="T74" s="86">
        <f t="shared" si="15"/>
        <v>0</v>
      </c>
      <c r="U74" s="86">
        <f t="shared" si="15"/>
        <v>0</v>
      </c>
      <c r="V74" s="86">
        <f t="shared" si="15"/>
        <v>0</v>
      </c>
      <c r="W74" s="86">
        <f t="shared" si="15"/>
        <v>0</v>
      </c>
      <c r="X74" s="86">
        <f t="shared" si="15"/>
        <v>4.5</v>
      </c>
      <c r="Y74" s="86">
        <f t="shared" si="15"/>
        <v>30.1</v>
      </c>
      <c r="Z74" s="86">
        <f t="shared" si="15"/>
        <v>19.8</v>
      </c>
      <c r="AA74" s="86">
        <f t="shared" si="15"/>
        <v>17.7</v>
      </c>
      <c r="AB74" s="86">
        <f t="shared" si="15"/>
        <v>0</v>
      </c>
      <c r="AC74" s="86">
        <f t="shared" si="15"/>
        <v>0</v>
      </c>
      <c r="AD74" s="86">
        <f t="shared" si="15"/>
        <v>0</v>
      </c>
      <c r="AE74" s="86">
        <f t="shared" si="15"/>
        <v>0</v>
      </c>
      <c r="AF74" s="86">
        <f t="shared" si="15"/>
        <v>0</v>
      </c>
      <c r="AG74" s="85">
        <f>SUM(AG63:AG73)</f>
        <v>0</v>
      </c>
      <c r="AH74" s="20">
        <f t="shared" si="2"/>
        <v>30.1</v>
      </c>
      <c r="AI74" s="19">
        <f t="shared" si="3"/>
        <v>0</v>
      </c>
      <c r="AK74" s="41"/>
    </row>
    <row r="75" spans="1:37" x14ac:dyDescent="0.25">
      <c r="A75" s="97" t="s">
        <v>164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2">
        <v>14.4</v>
      </c>
      <c r="AH76" s="20">
        <f t="shared" ref="AH76:AH109" si="16">MAX(B76:AF76)</f>
        <v>0</v>
      </c>
      <c r="AI76" s="19">
        <f t="shared" ref="AI76:AI109" si="17">MIN(B76:AF76)</f>
        <v>0</v>
      </c>
      <c r="AK76" s="41"/>
    </row>
    <row r="77" spans="1:37" ht="15.75" thickBot="1" x14ac:dyDescent="0.3">
      <c r="A77" s="91" t="s">
        <v>162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89">
        <v>2</v>
      </c>
      <c r="AH77" s="20">
        <f t="shared" si="16"/>
        <v>0</v>
      </c>
      <c r="AI77" s="19">
        <f t="shared" si="17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16"/>
        <v>0</v>
      </c>
      <c r="AI78" s="19">
        <f t="shared" si="17"/>
        <v>0</v>
      </c>
    </row>
    <row r="79" spans="1:37" ht="15.75" thickBot="1" x14ac:dyDescent="0.3">
      <c r="A79" s="87" t="s">
        <v>160</v>
      </c>
      <c r="B79" s="98">
        <f t="shared" ref="B79" si="18">B40+B44+B62+B58+B74+B78</f>
        <v>1334.74</v>
      </c>
      <c r="C79" s="98">
        <f t="shared" ref="C79:AG79" si="19">C40+C44+C62+C58+C74+C78</f>
        <v>1302.74</v>
      </c>
      <c r="D79" s="98">
        <f t="shared" si="19"/>
        <v>1303.54</v>
      </c>
      <c r="E79" s="98">
        <f t="shared" si="19"/>
        <v>1265.94</v>
      </c>
      <c r="F79" s="98">
        <f t="shared" si="19"/>
        <v>1263.94</v>
      </c>
      <c r="G79" s="98">
        <f t="shared" si="19"/>
        <v>1263.94</v>
      </c>
      <c r="H79" s="98">
        <f t="shared" si="19"/>
        <v>1263.94</v>
      </c>
      <c r="I79" s="98">
        <f t="shared" si="19"/>
        <v>1284.94</v>
      </c>
      <c r="J79" s="98">
        <f t="shared" si="19"/>
        <v>1287.94</v>
      </c>
      <c r="K79" s="98">
        <f t="shared" si="19"/>
        <v>1304.94</v>
      </c>
      <c r="L79" s="98">
        <f t="shared" si="19"/>
        <v>1336.94</v>
      </c>
      <c r="M79" s="98">
        <f t="shared" si="19"/>
        <v>1369.24</v>
      </c>
      <c r="N79" s="98">
        <f t="shared" si="19"/>
        <v>1376.3400000000001</v>
      </c>
      <c r="O79" s="98">
        <f t="shared" si="19"/>
        <v>1380.3400000000001</v>
      </c>
      <c r="P79" s="98">
        <f t="shared" si="19"/>
        <v>1385.6399999999999</v>
      </c>
      <c r="Q79" s="98">
        <f t="shared" si="19"/>
        <v>1383.3400000000001</v>
      </c>
      <c r="R79" s="98">
        <f t="shared" si="19"/>
        <v>1346.54</v>
      </c>
      <c r="S79" s="98">
        <f t="shared" si="19"/>
        <v>1353.6399999999999</v>
      </c>
      <c r="T79" s="98">
        <f t="shared" si="19"/>
        <v>1365.04</v>
      </c>
      <c r="U79" s="98">
        <f t="shared" si="19"/>
        <v>1369.74</v>
      </c>
      <c r="V79" s="98">
        <f t="shared" si="19"/>
        <v>1365.24</v>
      </c>
      <c r="W79" s="98">
        <f t="shared" si="19"/>
        <v>1375.8400000000001</v>
      </c>
      <c r="X79" s="98">
        <f t="shared" si="19"/>
        <v>1474.04</v>
      </c>
      <c r="Y79" s="98">
        <f t="shared" si="19"/>
        <v>1578.34</v>
      </c>
      <c r="Z79" s="98">
        <f t="shared" si="19"/>
        <v>1567.54</v>
      </c>
      <c r="AA79" s="98">
        <f t="shared" si="19"/>
        <v>1565.44</v>
      </c>
      <c r="AB79" s="98">
        <f t="shared" si="19"/>
        <v>1568.34</v>
      </c>
      <c r="AC79" s="98">
        <f t="shared" si="19"/>
        <v>1568.1399999999999</v>
      </c>
      <c r="AD79" s="98">
        <f t="shared" si="19"/>
        <v>1567.94</v>
      </c>
      <c r="AE79" s="98">
        <f t="shared" si="19"/>
        <v>1493.54</v>
      </c>
      <c r="AF79" s="98">
        <f t="shared" si="19"/>
        <v>1436.04</v>
      </c>
      <c r="AG79" s="101">
        <f t="shared" si="19"/>
        <v>1897.1900000000003</v>
      </c>
      <c r="AH79" s="20">
        <f t="shared" si="16"/>
        <v>1578.34</v>
      </c>
      <c r="AI79" s="19">
        <f t="shared" si="17"/>
        <v>1263.94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16"/>
        <v>0</v>
      </c>
      <c r="AI80" s="19">
        <f t="shared" si="17"/>
        <v>0</v>
      </c>
    </row>
    <row r="81" spans="1:37" ht="15.75" thickBot="1" x14ac:dyDescent="0.3">
      <c r="A81" s="87" t="s">
        <v>158</v>
      </c>
      <c r="B81" s="98">
        <f t="shared" ref="B81" si="20">B79+B80</f>
        <v>1334.74</v>
      </c>
      <c r="C81" s="98">
        <f t="shared" ref="C81:AF81" si="21">C79+C80</f>
        <v>1302.74</v>
      </c>
      <c r="D81" s="98">
        <f t="shared" si="21"/>
        <v>1303.54</v>
      </c>
      <c r="E81" s="98">
        <f t="shared" si="21"/>
        <v>1265.94</v>
      </c>
      <c r="F81" s="98">
        <f t="shared" si="21"/>
        <v>1263.94</v>
      </c>
      <c r="G81" s="98">
        <f t="shared" si="21"/>
        <v>1263.94</v>
      </c>
      <c r="H81" s="98">
        <f t="shared" si="21"/>
        <v>1263.94</v>
      </c>
      <c r="I81" s="98">
        <f t="shared" si="21"/>
        <v>1284.94</v>
      </c>
      <c r="J81" s="98">
        <f t="shared" si="21"/>
        <v>1287.94</v>
      </c>
      <c r="K81" s="98">
        <f t="shared" si="21"/>
        <v>1304.94</v>
      </c>
      <c r="L81" s="98">
        <f t="shared" si="21"/>
        <v>1336.94</v>
      </c>
      <c r="M81" s="98">
        <f t="shared" si="21"/>
        <v>1369.24</v>
      </c>
      <c r="N81" s="98">
        <f t="shared" si="21"/>
        <v>1376.3400000000001</v>
      </c>
      <c r="O81" s="98">
        <f t="shared" si="21"/>
        <v>1380.3400000000001</v>
      </c>
      <c r="P81" s="98">
        <f t="shared" si="21"/>
        <v>1385.6399999999999</v>
      </c>
      <c r="Q81" s="98">
        <f t="shared" si="21"/>
        <v>1383.3400000000001</v>
      </c>
      <c r="R81" s="98">
        <f t="shared" si="21"/>
        <v>1346.54</v>
      </c>
      <c r="S81" s="98">
        <f t="shared" si="21"/>
        <v>1353.6399999999999</v>
      </c>
      <c r="T81" s="98">
        <f t="shared" si="21"/>
        <v>1365.04</v>
      </c>
      <c r="U81" s="98">
        <f t="shared" si="21"/>
        <v>1369.74</v>
      </c>
      <c r="V81" s="98">
        <f t="shared" si="21"/>
        <v>1365.24</v>
      </c>
      <c r="W81" s="98">
        <f t="shared" si="21"/>
        <v>1375.8400000000001</v>
      </c>
      <c r="X81" s="98">
        <f t="shared" si="21"/>
        <v>1474.04</v>
      </c>
      <c r="Y81" s="98">
        <f t="shared" si="21"/>
        <v>1578.34</v>
      </c>
      <c r="Z81" s="98">
        <f t="shared" si="21"/>
        <v>1567.54</v>
      </c>
      <c r="AA81" s="98">
        <f t="shared" si="21"/>
        <v>1565.44</v>
      </c>
      <c r="AB81" s="98">
        <f t="shared" si="21"/>
        <v>1568.34</v>
      </c>
      <c r="AC81" s="98">
        <f t="shared" si="21"/>
        <v>1568.1399999999999</v>
      </c>
      <c r="AD81" s="98">
        <f t="shared" si="21"/>
        <v>1567.94</v>
      </c>
      <c r="AE81" s="98">
        <f t="shared" si="21"/>
        <v>1493.54</v>
      </c>
      <c r="AF81" s="98">
        <f t="shared" si="21"/>
        <v>1436.04</v>
      </c>
      <c r="AG81" s="85">
        <f>AG78+AG74+AG62+AG58+AG40+AG80</f>
        <v>1359.0900000000001</v>
      </c>
      <c r="AH81" s="20">
        <f t="shared" si="16"/>
        <v>1578.34</v>
      </c>
      <c r="AI81" s="19">
        <f t="shared" si="17"/>
        <v>1263.94</v>
      </c>
    </row>
    <row r="82" spans="1:37" ht="15.75" thickBot="1" x14ac:dyDescent="0.3">
      <c r="A82" s="87" t="s">
        <v>157</v>
      </c>
      <c r="B82" s="98">
        <f t="shared" ref="B82" si="22">B81-B89</f>
        <v>935.44</v>
      </c>
      <c r="C82" s="98">
        <f t="shared" ref="C82:AF82" si="23">C81-C89</f>
        <v>896.54</v>
      </c>
      <c r="D82" s="98">
        <f t="shared" si="23"/>
        <v>888.24</v>
      </c>
      <c r="E82" s="98">
        <f t="shared" si="23"/>
        <v>874.94</v>
      </c>
      <c r="F82" s="98">
        <f t="shared" si="23"/>
        <v>864.94</v>
      </c>
      <c r="G82" s="98">
        <f t="shared" si="23"/>
        <v>871.94</v>
      </c>
      <c r="H82" s="98">
        <f t="shared" si="23"/>
        <v>859.94</v>
      </c>
      <c r="I82" s="98">
        <f t="shared" si="23"/>
        <v>868.94</v>
      </c>
      <c r="J82" s="98">
        <f t="shared" si="23"/>
        <v>871.94</v>
      </c>
      <c r="K82" s="98">
        <f t="shared" si="23"/>
        <v>902.6400000000001</v>
      </c>
      <c r="L82" s="98">
        <f t="shared" si="23"/>
        <v>942.94</v>
      </c>
      <c r="M82" s="98">
        <f t="shared" si="23"/>
        <v>961.24</v>
      </c>
      <c r="N82" s="98">
        <f t="shared" si="23"/>
        <v>974.44000000000017</v>
      </c>
      <c r="O82" s="98">
        <f t="shared" si="23"/>
        <v>969.74000000000012</v>
      </c>
      <c r="P82" s="98">
        <f t="shared" si="23"/>
        <v>984.93999999999983</v>
      </c>
      <c r="Q82" s="98">
        <f t="shared" si="23"/>
        <v>970.34000000000015</v>
      </c>
      <c r="R82" s="98">
        <f t="shared" si="23"/>
        <v>938.54</v>
      </c>
      <c r="S82" s="98">
        <f t="shared" si="23"/>
        <v>982.53999999999985</v>
      </c>
      <c r="T82" s="98">
        <f t="shared" si="23"/>
        <v>956.04</v>
      </c>
      <c r="U82" s="98">
        <f t="shared" si="23"/>
        <v>956.74</v>
      </c>
      <c r="V82" s="98">
        <f t="shared" si="23"/>
        <v>965.24</v>
      </c>
      <c r="W82" s="98">
        <f t="shared" si="23"/>
        <v>975.84000000000015</v>
      </c>
      <c r="X82" s="98">
        <f t="shared" si="23"/>
        <v>1114.04</v>
      </c>
      <c r="Y82" s="98">
        <f t="shared" si="23"/>
        <v>1276.3399999999999</v>
      </c>
      <c r="Z82" s="98">
        <f t="shared" si="23"/>
        <v>1237.04</v>
      </c>
      <c r="AA82" s="98">
        <f t="shared" si="23"/>
        <v>1222.24</v>
      </c>
      <c r="AB82" s="98">
        <f t="shared" si="23"/>
        <v>1194.3399999999999</v>
      </c>
      <c r="AC82" s="98">
        <f t="shared" si="23"/>
        <v>1169.2399999999998</v>
      </c>
      <c r="AD82" s="98">
        <f t="shared" si="23"/>
        <v>1175.3400000000001</v>
      </c>
      <c r="AE82" s="98">
        <f t="shared" si="23"/>
        <v>1083.54</v>
      </c>
      <c r="AF82" s="98">
        <f t="shared" si="23"/>
        <v>1021.04</v>
      </c>
      <c r="AG82" s="85"/>
      <c r="AH82" s="20">
        <f t="shared" si="16"/>
        <v>1276.3399999999999</v>
      </c>
      <c r="AI82" s="19">
        <f t="shared" si="17"/>
        <v>859.94</v>
      </c>
    </row>
    <row r="83" spans="1:37" x14ac:dyDescent="0.25">
      <c r="A83" s="97" t="s">
        <v>156</v>
      </c>
      <c r="B83" s="93">
        <f t="shared" ref="B83" si="24">IF(B66&lt;0,B66*-1,0)</f>
        <v>0</v>
      </c>
      <c r="C83" s="93">
        <f t="shared" ref="C83:AF83" si="25">IF(C66&lt;0,C66*-1,0)</f>
        <v>0</v>
      </c>
      <c r="D83" s="93">
        <f t="shared" si="25"/>
        <v>0</v>
      </c>
      <c r="E83" s="93">
        <f t="shared" si="25"/>
        <v>0</v>
      </c>
      <c r="F83" s="93">
        <f t="shared" si="25"/>
        <v>0</v>
      </c>
      <c r="G83" s="93">
        <f t="shared" si="25"/>
        <v>0</v>
      </c>
      <c r="H83" s="93">
        <f t="shared" si="25"/>
        <v>0</v>
      </c>
      <c r="I83" s="93">
        <f t="shared" si="25"/>
        <v>0</v>
      </c>
      <c r="J83" s="93">
        <f t="shared" si="25"/>
        <v>0</v>
      </c>
      <c r="K83" s="93">
        <f t="shared" si="25"/>
        <v>0</v>
      </c>
      <c r="L83" s="93">
        <f t="shared" si="25"/>
        <v>0</v>
      </c>
      <c r="M83" s="93">
        <f t="shared" si="25"/>
        <v>0</v>
      </c>
      <c r="N83" s="93">
        <f t="shared" si="25"/>
        <v>0</v>
      </c>
      <c r="O83" s="93">
        <f t="shared" si="25"/>
        <v>0</v>
      </c>
      <c r="P83" s="93">
        <f t="shared" si="25"/>
        <v>0</v>
      </c>
      <c r="Q83" s="93">
        <f t="shared" si="25"/>
        <v>0</v>
      </c>
      <c r="R83" s="93">
        <f t="shared" si="25"/>
        <v>0</v>
      </c>
      <c r="S83" s="93">
        <f t="shared" si="25"/>
        <v>0</v>
      </c>
      <c r="T83" s="93">
        <f t="shared" si="25"/>
        <v>0</v>
      </c>
      <c r="U83" s="93">
        <f t="shared" si="25"/>
        <v>0</v>
      </c>
      <c r="V83" s="93">
        <f t="shared" si="25"/>
        <v>0</v>
      </c>
      <c r="W83" s="93">
        <f t="shared" si="25"/>
        <v>0</v>
      </c>
      <c r="X83" s="93">
        <f t="shared" si="25"/>
        <v>0</v>
      </c>
      <c r="Y83" s="93">
        <f t="shared" si="25"/>
        <v>0</v>
      </c>
      <c r="Z83" s="93">
        <f t="shared" si="25"/>
        <v>0</v>
      </c>
      <c r="AA83" s="93">
        <f t="shared" si="25"/>
        <v>0</v>
      </c>
      <c r="AB83" s="93">
        <f t="shared" si="25"/>
        <v>0</v>
      </c>
      <c r="AC83" s="93">
        <f t="shared" si="25"/>
        <v>0</v>
      </c>
      <c r="AD83" s="93">
        <f t="shared" si="25"/>
        <v>0</v>
      </c>
      <c r="AE83" s="93">
        <f t="shared" si="25"/>
        <v>0</v>
      </c>
      <c r="AF83" s="93">
        <f t="shared" si="25"/>
        <v>0</v>
      </c>
      <c r="AG83" s="96"/>
      <c r="AH83" s="20">
        <f t="shared" si="16"/>
        <v>0</v>
      </c>
      <c r="AI83" s="19">
        <f t="shared" si="17"/>
        <v>0</v>
      </c>
    </row>
    <row r="84" spans="1:37" x14ac:dyDescent="0.25">
      <c r="A84" s="95" t="s">
        <v>155</v>
      </c>
      <c r="B84" s="93">
        <f t="shared" ref="B84" si="26">IF(B64&lt;0,B64*-1,0)</f>
        <v>0</v>
      </c>
      <c r="C84" s="93">
        <f t="shared" ref="C84:AF84" si="27">IF(C64&lt;0,C64*-1,0)</f>
        <v>0</v>
      </c>
      <c r="D84" s="93">
        <f t="shared" si="27"/>
        <v>0</v>
      </c>
      <c r="E84" s="93">
        <f t="shared" si="27"/>
        <v>0</v>
      </c>
      <c r="F84" s="93">
        <f t="shared" si="27"/>
        <v>0</v>
      </c>
      <c r="G84" s="93">
        <f t="shared" si="27"/>
        <v>0</v>
      </c>
      <c r="H84" s="93">
        <f t="shared" si="27"/>
        <v>0</v>
      </c>
      <c r="I84" s="93">
        <f t="shared" si="27"/>
        <v>0</v>
      </c>
      <c r="J84" s="93">
        <f t="shared" si="27"/>
        <v>0</v>
      </c>
      <c r="K84" s="93">
        <f t="shared" si="27"/>
        <v>0</v>
      </c>
      <c r="L84" s="93">
        <f t="shared" si="27"/>
        <v>0</v>
      </c>
      <c r="M84" s="93">
        <f t="shared" si="27"/>
        <v>0</v>
      </c>
      <c r="N84" s="93">
        <f t="shared" si="27"/>
        <v>0</v>
      </c>
      <c r="O84" s="93">
        <f t="shared" si="27"/>
        <v>0</v>
      </c>
      <c r="P84" s="93">
        <f t="shared" si="27"/>
        <v>0</v>
      </c>
      <c r="Q84" s="93">
        <f t="shared" si="27"/>
        <v>0</v>
      </c>
      <c r="R84" s="93">
        <f t="shared" si="27"/>
        <v>0</v>
      </c>
      <c r="S84" s="93">
        <f t="shared" si="27"/>
        <v>0</v>
      </c>
      <c r="T84" s="93">
        <f t="shared" si="27"/>
        <v>0</v>
      </c>
      <c r="U84" s="93">
        <f t="shared" si="27"/>
        <v>0</v>
      </c>
      <c r="V84" s="93">
        <f t="shared" si="27"/>
        <v>0</v>
      </c>
      <c r="W84" s="93">
        <f t="shared" si="27"/>
        <v>0</v>
      </c>
      <c r="X84" s="93">
        <f t="shared" si="27"/>
        <v>0</v>
      </c>
      <c r="Y84" s="93">
        <f t="shared" si="27"/>
        <v>0</v>
      </c>
      <c r="Z84" s="93">
        <f t="shared" si="27"/>
        <v>0</v>
      </c>
      <c r="AA84" s="93">
        <f t="shared" si="27"/>
        <v>0</v>
      </c>
      <c r="AB84" s="93">
        <f t="shared" si="27"/>
        <v>0</v>
      </c>
      <c r="AC84" s="93">
        <f t="shared" si="27"/>
        <v>0</v>
      </c>
      <c r="AD84" s="93">
        <f t="shared" si="27"/>
        <v>0</v>
      </c>
      <c r="AE84" s="93">
        <f t="shared" si="27"/>
        <v>0</v>
      </c>
      <c r="AF84" s="93">
        <f t="shared" si="27"/>
        <v>0</v>
      </c>
      <c r="AG84" s="94"/>
      <c r="AH84" s="20">
        <f t="shared" si="16"/>
        <v>0</v>
      </c>
      <c r="AI84" s="19">
        <f t="shared" si="17"/>
        <v>0</v>
      </c>
    </row>
    <row r="85" spans="1:37" x14ac:dyDescent="0.25">
      <c r="A85" s="91" t="s">
        <v>154</v>
      </c>
      <c r="B85" s="93">
        <f t="shared" ref="B85" si="28">IF(B67&lt;0,B67*-1,0)</f>
        <v>0</v>
      </c>
      <c r="C85" s="93">
        <f t="shared" ref="C85:AF85" si="29">IF(C67&lt;0,C67*-1,0)</f>
        <v>0</v>
      </c>
      <c r="D85" s="93">
        <f t="shared" si="29"/>
        <v>0</v>
      </c>
      <c r="E85" s="93">
        <f t="shared" si="29"/>
        <v>0</v>
      </c>
      <c r="F85" s="93">
        <f t="shared" si="29"/>
        <v>0</v>
      </c>
      <c r="G85" s="93">
        <f t="shared" si="29"/>
        <v>0</v>
      </c>
      <c r="H85" s="93">
        <f t="shared" si="29"/>
        <v>0</v>
      </c>
      <c r="I85" s="93">
        <f t="shared" si="29"/>
        <v>0</v>
      </c>
      <c r="J85" s="93">
        <f t="shared" si="29"/>
        <v>0</v>
      </c>
      <c r="K85" s="93">
        <f t="shared" si="29"/>
        <v>0</v>
      </c>
      <c r="L85" s="93">
        <f t="shared" si="29"/>
        <v>0</v>
      </c>
      <c r="M85" s="93">
        <f t="shared" si="29"/>
        <v>0</v>
      </c>
      <c r="N85" s="93">
        <f t="shared" si="29"/>
        <v>0</v>
      </c>
      <c r="O85" s="93">
        <f t="shared" si="29"/>
        <v>0</v>
      </c>
      <c r="P85" s="93">
        <f t="shared" si="29"/>
        <v>0</v>
      </c>
      <c r="Q85" s="93">
        <f t="shared" si="29"/>
        <v>0</v>
      </c>
      <c r="R85" s="93">
        <f t="shared" si="29"/>
        <v>0</v>
      </c>
      <c r="S85" s="93">
        <f t="shared" si="29"/>
        <v>0</v>
      </c>
      <c r="T85" s="93">
        <f t="shared" si="29"/>
        <v>0</v>
      </c>
      <c r="U85" s="93">
        <f t="shared" si="29"/>
        <v>0</v>
      </c>
      <c r="V85" s="93">
        <f t="shared" si="29"/>
        <v>0</v>
      </c>
      <c r="W85" s="93">
        <f t="shared" si="29"/>
        <v>0</v>
      </c>
      <c r="X85" s="93">
        <f t="shared" si="29"/>
        <v>0</v>
      </c>
      <c r="Y85" s="93">
        <f t="shared" si="29"/>
        <v>0</v>
      </c>
      <c r="Z85" s="93">
        <f t="shared" si="29"/>
        <v>0</v>
      </c>
      <c r="AA85" s="93">
        <f t="shared" si="29"/>
        <v>0</v>
      </c>
      <c r="AB85" s="93">
        <f t="shared" si="29"/>
        <v>0</v>
      </c>
      <c r="AC85" s="93">
        <f t="shared" si="29"/>
        <v>0</v>
      </c>
      <c r="AD85" s="93">
        <f t="shared" si="29"/>
        <v>0</v>
      </c>
      <c r="AE85" s="93">
        <f t="shared" si="29"/>
        <v>0</v>
      </c>
      <c r="AF85" s="93">
        <f t="shared" si="29"/>
        <v>0</v>
      </c>
      <c r="AG85" s="92"/>
      <c r="AH85" s="20">
        <f t="shared" si="16"/>
        <v>0</v>
      </c>
      <c r="AI85" s="19">
        <f t="shared" si="17"/>
        <v>0</v>
      </c>
    </row>
    <row r="86" spans="1:37" x14ac:dyDescent="0.25">
      <c r="A86" s="91" t="s">
        <v>153</v>
      </c>
      <c r="B86" s="93">
        <f t="shared" ref="B86" si="30">IF(B65&lt;0,B65*-1,0)</f>
        <v>399.3</v>
      </c>
      <c r="C86" s="93">
        <f t="shared" ref="C86:AF86" si="31">IF(C65&lt;0,C65*-1,0)</f>
        <v>406.2</v>
      </c>
      <c r="D86" s="93">
        <f t="shared" si="31"/>
        <v>415.3</v>
      </c>
      <c r="E86" s="93">
        <f t="shared" si="31"/>
        <v>391</v>
      </c>
      <c r="F86" s="93">
        <f t="shared" si="31"/>
        <v>399</v>
      </c>
      <c r="G86" s="93">
        <f t="shared" si="31"/>
        <v>392</v>
      </c>
      <c r="H86" s="93">
        <f t="shared" si="31"/>
        <v>404</v>
      </c>
      <c r="I86" s="93">
        <f t="shared" si="31"/>
        <v>416</v>
      </c>
      <c r="J86" s="93">
        <f t="shared" si="31"/>
        <v>416</v>
      </c>
      <c r="K86" s="93">
        <f t="shared" si="31"/>
        <v>402.3</v>
      </c>
      <c r="L86" s="93">
        <f t="shared" si="31"/>
        <v>394</v>
      </c>
      <c r="M86" s="93">
        <f t="shared" si="31"/>
        <v>408</v>
      </c>
      <c r="N86" s="93">
        <f t="shared" si="31"/>
        <v>401.9</v>
      </c>
      <c r="O86" s="93">
        <f t="shared" si="31"/>
        <v>410.6</v>
      </c>
      <c r="P86" s="93">
        <f t="shared" si="31"/>
        <v>400.7</v>
      </c>
      <c r="Q86" s="93">
        <f t="shared" si="31"/>
        <v>413</v>
      </c>
      <c r="R86" s="93">
        <f t="shared" si="31"/>
        <v>408</v>
      </c>
      <c r="S86" s="93">
        <f t="shared" si="31"/>
        <v>371.1</v>
      </c>
      <c r="T86" s="93">
        <f t="shared" si="31"/>
        <v>409</v>
      </c>
      <c r="U86" s="93">
        <f t="shared" si="31"/>
        <v>413</v>
      </c>
      <c r="V86" s="93">
        <f t="shared" si="31"/>
        <v>400</v>
      </c>
      <c r="W86" s="93">
        <f t="shared" si="31"/>
        <v>400</v>
      </c>
      <c r="X86" s="93">
        <f t="shared" si="31"/>
        <v>360</v>
      </c>
      <c r="Y86" s="93">
        <f t="shared" si="31"/>
        <v>302</v>
      </c>
      <c r="Z86" s="93">
        <f t="shared" si="31"/>
        <v>330.5</v>
      </c>
      <c r="AA86" s="93">
        <f t="shared" si="31"/>
        <v>343.2</v>
      </c>
      <c r="AB86" s="93">
        <f t="shared" si="31"/>
        <v>374</v>
      </c>
      <c r="AC86" s="93">
        <f t="shared" si="31"/>
        <v>398.9</v>
      </c>
      <c r="AD86" s="93">
        <f t="shared" si="31"/>
        <v>392.6</v>
      </c>
      <c r="AE86" s="93">
        <f t="shared" si="31"/>
        <v>410</v>
      </c>
      <c r="AF86" s="93">
        <f t="shared" si="31"/>
        <v>415</v>
      </c>
      <c r="AG86" s="92"/>
      <c r="AH86" s="20">
        <f t="shared" si="16"/>
        <v>416</v>
      </c>
      <c r="AI86" s="19">
        <f t="shared" si="17"/>
        <v>302</v>
      </c>
    </row>
    <row r="87" spans="1:37" x14ac:dyDescent="0.25">
      <c r="A87" s="91" t="s">
        <v>152</v>
      </c>
      <c r="B87" s="93">
        <f t="shared" ref="B87" si="32">IF(B63&lt;0,B63*-1,0)</f>
        <v>0</v>
      </c>
      <c r="C87" s="93">
        <f t="shared" ref="C87:AF87" si="33">IF(C63&lt;0,C63*-1,0)</f>
        <v>0</v>
      </c>
      <c r="D87" s="93">
        <f t="shared" si="33"/>
        <v>0</v>
      </c>
      <c r="E87" s="93">
        <f t="shared" si="33"/>
        <v>0</v>
      </c>
      <c r="F87" s="93">
        <f t="shared" si="33"/>
        <v>0</v>
      </c>
      <c r="G87" s="93">
        <f t="shared" si="33"/>
        <v>0</v>
      </c>
      <c r="H87" s="93">
        <f t="shared" si="33"/>
        <v>0</v>
      </c>
      <c r="I87" s="93">
        <f t="shared" si="33"/>
        <v>0</v>
      </c>
      <c r="J87" s="93">
        <f t="shared" si="33"/>
        <v>0</v>
      </c>
      <c r="K87" s="93">
        <f t="shared" si="33"/>
        <v>0</v>
      </c>
      <c r="L87" s="93">
        <f t="shared" si="33"/>
        <v>0</v>
      </c>
      <c r="M87" s="93">
        <f t="shared" si="33"/>
        <v>0</v>
      </c>
      <c r="N87" s="93">
        <f t="shared" si="33"/>
        <v>0</v>
      </c>
      <c r="O87" s="93">
        <f t="shared" si="33"/>
        <v>0</v>
      </c>
      <c r="P87" s="93">
        <f t="shared" si="33"/>
        <v>0</v>
      </c>
      <c r="Q87" s="93">
        <f t="shared" si="33"/>
        <v>0</v>
      </c>
      <c r="R87" s="93">
        <f t="shared" si="33"/>
        <v>0</v>
      </c>
      <c r="S87" s="93">
        <f t="shared" si="33"/>
        <v>0</v>
      </c>
      <c r="T87" s="93">
        <f t="shared" si="33"/>
        <v>0</v>
      </c>
      <c r="U87" s="93">
        <f t="shared" si="33"/>
        <v>0</v>
      </c>
      <c r="V87" s="93">
        <f t="shared" si="33"/>
        <v>0</v>
      </c>
      <c r="W87" s="93">
        <f t="shared" si="33"/>
        <v>0</v>
      </c>
      <c r="X87" s="93">
        <f t="shared" si="33"/>
        <v>0</v>
      </c>
      <c r="Y87" s="93">
        <f t="shared" si="33"/>
        <v>0</v>
      </c>
      <c r="Z87" s="93">
        <f t="shared" si="33"/>
        <v>0</v>
      </c>
      <c r="AA87" s="93">
        <f t="shared" si="33"/>
        <v>0</v>
      </c>
      <c r="AB87" s="93">
        <f t="shared" si="33"/>
        <v>0</v>
      </c>
      <c r="AC87" s="93">
        <f t="shared" si="33"/>
        <v>0</v>
      </c>
      <c r="AD87" s="93">
        <f t="shared" si="33"/>
        <v>0</v>
      </c>
      <c r="AE87" s="93">
        <f t="shared" si="33"/>
        <v>0</v>
      </c>
      <c r="AF87" s="93">
        <f t="shared" si="33"/>
        <v>0</v>
      </c>
      <c r="AG87" s="92"/>
      <c r="AH87" s="20">
        <f t="shared" si="16"/>
        <v>0</v>
      </c>
      <c r="AI87" s="19">
        <f t="shared" si="17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16"/>
        <v>0</v>
      </c>
      <c r="AI88" s="19">
        <f t="shared" si="17"/>
        <v>0</v>
      </c>
    </row>
    <row r="89" spans="1:37" ht="15.75" thickBot="1" x14ac:dyDescent="0.3">
      <c r="A89" s="88" t="s">
        <v>150</v>
      </c>
      <c r="B89" s="86">
        <f t="shared" ref="B89" si="34">SUM(B83:B88)</f>
        <v>399.3</v>
      </c>
      <c r="C89" s="86">
        <f t="shared" ref="C89:AF89" si="35">SUM(C83:C88)</f>
        <v>406.2</v>
      </c>
      <c r="D89" s="86">
        <f t="shared" si="35"/>
        <v>415.3</v>
      </c>
      <c r="E89" s="86">
        <f t="shared" si="35"/>
        <v>391</v>
      </c>
      <c r="F89" s="86">
        <f t="shared" si="35"/>
        <v>399</v>
      </c>
      <c r="G89" s="86">
        <f t="shared" si="35"/>
        <v>392</v>
      </c>
      <c r="H89" s="86">
        <f t="shared" si="35"/>
        <v>404</v>
      </c>
      <c r="I89" s="86">
        <f t="shared" si="35"/>
        <v>416</v>
      </c>
      <c r="J89" s="86">
        <f t="shared" si="35"/>
        <v>416</v>
      </c>
      <c r="K89" s="86">
        <f t="shared" si="35"/>
        <v>402.3</v>
      </c>
      <c r="L89" s="86">
        <f t="shared" si="35"/>
        <v>394</v>
      </c>
      <c r="M89" s="86">
        <f t="shared" si="35"/>
        <v>408</v>
      </c>
      <c r="N89" s="86">
        <f t="shared" si="35"/>
        <v>401.9</v>
      </c>
      <c r="O89" s="86">
        <f t="shared" si="35"/>
        <v>410.6</v>
      </c>
      <c r="P89" s="86">
        <f t="shared" si="35"/>
        <v>400.7</v>
      </c>
      <c r="Q89" s="86">
        <f t="shared" si="35"/>
        <v>413</v>
      </c>
      <c r="R89" s="86">
        <f t="shared" si="35"/>
        <v>408</v>
      </c>
      <c r="S89" s="86">
        <f t="shared" si="35"/>
        <v>371.1</v>
      </c>
      <c r="T89" s="86">
        <f t="shared" si="35"/>
        <v>409</v>
      </c>
      <c r="U89" s="86">
        <f t="shared" si="35"/>
        <v>413</v>
      </c>
      <c r="V89" s="86">
        <f t="shared" si="35"/>
        <v>400</v>
      </c>
      <c r="W89" s="86">
        <f t="shared" si="35"/>
        <v>400</v>
      </c>
      <c r="X89" s="86">
        <f t="shared" si="35"/>
        <v>360</v>
      </c>
      <c r="Y89" s="86">
        <f t="shared" si="35"/>
        <v>302</v>
      </c>
      <c r="Z89" s="86">
        <f t="shared" si="35"/>
        <v>330.5</v>
      </c>
      <c r="AA89" s="86">
        <f t="shared" si="35"/>
        <v>343.2</v>
      </c>
      <c r="AB89" s="86">
        <f t="shared" si="35"/>
        <v>374</v>
      </c>
      <c r="AC89" s="86">
        <f t="shared" si="35"/>
        <v>398.9</v>
      </c>
      <c r="AD89" s="86">
        <f t="shared" si="35"/>
        <v>392.6</v>
      </c>
      <c r="AE89" s="86">
        <f t="shared" si="35"/>
        <v>410</v>
      </c>
      <c r="AF89" s="86">
        <f t="shared" si="35"/>
        <v>415</v>
      </c>
      <c r="AG89" s="85"/>
      <c r="AH89" s="20">
        <f t="shared" si="16"/>
        <v>416</v>
      </c>
      <c r="AI89" s="19">
        <f t="shared" si="17"/>
        <v>302</v>
      </c>
      <c r="AK89" s="41"/>
    </row>
    <row r="90" spans="1:37" ht="15.75" thickBot="1" x14ac:dyDescent="0.3">
      <c r="A90" s="87" t="s">
        <v>149</v>
      </c>
      <c r="B90" s="86">
        <f t="shared" ref="B90" si="36">B74-B89</f>
        <v>-399.3</v>
      </c>
      <c r="C90" s="86">
        <f t="shared" ref="C90:AF90" si="37">C74-C89</f>
        <v>-406.2</v>
      </c>
      <c r="D90" s="86">
        <f t="shared" si="37"/>
        <v>-415.3</v>
      </c>
      <c r="E90" s="86">
        <f t="shared" si="37"/>
        <v>-391</v>
      </c>
      <c r="F90" s="86">
        <f t="shared" si="37"/>
        <v>-399</v>
      </c>
      <c r="G90" s="86">
        <f t="shared" si="37"/>
        <v>-392</v>
      </c>
      <c r="H90" s="86">
        <f t="shared" si="37"/>
        <v>-404</v>
      </c>
      <c r="I90" s="86">
        <f t="shared" si="37"/>
        <v>-416</v>
      </c>
      <c r="J90" s="86">
        <f t="shared" si="37"/>
        <v>-416</v>
      </c>
      <c r="K90" s="86">
        <f t="shared" si="37"/>
        <v>-402.3</v>
      </c>
      <c r="L90" s="86">
        <f t="shared" si="37"/>
        <v>-394</v>
      </c>
      <c r="M90" s="86">
        <f t="shared" si="37"/>
        <v>-408</v>
      </c>
      <c r="N90" s="86">
        <f t="shared" si="37"/>
        <v>-401.9</v>
      </c>
      <c r="O90" s="86">
        <f t="shared" si="37"/>
        <v>-410.6</v>
      </c>
      <c r="P90" s="86">
        <f t="shared" si="37"/>
        <v>-400.7</v>
      </c>
      <c r="Q90" s="86">
        <f t="shared" si="37"/>
        <v>-413</v>
      </c>
      <c r="R90" s="86">
        <f t="shared" si="37"/>
        <v>-408</v>
      </c>
      <c r="S90" s="86">
        <f t="shared" si="37"/>
        <v>-371.1</v>
      </c>
      <c r="T90" s="86">
        <f t="shared" si="37"/>
        <v>-409</v>
      </c>
      <c r="U90" s="86">
        <f t="shared" si="37"/>
        <v>-413</v>
      </c>
      <c r="V90" s="86">
        <f t="shared" si="37"/>
        <v>-400</v>
      </c>
      <c r="W90" s="86">
        <f t="shared" si="37"/>
        <v>-400</v>
      </c>
      <c r="X90" s="86">
        <f t="shared" si="37"/>
        <v>-355.5</v>
      </c>
      <c r="Y90" s="86">
        <f t="shared" si="37"/>
        <v>-271.89999999999998</v>
      </c>
      <c r="Z90" s="86">
        <f t="shared" si="37"/>
        <v>-310.7</v>
      </c>
      <c r="AA90" s="86">
        <f t="shared" si="37"/>
        <v>-325.5</v>
      </c>
      <c r="AB90" s="86">
        <f t="shared" si="37"/>
        <v>-374</v>
      </c>
      <c r="AC90" s="86">
        <f t="shared" si="37"/>
        <v>-398.9</v>
      </c>
      <c r="AD90" s="86">
        <f t="shared" si="37"/>
        <v>-392.6</v>
      </c>
      <c r="AE90" s="86">
        <f t="shared" si="37"/>
        <v>-410</v>
      </c>
      <c r="AF90" s="86">
        <f t="shared" si="37"/>
        <v>-415</v>
      </c>
      <c r="AG90" s="85"/>
      <c r="AH90" s="20">
        <f t="shared" si="16"/>
        <v>-271.89999999999998</v>
      </c>
      <c r="AI90" s="19">
        <f t="shared" si="17"/>
        <v>-416</v>
      </c>
    </row>
    <row r="91" spans="1:37" x14ac:dyDescent="0.25">
      <c r="A91" s="47" t="s">
        <v>148</v>
      </c>
      <c r="B91" s="84">
        <v>50.006999999999998</v>
      </c>
      <c r="C91" s="84">
        <v>49.991</v>
      </c>
      <c r="D91" s="84">
        <v>49.99</v>
      </c>
      <c r="E91" s="84">
        <v>50.04</v>
      </c>
      <c r="F91" s="84">
        <v>50.023000000000003</v>
      </c>
      <c r="G91" s="84">
        <v>50.015000000000001</v>
      </c>
      <c r="H91" s="84">
        <v>50.043999999999997</v>
      </c>
      <c r="I91" s="84">
        <v>50.030999999999999</v>
      </c>
      <c r="J91" s="84">
        <v>49.954000000000001</v>
      </c>
      <c r="K91" s="84">
        <v>49.960999999999999</v>
      </c>
      <c r="L91" s="84">
        <v>49.978000000000002</v>
      </c>
      <c r="M91" s="84">
        <v>49.972999999999999</v>
      </c>
      <c r="N91" s="84">
        <v>49.970999999999997</v>
      </c>
      <c r="O91" s="84">
        <v>50.06</v>
      </c>
      <c r="P91" s="84">
        <v>50.055999999999997</v>
      </c>
      <c r="Q91" s="84">
        <v>49.886000000000003</v>
      </c>
      <c r="R91" s="84">
        <v>49.966000000000001</v>
      </c>
      <c r="S91" s="84">
        <v>50.06</v>
      </c>
      <c r="T91" s="84">
        <v>49.96</v>
      </c>
      <c r="U91" s="84">
        <v>49.93</v>
      </c>
      <c r="V91" s="84">
        <v>49.664999999999999</v>
      </c>
      <c r="W91" s="84">
        <v>49.664999999999999</v>
      </c>
      <c r="X91" s="84">
        <v>49.83</v>
      </c>
      <c r="Y91" s="84">
        <v>49.88</v>
      </c>
      <c r="Z91" s="84">
        <v>50.03</v>
      </c>
      <c r="AA91" s="84">
        <v>50</v>
      </c>
      <c r="AB91" s="84">
        <v>50.029000000000003</v>
      </c>
      <c r="AC91" s="84">
        <v>50.033999999999999</v>
      </c>
      <c r="AD91" s="84">
        <v>50.031999999999996</v>
      </c>
      <c r="AE91" s="84">
        <v>50.031999999999996</v>
      </c>
      <c r="AF91" s="84">
        <v>50.031999999999996</v>
      </c>
      <c r="AG91" s="83"/>
      <c r="AH91" s="20">
        <f t="shared" si="16"/>
        <v>50.06</v>
      </c>
      <c r="AI91" s="19">
        <f t="shared" si="17"/>
        <v>49.664999999999999</v>
      </c>
    </row>
    <row r="92" spans="1:37" x14ac:dyDescent="0.25">
      <c r="A92" s="44" t="s">
        <v>147</v>
      </c>
      <c r="B92" s="80">
        <v>127.8</v>
      </c>
      <c r="C92" s="80">
        <v>127.8</v>
      </c>
      <c r="D92" s="80">
        <v>127.8</v>
      </c>
      <c r="E92" s="80">
        <v>128.30000000000001</v>
      </c>
      <c r="F92" s="80">
        <v>128.30000000000001</v>
      </c>
      <c r="G92" s="80">
        <v>128</v>
      </c>
      <c r="H92" s="80">
        <v>128.6</v>
      </c>
      <c r="I92" s="80">
        <v>127.1</v>
      </c>
      <c r="J92" s="80">
        <v>126.5</v>
      </c>
      <c r="K92" s="80">
        <v>126.1</v>
      </c>
      <c r="L92" s="80">
        <v>124.5</v>
      </c>
      <c r="M92" s="80">
        <v>124.1</v>
      </c>
      <c r="N92" s="80">
        <v>124.1</v>
      </c>
      <c r="O92" s="80">
        <v>125.2</v>
      </c>
      <c r="P92" s="80">
        <v>124.7</v>
      </c>
      <c r="Q92" s="80">
        <v>124.2</v>
      </c>
      <c r="R92" s="80">
        <v>124.1</v>
      </c>
      <c r="S92" s="80">
        <v>124.2</v>
      </c>
      <c r="T92" s="80">
        <v>124.9</v>
      </c>
      <c r="U92" s="80">
        <v>125.6</v>
      </c>
      <c r="V92" s="80">
        <v>125.8</v>
      </c>
      <c r="W92" s="80">
        <v>125.8</v>
      </c>
      <c r="X92" s="80">
        <v>125.1</v>
      </c>
      <c r="Y92" s="80">
        <v>123.7</v>
      </c>
      <c r="Z92" s="80">
        <v>124.4</v>
      </c>
      <c r="AA92" s="80">
        <v>125</v>
      </c>
      <c r="AB92" s="80">
        <v>125.9</v>
      </c>
      <c r="AC92" s="80">
        <v>125.8</v>
      </c>
      <c r="AD92" s="80">
        <v>126.4</v>
      </c>
      <c r="AE92" s="80">
        <v>126.4</v>
      </c>
      <c r="AF92" s="80">
        <v>126.4</v>
      </c>
      <c r="AG92" s="79"/>
      <c r="AH92" s="20">
        <f t="shared" si="16"/>
        <v>128.6</v>
      </c>
      <c r="AI92" s="19">
        <f t="shared" si="17"/>
        <v>123.7</v>
      </c>
    </row>
    <row r="93" spans="1:37" x14ac:dyDescent="0.25">
      <c r="A93" s="44" t="s">
        <v>146</v>
      </c>
      <c r="B93" s="80">
        <v>131.5</v>
      </c>
      <c r="C93" s="80">
        <v>131.5</v>
      </c>
      <c r="D93" s="80">
        <v>131.6</v>
      </c>
      <c r="E93" s="80">
        <v>131.9</v>
      </c>
      <c r="F93" s="80">
        <v>132</v>
      </c>
      <c r="G93" s="80">
        <v>131.69999999999999</v>
      </c>
      <c r="H93" s="80">
        <v>131.6</v>
      </c>
      <c r="I93" s="80">
        <v>130.4</v>
      </c>
      <c r="J93" s="80">
        <v>129.4</v>
      </c>
      <c r="K93" s="80">
        <v>129</v>
      </c>
      <c r="L93" s="80">
        <v>128</v>
      </c>
      <c r="M93" s="80">
        <v>127.9</v>
      </c>
      <c r="N93" s="80">
        <v>127.7</v>
      </c>
      <c r="O93" s="80">
        <v>128.5</v>
      </c>
      <c r="P93" s="80">
        <v>128.19999999999999</v>
      </c>
      <c r="Q93" s="80">
        <v>127.7</v>
      </c>
      <c r="R93" s="80">
        <v>128.19999999999999</v>
      </c>
      <c r="S93" s="80">
        <v>128.30000000000001</v>
      </c>
      <c r="T93" s="80">
        <v>129.1</v>
      </c>
      <c r="U93" s="80">
        <v>128.80000000000001</v>
      </c>
      <c r="V93" s="80">
        <v>128.9</v>
      </c>
      <c r="W93" s="80">
        <v>128.9</v>
      </c>
      <c r="X93" s="80">
        <v>128.30000000000001</v>
      </c>
      <c r="Y93" s="80">
        <v>127.3</v>
      </c>
      <c r="Z93" s="80">
        <v>127.5</v>
      </c>
      <c r="AA93" s="80">
        <v>128.5</v>
      </c>
      <c r="AB93" s="80">
        <v>129.30000000000001</v>
      </c>
      <c r="AC93" s="80">
        <v>129.19999999999999</v>
      </c>
      <c r="AD93" s="80">
        <v>129.9</v>
      </c>
      <c r="AE93" s="80">
        <v>129.9</v>
      </c>
      <c r="AF93" s="80">
        <v>129.9</v>
      </c>
      <c r="AG93" s="79"/>
      <c r="AH93" s="20">
        <f t="shared" si="16"/>
        <v>132</v>
      </c>
      <c r="AI93" s="19">
        <f t="shared" si="17"/>
        <v>127.3</v>
      </c>
    </row>
    <row r="94" spans="1:37" x14ac:dyDescent="0.25">
      <c r="A94" s="44" t="s">
        <v>145</v>
      </c>
      <c r="B94" s="80">
        <v>129</v>
      </c>
      <c r="C94" s="80">
        <v>130.4</v>
      </c>
      <c r="D94" s="80">
        <v>130.30000000000001</v>
      </c>
      <c r="E94" s="80">
        <v>130.30000000000001</v>
      </c>
      <c r="F94" s="80">
        <v>130.69999999999999</v>
      </c>
      <c r="G94" s="80">
        <v>130.4</v>
      </c>
      <c r="H94" s="80">
        <v>131</v>
      </c>
      <c r="I94" s="80">
        <v>131.1</v>
      </c>
      <c r="J94" s="80">
        <v>131.80000000000001</v>
      </c>
      <c r="K94" s="80">
        <v>131.19999999999999</v>
      </c>
      <c r="L94" s="80">
        <v>129.30000000000001</v>
      </c>
      <c r="M94" s="80">
        <v>130</v>
      </c>
      <c r="N94" s="80">
        <v>130.1</v>
      </c>
      <c r="O94" s="80">
        <v>129.5</v>
      </c>
      <c r="P94" s="80">
        <v>130.19999999999999</v>
      </c>
      <c r="Q94" s="80">
        <v>128.1</v>
      </c>
      <c r="R94" s="80">
        <v>128.6</v>
      </c>
      <c r="S94" s="80">
        <v>130.30000000000001</v>
      </c>
      <c r="T94" s="80">
        <v>129.4</v>
      </c>
      <c r="U94" s="80">
        <v>129.5</v>
      </c>
      <c r="V94" s="80">
        <v>128.5</v>
      </c>
      <c r="W94" s="80">
        <v>128.5</v>
      </c>
      <c r="X94" s="80">
        <v>128.80000000000001</v>
      </c>
      <c r="Y94" s="80">
        <v>129.80000000000001</v>
      </c>
      <c r="Z94" s="80">
        <v>129.4</v>
      </c>
      <c r="AA94" s="80">
        <v>130.69999999999999</v>
      </c>
      <c r="AB94" s="80">
        <v>128.4</v>
      </c>
      <c r="AC94" s="80">
        <v>128.6</v>
      </c>
      <c r="AD94" s="80">
        <v>128.80000000000001</v>
      </c>
      <c r="AE94" s="80">
        <v>129.5</v>
      </c>
      <c r="AF94" s="80">
        <v>130.9</v>
      </c>
      <c r="AG94" s="79"/>
      <c r="AH94" s="20">
        <f t="shared" si="16"/>
        <v>131.80000000000001</v>
      </c>
      <c r="AI94" s="19">
        <f t="shared" si="17"/>
        <v>128.1</v>
      </c>
    </row>
    <row r="95" spans="1:37" x14ac:dyDescent="0.25">
      <c r="A95" s="82" t="s">
        <v>144</v>
      </c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79"/>
      <c r="AH95" s="20">
        <f t="shared" si="16"/>
        <v>0</v>
      </c>
      <c r="AI95" s="19">
        <f t="shared" si="17"/>
        <v>0</v>
      </c>
    </row>
    <row r="96" spans="1:37" x14ac:dyDescent="0.25">
      <c r="A96" s="82" t="s">
        <v>143</v>
      </c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81"/>
      <c r="AH96" s="20">
        <f t="shared" si="16"/>
        <v>0</v>
      </c>
      <c r="AI96" s="19">
        <f t="shared" si="17"/>
        <v>0</v>
      </c>
    </row>
    <row r="97" spans="1:37" x14ac:dyDescent="0.25">
      <c r="A97" s="44" t="s">
        <v>142</v>
      </c>
      <c r="B97" s="80">
        <v>133.80000000000001</v>
      </c>
      <c r="C97" s="80">
        <v>135.1</v>
      </c>
      <c r="D97" s="80">
        <v>134.6</v>
      </c>
      <c r="E97" s="80">
        <v>135</v>
      </c>
      <c r="F97" s="80">
        <v>134.9</v>
      </c>
      <c r="G97" s="80">
        <v>134.9</v>
      </c>
      <c r="H97" s="80">
        <v>134.6</v>
      </c>
      <c r="I97" s="80">
        <v>133.80000000000001</v>
      </c>
      <c r="J97" s="80">
        <v>131.9</v>
      </c>
      <c r="K97" s="80">
        <v>131.1</v>
      </c>
      <c r="L97" s="80">
        <v>129.4</v>
      </c>
      <c r="M97" s="80">
        <v>129.4</v>
      </c>
      <c r="N97" s="80">
        <v>130.4</v>
      </c>
      <c r="O97" s="80">
        <v>130</v>
      </c>
      <c r="P97" s="80">
        <v>131.30000000000001</v>
      </c>
      <c r="Q97" s="80">
        <v>131</v>
      </c>
      <c r="R97" s="80">
        <v>132.30000000000001</v>
      </c>
      <c r="S97" s="80">
        <v>129.30000000000001</v>
      </c>
      <c r="T97" s="80">
        <v>128.1</v>
      </c>
      <c r="U97" s="80">
        <v>128.80000000000001</v>
      </c>
      <c r="V97" s="80">
        <v>128</v>
      </c>
      <c r="W97" s="80">
        <v>128</v>
      </c>
      <c r="X97" s="80">
        <v>137</v>
      </c>
      <c r="Y97" s="80">
        <v>135</v>
      </c>
      <c r="Z97" s="80">
        <v>132.19999999999999</v>
      </c>
      <c r="AA97" s="80">
        <v>130.9</v>
      </c>
      <c r="AB97" s="80">
        <v>132.30000000000001</v>
      </c>
      <c r="AC97" s="80">
        <v>133.69999999999999</v>
      </c>
      <c r="AD97" s="80">
        <v>134.19999999999999</v>
      </c>
      <c r="AE97" s="80">
        <v>136</v>
      </c>
      <c r="AF97" s="80">
        <v>137</v>
      </c>
      <c r="AG97" s="79"/>
      <c r="AH97" s="20">
        <f t="shared" si="16"/>
        <v>137</v>
      </c>
      <c r="AI97" s="19">
        <f t="shared" si="17"/>
        <v>128</v>
      </c>
    </row>
    <row r="98" spans="1:37" ht="15.75" thickBot="1" x14ac:dyDescent="0.3">
      <c r="A98" s="44" t="s">
        <v>141</v>
      </c>
      <c r="B98" s="77">
        <v>66.5</v>
      </c>
      <c r="C98" s="77">
        <v>66.599999999999994</v>
      </c>
      <c r="D98" s="77">
        <v>66.599999999999994</v>
      </c>
      <c r="E98" s="77">
        <v>66.8</v>
      </c>
      <c r="F98" s="77">
        <v>66.8</v>
      </c>
      <c r="G98" s="77">
        <v>66.5</v>
      </c>
      <c r="H98" s="77">
        <v>66.7</v>
      </c>
      <c r="I98" s="77">
        <v>66</v>
      </c>
      <c r="J98" s="77">
        <v>65.400000000000006</v>
      </c>
      <c r="K98" s="77">
        <v>65.099999999999994</v>
      </c>
      <c r="L98" s="77">
        <v>64.5</v>
      </c>
      <c r="M98" s="77">
        <v>64.5</v>
      </c>
      <c r="N98" s="77">
        <v>64.5</v>
      </c>
      <c r="O98" s="77">
        <v>65</v>
      </c>
      <c r="P98" s="77">
        <v>64.900000000000006</v>
      </c>
      <c r="Q98" s="77">
        <v>64.8</v>
      </c>
      <c r="R98" s="77">
        <v>64.900000000000006</v>
      </c>
      <c r="S98" s="77">
        <v>65.099999999999994</v>
      </c>
      <c r="T98" s="77">
        <v>65.099999999999994</v>
      </c>
      <c r="U98" s="77">
        <v>65.099999999999994</v>
      </c>
      <c r="V98" s="77">
        <v>65.3</v>
      </c>
      <c r="W98" s="77">
        <v>65.3</v>
      </c>
      <c r="X98" s="77">
        <v>64.900000000000006</v>
      </c>
      <c r="Y98" s="77">
        <v>64.900000000000006</v>
      </c>
      <c r="Z98" s="77">
        <v>64.7</v>
      </c>
      <c r="AA98" s="77">
        <v>65.2</v>
      </c>
      <c r="AB98" s="77">
        <v>65.400000000000006</v>
      </c>
      <c r="AC98" s="77">
        <v>65.400000000000006</v>
      </c>
      <c r="AD98" s="77">
        <v>65.599999999999994</v>
      </c>
      <c r="AE98" s="77">
        <v>66</v>
      </c>
      <c r="AF98" s="77">
        <v>66.3</v>
      </c>
      <c r="AG98" s="76"/>
      <c r="AH98" s="20">
        <f t="shared" si="16"/>
        <v>66.8</v>
      </c>
      <c r="AI98" s="19">
        <f t="shared" si="17"/>
        <v>64.5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16"/>
        <v>0</v>
      </c>
      <c r="AI99" s="19">
        <f t="shared" si="17"/>
        <v>0</v>
      </c>
    </row>
    <row r="100" spans="1:37" ht="15.75" thickBot="1" x14ac:dyDescent="0.3">
      <c r="A100" s="75" t="s">
        <v>140</v>
      </c>
      <c r="B100" s="74">
        <f t="shared" ref="B100" si="38">SUM(B15,B20,B22:B23,B48,B50:B51,B53,B55,B101:B105,B127,B133,B139,B148,B150,B162,B169,B172:B173,B180,B182,B184,B188:B190,B192:B194,B199,B205:B206,B208:B210,B218,B223)</f>
        <v>72.59999999999998</v>
      </c>
      <c r="C100" s="74">
        <f t="shared" ref="C100:AF100" si="39">SUM(C15,C20,C22:C23,C48,C50:C51,C53,C55,C101:C105,C127,C133,C139,C148,C150,C162,C169,C172:C173,C180,C182,C184,C188:C190,C192:C194,C199,C205:C206,C208:C210,C218,C223)</f>
        <v>65.039999999999992</v>
      </c>
      <c r="D100" s="74">
        <f t="shared" si="39"/>
        <v>60.739999999999995</v>
      </c>
      <c r="E100" s="74">
        <f t="shared" si="39"/>
        <v>59.439999999999991</v>
      </c>
      <c r="F100" s="74">
        <f t="shared" si="39"/>
        <v>59.040000000000006</v>
      </c>
      <c r="G100" s="74">
        <f t="shared" si="39"/>
        <v>68.240000000000009</v>
      </c>
      <c r="H100" s="74">
        <f t="shared" si="39"/>
        <v>80.14</v>
      </c>
      <c r="I100" s="74">
        <f t="shared" si="39"/>
        <v>94.440000000000012</v>
      </c>
      <c r="J100" s="74">
        <f t="shared" si="39"/>
        <v>112.84</v>
      </c>
      <c r="K100" s="74">
        <f t="shared" si="39"/>
        <v>125.53999999999999</v>
      </c>
      <c r="L100" s="74">
        <f t="shared" si="39"/>
        <v>122.23999999999998</v>
      </c>
      <c r="M100" s="74">
        <f t="shared" si="39"/>
        <v>126.44000000000003</v>
      </c>
      <c r="N100" s="74">
        <f t="shared" si="39"/>
        <v>105.33999999999999</v>
      </c>
      <c r="O100" s="74">
        <f t="shared" si="39"/>
        <v>99.939999999999969</v>
      </c>
      <c r="P100" s="74">
        <f t="shared" si="39"/>
        <v>84.94</v>
      </c>
      <c r="Q100" s="74">
        <f t="shared" si="39"/>
        <v>53.899999999999991</v>
      </c>
      <c r="R100" s="74">
        <f t="shared" si="39"/>
        <v>63.59999999999998</v>
      </c>
      <c r="S100" s="74">
        <f t="shared" si="39"/>
        <v>72.3</v>
      </c>
      <c r="T100" s="74">
        <f t="shared" si="39"/>
        <v>58.800000000000004</v>
      </c>
      <c r="U100" s="74">
        <f t="shared" si="39"/>
        <v>37.300000000000026</v>
      </c>
      <c r="V100" s="74">
        <f t="shared" si="39"/>
        <v>71.599999999999994</v>
      </c>
      <c r="W100" s="74">
        <f t="shared" si="39"/>
        <v>56.1</v>
      </c>
      <c r="X100" s="74">
        <f t="shared" si="39"/>
        <v>101.6</v>
      </c>
      <c r="Y100" s="74">
        <f t="shared" si="39"/>
        <v>187.8</v>
      </c>
      <c r="Z100" s="74">
        <f t="shared" si="39"/>
        <v>177.39999999999998</v>
      </c>
      <c r="AA100" s="74">
        <f t="shared" si="39"/>
        <v>168.49999999999997</v>
      </c>
      <c r="AB100" s="74">
        <f t="shared" si="39"/>
        <v>144.69999999999999</v>
      </c>
      <c r="AC100" s="74">
        <f t="shared" si="39"/>
        <v>129.6</v>
      </c>
      <c r="AD100" s="74">
        <f t="shared" si="39"/>
        <v>108.19999999999997</v>
      </c>
      <c r="AE100" s="74">
        <f t="shared" si="39"/>
        <v>50.099999999999987</v>
      </c>
      <c r="AF100" s="74">
        <f t="shared" si="39"/>
        <v>13.189999999999998</v>
      </c>
      <c r="AG100" s="73"/>
      <c r="AH100" s="20">
        <f t="shared" si="16"/>
        <v>187.8</v>
      </c>
      <c r="AI100" s="19">
        <f t="shared" si="17"/>
        <v>13.189999999999998</v>
      </c>
    </row>
    <row r="101" spans="1:37" x14ac:dyDescent="0.25">
      <c r="A101" s="47" t="s">
        <v>139</v>
      </c>
      <c r="B101" s="72">
        <v>22.4</v>
      </c>
      <c r="C101" s="72">
        <v>22.6</v>
      </c>
      <c r="D101" s="72">
        <v>24.2</v>
      </c>
      <c r="E101" s="72">
        <v>20</v>
      </c>
      <c r="F101" s="72">
        <v>25.6</v>
      </c>
      <c r="G101" s="72">
        <v>25</v>
      </c>
      <c r="H101" s="72">
        <v>27</v>
      </c>
      <c r="I101" s="72">
        <v>28</v>
      </c>
      <c r="J101" s="72">
        <v>25.2</v>
      </c>
      <c r="K101" s="72">
        <v>27.2</v>
      </c>
      <c r="L101" s="72">
        <v>20.9</v>
      </c>
      <c r="M101" s="72">
        <v>20.9</v>
      </c>
      <c r="N101" s="72">
        <v>21.2</v>
      </c>
      <c r="O101" s="72">
        <v>19.2</v>
      </c>
      <c r="P101" s="72">
        <v>22.9</v>
      </c>
      <c r="Q101" s="72">
        <v>26.8</v>
      </c>
      <c r="R101" s="72">
        <v>24.3</v>
      </c>
      <c r="S101" s="72">
        <v>18.5</v>
      </c>
      <c r="T101" s="72">
        <v>16</v>
      </c>
      <c r="U101" s="72">
        <v>6.8</v>
      </c>
      <c r="V101" s="72">
        <v>14</v>
      </c>
      <c r="W101" s="72"/>
      <c r="X101" s="72"/>
      <c r="Y101" s="72">
        <v>23.5</v>
      </c>
      <c r="Z101" s="72">
        <v>25</v>
      </c>
      <c r="AA101" s="72">
        <v>24.7</v>
      </c>
      <c r="AB101" s="72">
        <v>26.1</v>
      </c>
      <c r="AC101" s="72">
        <v>28.1</v>
      </c>
      <c r="AD101" s="72">
        <v>20.7</v>
      </c>
      <c r="AE101" s="72">
        <v>12.7</v>
      </c>
      <c r="AF101" s="72">
        <v>6.8</v>
      </c>
      <c r="AG101" s="70">
        <v>75</v>
      </c>
      <c r="AH101" s="20">
        <f t="shared" si="16"/>
        <v>28.1</v>
      </c>
      <c r="AI101" s="19">
        <f t="shared" si="17"/>
        <v>6.8</v>
      </c>
    </row>
    <row r="102" spans="1:37" x14ac:dyDescent="0.25">
      <c r="A102" s="44" t="s">
        <v>138</v>
      </c>
      <c r="B102" s="71">
        <v>37.799999999999997</v>
      </c>
      <c r="C102" s="71">
        <v>38.799999999999997</v>
      </c>
      <c r="D102" s="71">
        <v>40.6</v>
      </c>
      <c r="E102" s="71">
        <v>33.700000000000003</v>
      </c>
      <c r="F102" s="71">
        <v>41.5</v>
      </c>
      <c r="G102" s="71">
        <v>40.5</v>
      </c>
      <c r="H102" s="71">
        <v>41.2</v>
      </c>
      <c r="I102" s="71">
        <v>41.5</v>
      </c>
      <c r="J102" s="71">
        <v>38.6</v>
      </c>
      <c r="K102" s="71">
        <v>41.6</v>
      </c>
      <c r="L102" s="71">
        <v>32.700000000000003</v>
      </c>
      <c r="M102" s="71">
        <v>32.700000000000003</v>
      </c>
      <c r="N102" s="71">
        <v>34.4</v>
      </c>
      <c r="O102" s="71">
        <v>32.700000000000003</v>
      </c>
      <c r="P102" s="71">
        <v>37.6</v>
      </c>
      <c r="Q102" s="71">
        <v>43.3</v>
      </c>
      <c r="R102" s="71">
        <v>38.4</v>
      </c>
      <c r="S102" s="71">
        <v>32.4</v>
      </c>
      <c r="T102" s="71">
        <v>30</v>
      </c>
      <c r="U102" s="71">
        <v>29.5</v>
      </c>
      <c r="V102" s="71">
        <v>25</v>
      </c>
      <c r="W102" s="71">
        <v>25</v>
      </c>
      <c r="X102" s="71">
        <v>45.7</v>
      </c>
      <c r="Y102" s="71">
        <v>39</v>
      </c>
      <c r="Z102" s="71">
        <v>41.5</v>
      </c>
      <c r="AA102" s="71">
        <v>40.6</v>
      </c>
      <c r="AB102" s="71">
        <v>43.9</v>
      </c>
      <c r="AC102" s="71">
        <v>46.9</v>
      </c>
      <c r="AD102" s="71">
        <v>35.6</v>
      </c>
      <c r="AE102" s="71">
        <v>25</v>
      </c>
      <c r="AF102" s="71">
        <v>18.89</v>
      </c>
      <c r="AG102" s="70">
        <v>240</v>
      </c>
      <c r="AH102" s="20">
        <f t="shared" si="16"/>
        <v>46.9</v>
      </c>
      <c r="AI102" s="19">
        <f t="shared" si="17"/>
        <v>18.89</v>
      </c>
    </row>
    <row r="103" spans="1:37" x14ac:dyDescent="0.25">
      <c r="A103" s="44" t="s">
        <v>137</v>
      </c>
      <c r="B103" s="71">
        <f>-40.2-43</f>
        <v>-83.2</v>
      </c>
      <c r="C103" s="71">
        <f>-43.8-46.4</f>
        <v>-90.199999999999989</v>
      </c>
      <c r="D103" s="71">
        <f>-47.4-50.2</f>
        <v>-97.6</v>
      </c>
      <c r="E103" s="71">
        <f>-37.4-39</f>
        <v>-76.400000000000006</v>
      </c>
      <c r="F103" s="71">
        <f>-43.8-45.5</f>
        <v>-89.3</v>
      </c>
      <c r="G103" s="71">
        <f>-38-41</f>
        <v>-79</v>
      </c>
      <c r="H103" s="71">
        <f>-34.5-36.3</f>
        <v>-70.8</v>
      </c>
      <c r="I103" s="71">
        <f>-29.5-31.7</f>
        <v>-61.2</v>
      </c>
      <c r="J103" s="71">
        <f>-19-19.6</f>
        <v>-38.6</v>
      </c>
      <c r="K103" s="71">
        <f>-18-18.5</f>
        <v>-36.5</v>
      </c>
      <c r="L103" s="71">
        <f>-14-15</f>
        <v>-29</v>
      </c>
      <c r="M103" s="71">
        <f>-14-15</f>
        <v>-29</v>
      </c>
      <c r="N103" s="71">
        <v>-52.4</v>
      </c>
      <c r="O103" s="71">
        <f>-35-39</f>
        <v>-74</v>
      </c>
      <c r="P103" s="71">
        <f>-40-43</f>
        <v>-83</v>
      </c>
      <c r="Q103" s="71">
        <v>-105.6</v>
      </c>
      <c r="R103" s="71">
        <v>-91.6</v>
      </c>
      <c r="S103" s="71">
        <f>-37.6-40</f>
        <v>-77.599999999999994</v>
      </c>
      <c r="T103" s="71">
        <f>-42-44.8</f>
        <v>-86.8</v>
      </c>
      <c r="U103" s="71">
        <f>-46.4-49.8</f>
        <v>-96.199999999999989</v>
      </c>
      <c r="V103" s="71">
        <v>-66</v>
      </c>
      <c r="W103" s="71">
        <v>-66</v>
      </c>
      <c r="X103" s="71">
        <f>-27.4-30.1</f>
        <v>-57.5</v>
      </c>
      <c r="Y103" s="71">
        <f>-18.8-21</f>
        <v>-39.799999999999997</v>
      </c>
      <c r="Z103" s="71">
        <f>-24.9-26.8</f>
        <v>-51.7</v>
      </c>
      <c r="AA103" s="71">
        <f>-28.9-31.4</f>
        <v>-60.3</v>
      </c>
      <c r="AB103" s="71">
        <f>-34.3-36.9</f>
        <v>-71.199999999999989</v>
      </c>
      <c r="AC103" s="71">
        <f>-43.1-46</f>
        <v>-89.1</v>
      </c>
      <c r="AD103" s="71">
        <f>-44-46.8</f>
        <v>-90.8</v>
      </c>
      <c r="AE103" s="71">
        <v>-115</v>
      </c>
      <c r="AF103" s="71">
        <v>-98</v>
      </c>
      <c r="AG103" s="70">
        <v>240</v>
      </c>
      <c r="AH103" s="20">
        <f t="shared" si="16"/>
        <v>-29</v>
      </c>
      <c r="AI103" s="19">
        <f t="shared" si="17"/>
        <v>-115</v>
      </c>
    </row>
    <row r="104" spans="1:37" x14ac:dyDescent="0.25">
      <c r="A104" s="44" t="s">
        <v>136</v>
      </c>
      <c r="B104" s="71">
        <v>8.1</v>
      </c>
      <c r="C104" s="71">
        <v>5.6</v>
      </c>
      <c r="D104" s="71">
        <v>5.3</v>
      </c>
      <c r="E104" s="71">
        <v>-6.1</v>
      </c>
      <c r="F104" s="71">
        <v>-7</v>
      </c>
      <c r="G104" s="71">
        <v>-6.5</v>
      </c>
      <c r="H104" s="71">
        <v>-5.5</v>
      </c>
      <c r="I104" s="71">
        <v>-2.1</v>
      </c>
      <c r="J104" s="71">
        <v>-0.6</v>
      </c>
      <c r="K104" s="71">
        <v>5</v>
      </c>
      <c r="L104" s="71">
        <v>9.4</v>
      </c>
      <c r="M104" s="71">
        <v>9.4</v>
      </c>
      <c r="N104" s="71">
        <v>6.7</v>
      </c>
      <c r="O104" s="71">
        <v>6.6</v>
      </c>
      <c r="P104" s="71">
        <v>6.5</v>
      </c>
      <c r="Q104" s="71">
        <v>-10.3</v>
      </c>
      <c r="R104" s="71">
        <v>-7.7</v>
      </c>
      <c r="S104" s="71">
        <v>-8.1999999999999993</v>
      </c>
      <c r="T104" s="71">
        <v>-7.9</v>
      </c>
      <c r="U104" s="71">
        <v>-9.3000000000000007</v>
      </c>
      <c r="V104" s="71">
        <v>-6.4</v>
      </c>
      <c r="W104" s="71">
        <v>-6.4</v>
      </c>
      <c r="X104" s="71">
        <v>12.9</v>
      </c>
      <c r="Y104" s="71">
        <v>16</v>
      </c>
      <c r="Z104" s="71">
        <v>13.5</v>
      </c>
      <c r="AA104" s="71">
        <v>14.4</v>
      </c>
      <c r="AB104" s="71">
        <v>10.7</v>
      </c>
      <c r="AC104" s="71">
        <v>8.5</v>
      </c>
      <c r="AD104" s="71">
        <v>7.5</v>
      </c>
      <c r="AE104" s="71">
        <v>4.4000000000000004</v>
      </c>
      <c r="AF104" s="71">
        <v>0</v>
      </c>
      <c r="AG104" s="70">
        <v>60</v>
      </c>
      <c r="AH104" s="20">
        <f t="shared" si="16"/>
        <v>16</v>
      </c>
      <c r="AI104" s="19">
        <f t="shared" si="17"/>
        <v>-10.3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0</v>
      </c>
      <c r="U105" s="68">
        <v>0</v>
      </c>
      <c r="V105" s="68">
        <v>0</v>
      </c>
      <c r="W105" s="68">
        <v>0</v>
      </c>
      <c r="X105" s="68">
        <v>0</v>
      </c>
      <c r="Y105" s="68">
        <v>0</v>
      </c>
      <c r="Z105" s="68">
        <v>0</v>
      </c>
      <c r="AA105" s="68">
        <v>0</v>
      </c>
      <c r="AB105" s="68">
        <v>0</v>
      </c>
      <c r="AC105" s="68">
        <v>0</v>
      </c>
      <c r="AD105" s="68">
        <v>0</v>
      </c>
      <c r="AE105" s="68">
        <v>0</v>
      </c>
      <c r="AF105" s="68">
        <v>0</v>
      </c>
      <c r="AG105" s="69">
        <v>120</v>
      </c>
      <c r="AH105" s="20">
        <f t="shared" si="16"/>
        <v>0</v>
      </c>
      <c r="AI105" s="19">
        <f t="shared" si="17"/>
        <v>0</v>
      </c>
    </row>
    <row r="106" spans="1:37" x14ac:dyDescent="0.25">
      <c r="A106" s="40" t="s">
        <v>134</v>
      </c>
      <c r="B106" s="68">
        <v>23.1</v>
      </c>
      <c r="C106" s="68">
        <v>17.5</v>
      </c>
      <c r="D106" s="68">
        <v>15.3</v>
      </c>
      <c r="E106" s="68">
        <v>31</v>
      </c>
      <c r="F106" s="68">
        <v>17.3</v>
      </c>
      <c r="G106" s="68">
        <v>32</v>
      </c>
      <c r="H106" s="68">
        <v>24</v>
      </c>
      <c r="I106" s="68">
        <v>36</v>
      </c>
      <c r="J106" s="68">
        <v>54</v>
      </c>
      <c r="K106" s="68">
        <v>48</v>
      </c>
      <c r="L106" s="68">
        <v>60.1</v>
      </c>
      <c r="M106" s="68">
        <v>50.2</v>
      </c>
      <c r="N106" s="68">
        <v>50.2</v>
      </c>
      <c r="O106" s="68">
        <v>36.799999999999997</v>
      </c>
      <c r="P106" s="68">
        <v>35.6</v>
      </c>
      <c r="Q106" s="68">
        <v>24</v>
      </c>
      <c r="R106" s="68">
        <v>44.4</v>
      </c>
      <c r="S106" s="68">
        <v>41.8</v>
      </c>
      <c r="T106" s="68">
        <v>49.4</v>
      </c>
      <c r="U106" s="68">
        <v>37.200000000000003</v>
      </c>
      <c r="V106" s="68">
        <v>51</v>
      </c>
      <c r="W106" s="68">
        <v>51</v>
      </c>
      <c r="X106" s="68">
        <v>63</v>
      </c>
      <c r="Y106" s="68">
        <v>85</v>
      </c>
      <c r="Z106" s="68">
        <v>78.5</v>
      </c>
      <c r="AA106" s="68">
        <v>65.3</v>
      </c>
      <c r="AB106" s="68">
        <v>53.9</v>
      </c>
      <c r="AC106" s="68">
        <v>35.1</v>
      </c>
      <c r="AD106" s="68">
        <v>40.299999999999997</v>
      </c>
      <c r="AE106" s="68">
        <v>26.5</v>
      </c>
      <c r="AF106" s="68">
        <v>27.5</v>
      </c>
      <c r="AG106" s="69"/>
      <c r="AH106" s="20">
        <f t="shared" si="16"/>
        <v>85</v>
      </c>
      <c r="AI106" s="19">
        <f t="shared" si="17"/>
        <v>15.3</v>
      </c>
    </row>
    <row r="107" spans="1:37" x14ac:dyDescent="0.25">
      <c r="A107" s="40" t="s">
        <v>133</v>
      </c>
      <c r="B107" s="68">
        <v>39.9</v>
      </c>
      <c r="C107" s="68">
        <v>33.5</v>
      </c>
      <c r="D107" s="68">
        <v>29.9</v>
      </c>
      <c r="E107" s="68">
        <v>48</v>
      </c>
      <c r="F107" s="68">
        <v>28.8</v>
      </c>
      <c r="G107" s="68">
        <v>36</v>
      </c>
      <c r="H107" s="68">
        <v>36.299999999999997</v>
      </c>
      <c r="I107" s="68">
        <v>34.4</v>
      </c>
      <c r="J107" s="68">
        <v>44.1</v>
      </c>
      <c r="K107" s="68">
        <v>32</v>
      </c>
      <c r="L107" s="68">
        <v>49.3</v>
      </c>
      <c r="M107" s="68">
        <v>34</v>
      </c>
      <c r="N107" s="68">
        <v>34</v>
      </c>
      <c r="O107" s="68">
        <v>44.4</v>
      </c>
      <c r="P107" s="68">
        <v>27.6</v>
      </c>
      <c r="Q107" s="68">
        <v>7.5</v>
      </c>
      <c r="R107" s="68">
        <v>31.9</v>
      </c>
      <c r="S107" s="68">
        <v>47.7</v>
      </c>
      <c r="T107" s="68">
        <v>52.3</v>
      </c>
      <c r="U107" s="68">
        <v>52.9</v>
      </c>
      <c r="V107" s="68">
        <v>66</v>
      </c>
      <c r="W107" s="68">
        <v>66</v>
      </c>
      <c r="X107" s="68">
        <v>59.4</v>
      </c>
      <c r="Y107" s="68">
        <v>69.099999999999994</v>
      </c>
      <c r="Z107" s="68">
        <v>52.8</v>
      </c>
      <c r="AA107" s="68">
        <v>54.6</v>
      </c>
      <c r="AB107" s="68">
        <v>51.1</v>
      </c>
      <c r="AC107" s="68">
        <v>37.700000000000003</v>
      </c>
      <c r="AD107" s="68">
        <v>44.2</v>
      </c>
      <c r="AE107" s="68">
        <v>58.2</v>
      </c>
      <c r="AF107" s="68">
        <v>70.099999999999994</v>
      </c>
      <c r="AG107" s="48"/>
      <c r="AH107" s="20">
        <f t="shared" si="16"/>
        <v>70.099999999999994</v>
      </c>
      <c r="AI107" s="19">
        <f t="shared" si="17"/>
        <v>7.5</v>
      </c>
    </row>
    <row r="108" spans="1:37" x14ac:dyDescent="0.25">
      <c r="A108" s="67" t="s">
        <v>132</v>
      </c>
      <c r="B108" s="66">
        <v>93</v>
      </c>
      <c r="C108" s="66">
        <v>94.5</v>
      </c>
      <c r="D108" s="66">
        <v>97.9</v>
      </c>
      <c r="E108" s="66">
        <v>97</v>
      </c>
      <c r="F108" s="66">
        <v>98.3</v>
      </c>
      <c r="G108" s="66">
        <v>100.4</v>
      </c>
      <c r="H108" s="66">
        <v>98.5</v>
      </c>
      <c r="I108" s="66">
        <v>99.1</v>
      </c>
      <c r="J108" s="66">
        <v>99.6</v>
      </c>
      <c r="K108" s="66">
        <v>99</v>
      </c>
      <c r="L108" s="66">
        <v>96.6</v>
      </c>
      <c r="M108" s="66">
        <v>104.1</v>
      </c>
      <c r="N108" s="66">
        <v>104.1</v>
      </c>
      <c r="O108" s="66">
        <v>101.6</v>
      </c>
      <c r="P108" s="66">
        <v>75.599999999999994</v>
      </c>
      <c r="Q108" s="66">
        <v>90</v>
      </c>
      <c r="R108" s="66">
        <v>92.6</v>
      </c>
      <c r="S108" s="66">
        <v>91.5</v>
      </c>
      <c r="T108" s="66">
        <v>97</v>
      </c>
      <c r="U108" s="66">
        <v>99.5</v>
      </c>
      <c r="V108" s="66">
        <v>96</v>
      </c>
      <c r="W108" s="66">
        <v>96</v>
      </c>
      <c r="X108" s="66">
        <v>88.3</v>
      </c>
      <c r="Y108" s="66">
        <v>82.6</v>
      </c>
      <c r="Z108" s="66">
        <v>103.7</v>
      </c>
      <c r="AA108" s="66">
        <v>104.9</v>
      </c>
      <c r="AB108" s="66">
        <v>114.2</v>
      </c>
      <c r="AC108" s="66">
        <v>114.4</v>
      </c>
      <c r="AD108" s="66">
        <v>112.5</v>
      </c>
      <c r="AE108" s="66">
        <v>116</v>
      </c>
      <c r="AF108" s="66">
        <v>113</v>
      </c>
      <c r="AG108" s="48"/>
      <c r="AH108" s="20">
        <f t="shared" si="16"/>
        <v>116</v>
      </c>
      <c r="AI108" s="19">
        <f t="shared" si="17"/>
        <v>75.599999999999994</v>
      </c>
    </row>
    <row r="109" spans="1:37" ht="15.75" thickBot="1" x14ac:dyDescent="0.3">
      <c r="A109" s="67" t="s">
        <v>131</v>
      </c>
      <c r="B109" s="66">
        <v>54.4</v>
      </c>
      <c r="C109" s="66">
        <v>60.9</v>
      </c>
      <c r="D109" s="66">
        <v>64.599999999999994</v>
      </c>
      <c r="E109" s="66">
        <v>45</v>
      </c>
      <c r="F109" s="66">
        <v>57.8</v>
      </c>
      <c r="G109" s="66">
        <v>50</v>
      </c>
      <c r="H109" s="66">
        <v>44.6</v>
      </c>
      <c r="I109" s="66">
        <v>40.1</v>
      </c>
      <c r="J109" s="66">
        <v>21.8</v>
      </c>
      <c r="K109" s="66">
        <v>26.5</v>
      </c>
      <c r="L109" s="66">
        <v>17.2</v>
      </c>
      <c r="M109" s="66">
        <v>40.9</v>
      </c>
      <c r="N109" s="66">
        <v>40.9</v>
      </c>
      <c r="O109" s="66">
        <v>47.7</v>
      </c>
      <c r="P109" s="66">
        <v>52.5</v>
      </c>
      <c r="Q109" s="66">
        <v>70.099999999999994</v>
      </c>
      <c r="R109" s="66">
        <v>53.8</v>
      </c>
      <c r="S109" s="66">
        <v>44.6</v>
      </c>
      <c r="T109" s="66">
        <v>52.1</v>
      </c>
      <c r="U109" s="66">
        <v>56.7</v>
      </c>
      <c r="V109" s="66">
        <v>35</v>
      </c>
      <c r="W109" s="66">
        <v>35</v>
      </c>
      <c r="X109" s="66">
        <v>37.6</v>
      </c>
      <c r="Y109" s="66">
        <v>24</v>
      </c>
      <c r="Z109" s="66">
        <v>34.9</v>
      </c>
      <c r="AA109" s="66">
        <v>38.700000000000003</v>
      </c>
      <c r="AB109" s="66">
        <v>48.2</v>
      </c>
      <c r="AC109" s="66">
        <v>58.8</v>
      </c>
      <c r="AD109" s="66">
        <v>56.6</v>
      </c>
      <c r="AE109" s="66">
        <v>70.099999999999994</v>
      </c>
      <c r="AF109" s="66">
        <v>75.3</v>
      </c>
      <c r="AG109" s="48"/>
      <c r="AH109" s="20">
        <f t="shared" si="16"/>
        <v>75.3</v>
      </c>
      <c r="AI109" s="19">
        <f t="shared" si="17"/>
        <v>17.2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40">SUM(B111:B215)</f>
        <v>0</v>
      </c>
      <c r="C216" s="36">
        <f t="shared" si="40"/>
        <v>0</v>
      </c>
      <c r="D216" s="36">
        <f t="shared" si="40"/>
        <v>0</v>
      </c>
      <c r="E216" s="36">
        <f t="shared" si="40"/>
        <v>0</v>
      </c>
      <c r="F216" s="36">
        <f t="shared" si="40"/>
        <v>0</v>
      </c>
      <c r="G216" s="36">
        <f t="shared" si="40"/>
        <v>0</v>
      </c>
      <c r="H216" s="36">
        <f t="shared" si="40"/>
        <v>0</v>
      </c>
      <c r="I216" s="36">
        <f t="shared" si="40"/>
        <v>0</v>
      </c>
      <c r="J216" s="36">
        <f t="shared" si="40"/>
        <v>0</v>
      </c>
      <c r="K216" s="36">
        <f t="shared" si="40"/>
        <v>0</v>
      </c>
      <c r="L216" s="36">
        <f t="shared" si="40"/>
        <v>0</v>
      </c>
      <c r="M216" s="36">
        <f t="shared" si="40"/>
        <v>0</v>
      </c>
      <c r="N216" s="36">
        <f t="shared" si="40"/>
        <v>0</v>
      </c>
      <c r="O216" s="36">
        <f t="shared" si="40"/>
        <v>0</v>
      </c>
      <c r="P216" s="36">
        <f t="shared" si="40"/>
        <v>0</v>
      </c>
      <c r="Q216" s="36">
        <f t="shared" si="40"/>
        <v>0</v>
      </c>
      <c r="R216" s="36">
        <f t="shared" si="40"/>
        <v>0</v>
      </c>
      <c r="S216" s="36">
        <f t="shared" si="40"/>
        <v>0</v>
      </c>
      <c r="T216" s="36">
        <f t="shared" si="40"/>
        <v>0</v>
      </c>
      <c r="U216" s="36">
        <f t="shared" si="40"/>
        <v>0</v>
      </c>
      <c r="V216" s="36">
        <f t="shared" si="40"/>
        <v>0</v>
      </c>
      <c r="W216" s="36">
        <f t="shared" si="40"/>
        <v>0</v>
      </c>
      <c r="X216" s="36">
        <f t="shared" si="40"/>
        <v>0</v>
      </c>
      <c r="Y216" s="36">
        <f t="shared" si="40"/>
        <v>0</v>
      </c>
      <c r="Z216" s="36">
        <f t="shared" si="40"/>
        <v>0</v>
      </c>
      <c r="AA216" s="36">
        <f t="shared" si="40"/>
        <v>0</v>
      </c>
      <c r="AB216" s="36">
        <f t="shared" si="40"/>
        <v>0</v>
      </c>
      <c r="AC216" s="36">
        <f t="shared" si="40"/>
        <v>0</v>
      </c>
      <c r="AD216" s="36">
        <f t="shared" si="40"/>
        <v>0</v>
      </c>
      <c r="AE216" s="36">
        <f t="shared" si="40"/>
        <v>0</v>
      </c>
      <c r="AF216" s="51">
        <f t="shared" si="40"/>
        <v>0</v>
      </c>
      <c r="AG216" s="50">
        <f t="shared" si="40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41">AF218</f>
        <v>0</v>
      </c>
      <c r="C218" s="46">
        <v>0.3</v>
      </c>
      <c r="D218" s="46">
        <f t="shared" ref="D218:P223" si="42">C218</f>
        <v>0.3</v>
      </c>
      <c r="E218" s="46">
        <f t="shared" si="42"/>
        <v>0.3</v>
      </c>
      <c r="F218" s="46">
        <f t="shared" si="42"/>
        <v>0.3</v>
      </c>
      <c r="G218" s="46">
        <f t="shared" si="42"/>
        <v>0.3</v>
      </c>
      <c r="H218" s="46">
        <f t="shared" si="42"/>
        <v>0.3</v>
      </c>
      <c r="I218" s="46">
        <f t="shared" si="42"/>
        <v>0.3</v>
      </c>
      <c r="J218" s="46">
        <f t="shared" si="42"/>
        <v>0.3</v>
      </c>
      <c r="K218" s="46">
        <f t="shared" si="42"/>
        <v>0.3</v>
      </c>
      <c r="L218" s="46">
        <f t="shared" si="42"/>
        <v>0.3</v>
      </c>
      <c r="M218" s="46">
        <f t="shared" si="42"/>
        <v>0.3</v>
      </c>
      <c r="N218" s="46">
        <f t="shared" si="42"/>
        <v>0.3</v>
      </c>
      <c r="O218" s="46">
        <f t="shared" si="42"/>
        <v>0.3</v>
      </c>
      <c r="P218" s="46">
        <f t="shared" si="42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41"/>
        <v>0</v>
      </c>
      <c r="C219" s="43">
        <v>0.4</v>
      </c>
      <c r="D219" s="43">
        <f t="shared" si="42"/>
        <v>0.4</v>
      </c>
      <c r="E219" s="43">
        <f t="shared" si="42"/>
        <v>0.4</v>
      </c>
      <c r="F219" s="43">
        <f t="shared" si="42"/>
        <v>0.4</v>
      </c>
      <c r="G219" s="43">
        <f t="shared" si="42"/>
        <v>0.4</v>
      </c>
      <c r="H219" s="43">
        <f t="shared" si="42"/>
        <v>0.4</v>
      </c>
      <c r="I219" s="43">
        <f t="shared" si="42"/>
        <v>0.4</v>
      </c>
      <c r="J219" s="43">
        <f t="shared" si="42"/>
        <v>0.4</v>
      </c>
      <c r="K219" s="43">
        <f t="shared" si="42"/>
        <v>0.4</v>
      </c>
      <c r="L219" s="43">
        <f t="shared" si="42"/>
        <v>0.4</v>
      </c>
      <c r="M219" s="43">
        <f t="shared" si="42"/>
        <v>0.4</v>
      </c>
      <c r="N219" s="43">
        <f t="shared" si="42"/>
        <v>0.4</v>
      </c>
      <c r="O219" s="43">
        <f t="shared" si="42"/>
        <v>0.4</v>
      </c>
      <c r="P219" s="43">
        <f t="shared" si="42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41"/>
        <v>0</v>
      </c>
      <c r="C220" s="43">
        <v>1.5</v>
      </c>
      <c r="D220" s="43">
        <f t="shared" si="42"/>
        <v>1.5</v>
      </c>
      <c r="E220" s="43">
        <f t="shared" si="42"/>
        <v>1.5</v>
      </c>
      <c r="F220" s="43">
        <f t="shared" si="42"/>
        <v>1.5</v>
      </c>
      <c r="G220" s="43">
        <f t="shared" si="42"/>
        <v>1.5</v>
      </c>
      <c r="H220" s="43">
        <f t="shared" si="42"/>
        <v>1.5</v>
      </c>
      <c r="I220" s="43">
        <f t="shared" si="42"/>
        <v>1.5</v>
      </c>
      <c r="J220" s="43">
        <f t="shared" si="42"/>
        <v>1.5</v>
      </c>
      <c r="K220" s="43">
        <f t="shared" si="42"/>
        <v>1.5</v>
      </c>
      <c r="L220" s="43">
        <f t="shared" si="42"/>
        <v>1.5</v>
      </c>
      <c r="M220" s="43">
        <f t="shared" si="42"/>
        <v>1.5</v>
      </c>
      <c r="N220" s="43">
        <f t="shared" si="42"/>
        <v>1.5</v>
      </c>
      <c r="O220" s="43">
        <f t="shared" si="42"/>
        <v>1.5</v>
      </c>
      <c r="P220" s="43">
        <f t="shared" si="42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41"/>
        <v>0</v>
      </c>
      <c r="C221" s="43">
        <v>0.3</v>
      </c>
      <c r="D221" s="43">
        <f t="shared" si="42"/>
        <v>0.3</v>
      </c>
      <c r="E221" s="43">
        <f t="shared" si="42"/>
        <v>0.3</v>
      </c>
      <c r="F221" s="43">
        <f t="shared" si="42"/>
        <v>0.3</v>
      </c>
      <c r="G221" s="43">
        <f t="shared" si="42"/>
        <v>0.3</v>
      </c>
      <c r="H221" s="43">
        <f t="shared" si="42"/>
        <v>0.3</v>
      </c>
      <c r="I221" s="43">
        <f t="shared" si="42"/>
        <v>0.3</v>
      </c>
      <c r="J221" s="43">
        <f t="shared" si="42"/>
        <v>0.3</v>
      </c>
      <c r="K221" s="43">
        <f t="shared" si="42"/>
        <v>0.3</v>
      </c>
      <c r="L221" s="43">
        <f t="shared" si="42"/>
        <v>0.3</v>
      </c>
      <c r="M221" s="43">
        <f t="shared" si="42"/>
        <v>0.3</v>
      </c>
      <c r="N221" s="43">
        <f t="shared" si="42"/>
        <v>0.3</v>
      </c>
      <c r="O221" s="43">
        <f t="shared" si="42"/>
        <v>0.3</v>
      </c>
      <c r="P221" s="43">
        <f t="shared" si="42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41"/>
        <v>0</v>
      </c>
      <c r="C222" s="43">
        <v>0.4</v>
      </c>
      <c r="D222" s="43">
        <f t="shared" si="42"/>
        <v>0.4</v>
      </c>
      <c r="E222" s="43">
        <f t="shared" si="42"/>
        <v>0.4</v>
      </c>
      <c r="F222" s="43">
        <f t="shared" si="42"/>
        <v>0.4</v>
      </c>
      <c r="G222" s="43">
        <f t="shared" si="42"/>
        <v>0.4</v>
      </c>
      <c r="H222" s="43">
        <f t="shared" si="42"/>
        <v>0.4</v>
      </c>
      <c r="I222" s="43">
        <f t="shared" si="42"/>
        <v>0.4</v>
      </c>
      <c r="J222" s="43">
        <f t="shared" si="42"/>
        <v>0.4</v>
      </c>
      <c r="K222" s="43">
        <f t="shared" si="42"/>
        <v>0.4</v>
      </c>
      <c r="L222" s="43">
        <f t="shared" si="42"/>
        <v>0.4</v>
      </c>
      <c r="M222" s="43">
        <f t="shared" si="42"/>
        <v>0.4</v>
      </c>
      <c r="N222" s="43">
        <f t="shared" si="42"/>
        <v>0.4</v>
      </c>
      <c r="O222" s="43">
        <f t="shared" si="42"/>
        <v>0.4</v>
      </c>
      <c r="P222" s="43">
        <f t="shared" si="42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41"/>
        <v>0</v>
      </c>
      <c r="C223" s="39">
        <v>0.64</v>
      </c>
      <c r="D223" s="39">
        <f t="shared" si="42"/>
        <v>0.64</v>
      </c>
      <c r="E223" s="39">
        <f t="shared" si="42"/>
        <v>0.64</v>
      </c>
      <c r="F223" s="39">
        <f t="shared" si="42"/>
        <v>0.64</v>
      </c>
      <c r="G223" s="39">
        <f t="shared" si="42"/>
        <v>0.64</v>
      </c>
      <c r="H223" s="39">
        <f t="shared" si="42"/>
        <v>0.64</v>
      </c>
      <c r="I223" s="39">
        <f t="shared" si="42"/>
        <v>0.64</v>
      </c>
      <c r="J223" s="39">
        <f t="shared" si="42"/>
        <v>0.64</v>
      </c>
      <c r="K223" s="39">
        <f t="shared" si="42"/>
        <v>0.64</v>
      </c>
      <c r="L223" s="39">
        <f t="shared" si="42"/>
        <v>0.64</v>
      </c>
      <c r="M223" s="39">
        <f t="shared" si="42"/>
        <v>0.64</v>
      </c>
      <c r="N223" s="39">
        <f t="shared" si="42"/>
        <v>0.64</v>
      </c>
      <c r="O223" s="39">
        <f t="shared" si="42"/>
        <v>0.64</v>
      </c>
      <c r="P223" s="39">
        <f t="shared" si="42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43">SUM(B218:B223)</f>
        <v>0</v>
      </c>
      <c r="C224" s="36">
        <f t="shared" si="43"/>
        <v>3.54</v>
      </c>
      <c r="D224" s="36">
        <f t="shared" si="43"/>
        <v>3.54</v>
      </c>
      <c r="E224" s="36">
        <f t="shared" si="43"/>
        <v>3.54</v>
      </c>
      <c r="F224" s="36">
        <f t="shared" si="43"/>
        <v>3.54</v>
      </c>
      <c r="G224" s="36">
        <f t="shared" si="43"/>
        <v>3.54</v>
      </c>
      <c r="H224" s="36">
        <f t="shared" si="43"/>
        <v>3.54</v>
      </c>
      <c r="I224" s="36">
        <f t="shared" si="43"/>
        <v>3.54</v>
      </c>
      <c r="J224" s="36">
        <f t="shared" si="43"/>
        <v>3.54</v>
      </c>
      <c r="K224" s="36">
        <f t="shared" si="43"/>
        <v>3.54</v>
      </c>
      <c r="L224" s="36">
        <f t="shared" si="43"/>
        <v>3.54</v>
      </c>
      <c r="M224" s="36">
        <f t="shared" si="43"/>
        <v>3.54</v>
      </c>
      <c r="N224" s="36">
        <f t="shared" si="43"/>
        <v>3.54</v>
      </c>
      <c r="O224" s="36">
        <f t="shared" si="43"/>
        <v>3.54</v>
      </c>
      <c r="P224" s="36">
        <f t="shared" si="43"/>
        <v>3.54</v>
      </c>
      <c r="Q224" s="36">
        <f t="shared" si="43"/>
        <v>0</v>
      </c>
      <c r="R224" s="36">
        <f t="shared" si="43"/>
        <v>0</v>
      </c>
      <c r="S224" s="36">
        <f t="shared" si="43"/>
        <v>0</v>
      </c>
      <c r="T224" s="36">
        <f t="shared" si="43"/>
        <v>0</v>
      </c>
      <c r="U224" s="36">
        <f t="shared" si="43"/>
        <v>0</v>
      </c>
      <c r="V224" s="36">
        <f t="shared" si="43"/>
        <v>0</v>
      </c>
      <c r="W224" s="36">
        <f t="shared" si="43"/>
        <v>0</v>
      </c>
      <c r="X224" s="36">
        <f t="shared" si="43"/>
        <v>0</v>
      </c>
      <c r="Y224" s="36">
        <f t="shared" si="43"/>
        <v>0</v>
      </c>
      <c r="Z224" s="36">
        <f t="shared" si="43"/>
        <v>0</v>
      </c>
      <c r="AA224" s="36">
        <f t="shared" si="43"/>
        <v>0</v>
      </c>
      <c r="AB224" s="36">
        <f t="shared" si="43"/>
        <v>0</v>
      </c>
      <c r="AC224" s="36">
        <f t="shared" si="43"/>
        <v>0</v>
      </c>
      <c r="AD224" s="36">
        <f t="shared" si="43"/>
        <v>0</v>
      </c>
      <c r="AE224" s="36">
        <f t="shared" si="43"/>
        <v>0</v>
      </c>
      <c r="AF224" s="36">
        <f t="shared" si="43"/>
        <v>0</v>
      </c>
      <c r="AG224" s="35">
        <f t="shared" si="43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1376.3400000000001</v>
      </c>
      <c r="C233" s="16">
        <f>INDEX(G9:N9,1,MATCH(MAX(G81:N81),G81:N81,0))</f>
        <v>0.375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22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2079/06/22)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2079/06/22)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44">B81</f>
        <v>1334.74</v>
      </c>
      <c r="U238" s="9">
        <f t="shared" si="44"/>
        <v>1302.74</v>
      </c>
      <c r="V238" s="9">
        <f t="shared" si="44"/>
        <v>1303.54</v>
      </c>
      <c r="W238" s="9">
        <f t="shared" si="44"/>
        <v>1265.94</v>
      </c>
      <c r="X238" s="9">
        <f t="shared" si="44"/>
        <v>1263.94</v>
      </c>
      <c r="Y238" s="9">
        <f t="shared" si="44"/>
        <v>1263.94</v>
      </c>
      <c r="Z238" s="9">
        <f t="shared" si="44"/>
        <v>1263.94</v>
      </c>
      <c r="AA238" s="9">
        <f t="shared" si="44"/>
        <v>1284.94</v>
      </c>
      <c r="AB238" s="9">
        <f t="shared" si="44"/>
        <v>1287.94</v>
      </c>
      <c r="AC238" s="9">
        <f t="shared" si="44"/>
        <v>1304.94</v>
      </c>
      <c r="AD238" s="9">
        <f t="shared" si="44"/>
        <v>1336.94</v>
      </c>
      <c r="AE238" s="9">
        <f t="shared" si="44"/>
        <v>1369.24</v>
      </c>
      <c r="AF238" s="9">
        <f t="shared" si="44"/>
        <v>1376.3400000000001</v>
      </c>
      <c r="AG238" s="9">
        <f t="shared" si="44"/>
        <v>1380.3400000000001</v>
      </c>
      <c r="AH238" s="9">
        <f t="shared" si="44"/>
        <v>1385.6399999999999</v>
      </c>
      <c r="AI238" s="9">
        <f t="shared" si="44"/>
        <v>1383.3400000000001</v>
      </c>
      <c r="AJ238" s="9">
        <f t="shared" si="44"/>
        <v>1346.54</v>
      </c>
      <c r="AK238" s="9">
        <f t="shared" si="44"/>
        <v>1353.6399999999999</v>
      </c>
      <c r="AL238" s="9">
        <f t="shared" si="44"/>
        <v>1365.04</v>
      </c>
      <c r="AM238" s="9">
        <f t="shared" si="44"/>
        <v>1369.74</v>
      </c>
      <c r="AN238" s="9">
        <f t="shared" si="44"/>
        <v>1365.24</v>
      </c>
      <c r="AO238" s="9">
        <f t="shared" si="44"/>
        <v>1375.8400000000001</v>
      </c>
      <c r="AP238" s="9">
        <f t="shared" si="44"/>
        <v>1474.04</v>
      </c>
      <c r="AQ238" s="9">
        <f t="shared" si="44"/>
        <v>1578.34</v>
      </c>
      <c r="AR238" s="9">
        <f t="shared" si="44"/>
        <v>1567.54</v>
      </c>
      <c r="AS238" s="9">
        <f t="shared" si="44"/>
        <v>1565.44</v>
      </c>
      <c r="AT238" s="9">
        <f t="shared" si="44"/>
        <v>1568.34</v>
      </c>
      <c r="AU238" s="9">
        <f t="shared" si="44"/>
        <v>1568.1399999999999</v>
      </c>
      <c r="AV238" s="9">
        <f t="shared" si="44"/>
        <v>1567.94</v>
      </c>
      <c r="AW238" s="9">
        <f t="shared" si="44"/>
        <v>1493.54</v>
      </c>
      <c r="AX238" s="9">
        <f t="shared" si="44"/>
        <v>1436.04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45">C223</f>
        <v>0.64</v>
      </c>
      <c r="C259" s="4">
        <f t="shared" si="45"/>
        <v>0.64</v>
      </c>
      <c r="D259" s="4">
        <f t="shared" si="45"/>
        <v>0.64</v>
      </c>
      <c r="E259" s="4">
        <f t="shared" si="45"/>
        <v>0.64</v>
      </c>
      <c r="F259" s="4">
        <f t="shared" si="45"/>
        <v>0.64</v>
      </c>
      <c r="G259" s="4">
        <f t="shared" si="45"/>
        <v>0.64</v>
      </c>
      <c r="H259" s="4">
        <f t="shared" si="45"/>
        <v>0.64</v>
      </c>
      <c r="I259" s="4">
        <f t="shared" si="45"/>
        <v>0.64</v>
      </c>
      <c r="J259" s="4">
        <f t="shared" si="45"/>
        <v>0.64</v>
      </c>
      <c r="K259" s="4">
        <f t="shared" si="45"/>
        <v>0.64</v>
      </c>
      <c r="L259" s="4">
        <f t="shared" si="45"/>
        <v>0.64</v>
      </c>
      <c r="M259" s="4">
        <f t="shared" si="45"/>
        <v>0.64</v>
      </c>
      <c r="N259" s="4">
        <f t="shared" si="45"/>
        <v>0.64</v>
      </c>
      <c r="O259" s="4">
        <f t="shared" si="45"/>
        <v>0.64</v>
      </c>
      <c r="P259" s="4">
        <f t="shared" si="45"/>
        <v>0</v>
      </c>
      <c r="Q259" s="4">
        <f t="shared" si="45"/>
        <v>0</v>
      </c>
      <c r="R259" s="4">
        <f t="shared" si="45"/>
        <v>0</v>
      </c>
      <c r="S259" s="4">
        <f t="shared" si="45"/>
        <v>0</v>
      </c>
      <c r="T259" s="4">
        <f t="shared" si="45"/>
        <v>0</v>
      </c>
      <c r="U259" s="4">
        <f t="shared" si="45"/>
        <v>0</v>
      </c>
      <c r="V259" s="4">
        <f t="shared" si="45"/>
        <v>0</v>
      </c>
      <c r="W259" s="4">
        <f t="shared" si="45"/>
        <v>0</v>
      </c>
      <c r="X259" s="4">
        <f t="shared" si="45"/>
        <v>0</v>
      </c>
      <c r="Y259" s="4">
        <f t="shared" si="45"/>
        <v>0</v>
      </c>
      <c r="Z259" s="4">
        <f t="shared" si="45"/>
        <v>0</v>
      </c>
      <c r="AA259" s="4">
        <f t="shared" si="45"/>
        <v>0</v>
      </c>
      <c r="AB259" s="4">
        <f t="shared" si="45"/>
        <v>0</v>
      </c>
      <c r="AC259" s="4">
        <f t="shared" si="45"/>
        <v>0</v>
      </c>
      <c r="AD259" s="4">
        <f t="shared" si="45"/>
        <v>0</v>
      </c>
      <c r="AE259" s="4">
        <f t="shared" si="45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46">IF(B227&lt;100,"",B227-520)</f>
        <v/>
      </c>
      <c r="C260" s="3" t="str">
        <f t="shared" si="46"/>
        <v/>
      </c>
      <c r="D260" s="3" t="str">
        <f t="shared" si="46"/>
        <v/>
      </c>
      <c r="E260" s="3" t="str">
        <f t="shared" si="46"/>
        <v/>
      </c>
      <c r="F260" s="3" t="str">
        <f t="shared" si="46"/>
        <v/>
      </c>
      <c r="G260" s="3" t="str">
        <f t="shared" si="46"/>
        <v/>
      </c>
      <c r="H260" s="3" t="str">
        <f t="shared" si="46"/>
        <v/>
      </c>
      <c r="I260" s="3" t="str">
        <f t="shared" si="46"/>
        <v/>
      </c>
      <c r="J260" s="3" t="str">
        <f t="shared" si="46"/>
        <v/>
      </c>
      <c r="K260" s="3" t="str">
        <f t="shared" si="46"/>
        <v/>
      </c>
      <c r="L260" s="3" t="str">
        <f t="shared" si="46"/>
        <v/>
      </c>
      <c r="M260" s="3" t="str">
        <f t="shared" si="46"/>
        <v/>
      </c>
      <c r="N260" s="3" t="str">
        <f t="shared" si="46"/>
        <v/>
      </c>
      <c r="O260" s="3" t="str">
        <f t="shared" si="46"/>
        <v/>
      </c>
      <c r="P260" s="3" t="str">
        <f t="shared" si="46"/>
        <v/>
      </c>
      <c r="Q260" s="3" t="str">
        <f t="shared" si="46"/>
        <v/>
      </c>
      <c r="R260" s="3" t="str">
        <f t="shared" si="46"/>
        <v/>
      </c>
      <c r="S260" s="3" t="str">
        <f t="shared" si="46"/>
        <v/>
      </c>
      <c r="T260" s="3" t="str">
        <f t="shared" si="46"/>
        <v/>
      </c>
      <c r="U260" s="3" t="str">
        <f t="shared" si="46"/>
        <v/>
      </c>
      <c r="V260" s="3" t="str">
        <f t="shared" si="46"/>
        <v/>
      </c>
      <c r="W260" s="3" t="str">
        <f t="shared" si="46"/>
        <v/>
      </c>
      <c r="X260" s="3" t="str">
        <f t="shared" si="46"/>
        <v/>
      </c>
      <c r="Y260" s="3" t="str">
        <f t="shared" si="46"/>
        <v/>
      </c>
      <c r="Z260" s="3" t="str">
        <f t="shared" si="46"/>
        <v/>
      </c>
      <c r="AA260" s="3" t="str">
        <f t="shared" si="46"/>
        <v/>
      </c>
      <c r="AB260" s="3" t="str">
        <f t="shared" si="46"/>
        <v/>
      </c>
      <c r="AC260" s="3" t="str">
        <f t="shared" si="46"/>
        <v/>
      </c>
      <c r="AD260" s="3" t="str">
        <f t="shared" si="46"/>
        <v/>
      </c>
      <c r="AE260" s="3" t="str">
        <f t="shared" si="46"/>
        <v/>
      </c>
      <c r="AF260" s="3" t="str">
        <f t="shared" si="46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47">IF(B228&lt;100,"",B228-620)</f>
        <v/>
      </c>
      <c r="C261" s="3" t="str">
        <f t="shared" si="47"/>
        <v/>
      </c>
      <c r="D261" s="3" t="str">
        <f t="shared" si="47"/>
        <v/>
      </c>
      <c r="E261" s="3" t="str">
        <f t="shared" si="47"/>
        <v/>
      </c>
      <c r="F261" s="3" t="str">
        <f t="shared" si="47"/>
        <v/>
      </c>
      <c r="G261" s="3" t="str">
        <f t="shared" si="47"/>
        <v/>
      </c>
      <c r="H261" s="3" t="str">
        <f t="shared" si="47"/>
        <v/>
      </c>
      <c r="I261" s="3" t="str">
        <f t="shared" si="47"/>
        <v/>
      </c>
      <c r="J261" s="3" t="str">
        <f t="shared" si="47"/>
        <v/>
      </c>
      <c r="K261" s="3" t="str">
        <f t="shared" si="47"/>
        <v/>
      </c>
      <c r="L261" s="3" t="str">
        <f t="shared" si="47"/>
        <v/>
      </c>
      <c r="M261" s="3" t="str">
        <f t="shared" si="47"/>
        <v/>
      </c>
      <c r="N261" s="3" t="str">
        <f t="shared" si="47"/>
        <v/>
      </c>
      <c r="O261" s="3" t="str">
        <f t="shared" si="47"/>
        <v/>
      </c>
      <c r="P261" s="3" t="str">
        <f t="shared" si="47"/>
        <v/>
      </c>
      <c r="Q261" s="3" t="str">
        <f t="shared" si="47"/>
        <v/>
      </c>
      <c r="R261" s="3" t="str">
        <f t="shared" si="47"/>
        <v/>
      </c>
      <c r="S261" s="3" t="str">
        <f t="shared" si="47"/>
        <v/>
      </c>
      <c r="T261" s="3" t="str">
        <f t="shared" si="47"/>
        <v/>
      </c>
      <c r="U261" s="3" t="str">
        <f t="shared" si="47"/>
        <v/>
      </c>
      <c r="V261" s="3" t="str">
        <f t="shared" si="47"/>
        <v/>
      </c>
      <c r="W261" s="3" t="str">
        <f t="shared" si="47"/>
        <v/>
      </c>
      <c r="X261" s="3" t="str">
        <f t="shared" si="47"/>
        <v/>
      </c>
      <c r="Y261" s="3" t="str">
        <f t="shared" si="47"/>
        <v/>
      </c>
      <c r="Z261" s="3" t="str">
        <f t="shared" si="47"/>
        <v/>
      </c>
      <c r="AA261" s="3" t="str">
        <f t="shared" si="47"/>
        <v/>
      </c>
      <c r="AB261" s="3" t="str">
        <f t="shared" si="47"/>
        <v/>
      </c>
      <c r="AC261" s="3" t="str">
        <f t="shared" si="47"/>
        <v/>
      </c>
      <c r="AD261" s="3" t="str">
        <f t="shared" si="47"/>
        <v/>
      </c>
      <c r="AE261" s="3" t="str">
        <f t="shared" si="47"/>
        <v/>
      </c>
      <c r="AF261" s="3" t="str">
        <f t="shared" si="47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48">IF(B229&lt;100,"",B229-330)</f>
        <v/>
      </c>
      <c r="C262" s="3" t="str">
        <f t="shared" si="48"/>
        <v/>
      </c>
      <c r="D262" s="3" t="str">
        <f t="shared" si="48"/>
        <v/>
      </c>
      <c r="E262" s="3" t="str">
        <f t="shared" si="48"/>
        <v/>
      </c>
      <c r="F262" s="3" t="str">
        <f t="shared" si="48"/>
        <v/>
      </c>
      <c r="G262" s="3" t="str">
        <f t="shared" si="48"/>
        <v/>
      </c>
      <c r="H262" s="3" t="str">
        <f t="shared" si="48"/>
        <v/>
      </c>
      <c r="I262" s="3" t="str">
        <f t="shared" si="48"/>
        <v/>
      </c>
      <c r="J262" s="3" t="str">
        <f t="shared" si="48"/>
        <v/>
      </c>
      <c r="K262" s="3" t="str">
        <f t="shared" si="48"/>
        <v/>
      </c>
      <c r="L262" s="3" t="str">
        <f t="shared" si="48"/>
        <v/>
      </c>
      <c r="M262" s="3" t="str">
        <f t="shared" si="48"/>
        <v/>
      </c>
      <c r="N262" s="3" t="str">
        <f t="shared" si="48"/>
        <v/>
      </c>
      <c r="O262" s="3" t="str">
        <f t="shared" si="48"/>
        <v/>
      </c>
      <c r="P262" s="3" t="str">
        <f t="shared" si="48"/>
        <v/>
      </c>
      <c r="Q262" s="3" t="str">
        <f t="shared" si="48"/>
        <v/>
      </c>
      <c r="R262" s="3" t="str">
        <f t="shared" si="48"/>
        <v/>
      </c>
      <c r="S262" s="3" t="str">
        <f t="shared" si="48"/>
        <v/>
      </c>
      <c r="T262" s="3" t="str">
        <f t="shared" si="48"/>
        <v/>
      </c>
      <c r="U262" s="3" t="str">
        <f t="shared" si="48"/>
        <v/>
      </c>
      <c r="V262" s="3" t="str">
        <f t="shared" si="48"/>
        <v/>
      </c>
      <c r="W262" s="3" t="str">
        <f t="shared" si="48"/>
        <v/>
      </c>
      <c r="X262" s="3" t="str">
        <f t="shared" si="48"/>
        <v/>
      </c>
      <c r="Y262" s="3" t="str">
        <f t="shared" si="48"/>
        <v/>
      </c>
      <c r="Z262" s="3" t="str">
        <f t="shared" si="48"/>
        <v/>
      </c>
      <c r="AA262" s="3" t="str">
        <f t="shared" si="48"/>
        <v/>
      </c>
      <c r="AB262" s="3" t="str">
        <f t="shared" si="48"/>
        <v/>
      </c>
      <c r="AC262" s="3" t="str">
        <f t="shared" si="48"/>
        <v/>
      </c>
      <c r="AD262" s="3" t="str">
        <f t="shared" si="48"/>
        <v/>
      </c>
      <c r="AE262" s="3" t="str">
        <f t="shared" si="48"/>
        <v/>
      </c>
      <c r="AF262" s="3" t="str">
        <f t="shared" si="48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49">IF(B230&lt;100,"",B230-1500)</f>
        <v/>
      </c>
      <c r="C263" s="3" t="str">
        <f t="shared" si="49"/>
        <v/>
      </c>
      <c r="D263" s="3" t="str">
        <f t="shared" si="49"/>
        <v/>
      </c>
      <c r="E263" s="3" t="str">
        <f t="shared" si="49"/>
        <v/>
      </c>
      <c r="F263" s="3" t="str">
        <f t="shared" si="49"/>
        <v/>
      </c>
      <c r="G263" s="3" t="str">
        <f t="shared" si="49"/>
        <v/>
      </c>
      <c r="H263" s="3" t="str">
        <f t="shared" si="49"/>
        <v/>
      </c>
      <c r="I263" s="3" t="str">
        <f t="shared" si="49"/>
        <v/>
      </c>
      <c r="J263" s="3" t="str">
        <f t="shared" si="49"/>
        <v/>
      </c>
      <c r="K263" s="3" t="str">
        <f t="shared" si="49"/>
        <v/>
      </c>
      <c r="L263" s="3" t="str">
        <f t="shared" si="49"/>
        <v/>
      </c>
      <c r="M263" s="3" t="str">
        <f t="shared" si="49"/>
        <v/>
      </c>
      <c r="N263" s="3" t="str">
        <f t="shared" si="49"/>
        <v/>
      </c>
      <c r="O263" s="3" t="str">
        <f t="shared" si="49"/>
        <v/>
      </c>
      <c r="P263" s="3" t="str">
        <f t="shared" si="49"/>
        <v/>
      </c>
      <c r="Q263" s="3" t="str">
        <f t="shared" si="49"/>
        <v/>
      </c>
      <c r="R263" s="3" t="str">
        <f t="shared" si="49"/>
        <v/>
      </c>
      <c r="S263" s="3" t="str">
        <f t="shared" si="49"/>
        <v/>
      </c>
      <c r="T263" s="3" t="str">
        <f t="shared" si="49"/>
        <v/>
      </c>
      <c r="U263" s="3" t="str">
        <f t="shared" si="49"/>
        <v/>
      </c>
      <c r="V263" s="3" t="str">
        <f t="shared" si="49"/>
        <v/>
      </c>
      <c r="W263" s="3" t="str">
        <f t="shared" si="49"/>
        <v/>
      </c>
      <c r="X263" s="3" t="str">
        <f t="shared" si="49"/>
        <v/>
      </c>
      <c r="Y263" s="3" t="str">
        <f t="shared" si="49"/>
        <v/>
      </c>
      <c r="Z263" s="3" t="str">
        <f t="shared" si="49"/>
        <v/>
      </c>
      <c r="AA263" s="3" t="str">
        <f t="shared" si="49"/>
        <v/>
      </c>
      <c r="AB263" s="3" t="str">
        <f t="shared" si="49"/>
        <v/>
      </c>
      <c r="AC263" s="3" t="str">
        <f t="shared" si="49"/>
        <v/>
      </c>
      <c r="AD263" s="3" t="str">
        <f t="shared" si="49"/>
        <v/>
      </c>
      <c r="AE263" s="3" t="str">
        <f t="shared" si="49"/>
        <v/>
      </c>
      <c r="AF263" s="3" t="str">
        <f t="shared" si="49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355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354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AE11:AF11 C101:AF101 C103:AF108 Q16:AF16 Q20:AF23">
    <cfRule type="expression" dxfId="3954" priority="350">
      <formula>B$9&gt;=20/24</formula>
    </cfRule>
    <cfRule type="expression" dxfId="3953" priority="351">
      <formula>AND(B$9&gt;=14/24,B$9&lt;20/24)</formula>
    </cfRule>
    <cfRule type="expression" dxfId="3952" priority="352">
      <formula>AND(B$9&gt;=8/24,B$9&lt;14/24)</formula>
    </cfRule>
    <cfRule type="expression" dxfId="3951" priority="353">
      <formula>B$9&lt;8/24</formula>
    </cfRule>
  </conditionalFormatting>
  <conditionalFormatting sqref="AL4:AL6">
    <cfRule type="iconSet" priority="349">
      <iconSet iconSet="3TrafficLights2" reverse="1">
        <cfvo type="percent" val="0"/>
        <cfvo type="num" val="1"/>
        <cfvo type="num" val="1"/>
      </iconSet>
    </cfRule>
  </conditionalFormatting>
  <conditionalFormatting sqref="V39:AF39">
    <cfRule type="expression" dxfId="3950" priority="345">
      <formula>V$9&gt;=20/24</formula>
    </cfRule>
    <cfRule type="expression" dxfId="3949" priority="346">
      <formula>AND(V$9&gt;=14/24,V$9&lt;20/24)</formula>
    </cfRule>
    <cfRule type="expression" dxfId="3948" priority="347">
      <formula>AND(V$9&gt;=8/24,V$9&lt;14/24)</formula>
    </cfRule>
    <cfRule type="expression" dxfId="3947" priority="348">
      <formula>V$9&lt;8/24</formula>
    </cfRule>
  </conditionalFormatting>
  <conditionalFormatting sqref="AG57 R11:R15 Q16:R16 P12:Q14 L12:O13 Q15 S11:AF16 L18:AF18 Q20:AF23 Q37:AF37 V39:AF39">
    <cfRule type="expression" dxfId="3946" priority="344">
      <formula>L11&gt;$AG11</formula>
    </cfRule>
  </conditionalFormatting>
  <conditionalFormatting sqref="A91:A101 A11:A14 A51:A78 A87:A89 A194:A224 A38:A49 A110:A181 A34:A35 A83:A85 A80:A81 A103:A105 A31:A32 A18:A29 A16">
    <cfRule type="expression" dxfId="3945" priority="343">
      <formula>$AH11=0</formula>
    </cfRule>
  </conditionalFormatting>
  <conditionalFormatting sqref="A106">
    <cfRule type="expression" dxfId="3944" priority="342">
      <formula>$AH106=0</formula>
    </cfRule>
  </conditionalFormatting>
  <conditionalFormatting sqref="AL35">
    <cfRule type="iconSet" priority="341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943" priority="340">
      <formula>$AH37=0</formula>
    </cfRule>
  </conditionalFormatting>
  <conditionalFormatting sqref="A90">
    <cfRule type="expression" dxfId="3942" priority="339">
      <formula>$AH90=0</formula>
    </cfRule>
  </conditionalFormatting>
  <conditionalFormatting sqref="A15">
    <cfRule type="expression" dxfId="3941" priority="338">
      <formula>$AH15=0</formula>
    </cfRule>
  </conditionalFormatting>
  <conditionalFormatting sqref="A188:A193">
    <cfRule type="expression" dxfId="3940" priority="337">
      <formula>$AH188=0</formula>
    </cfRule>
  </conditionalFormatting>
  <conditionalFormatting sqref="A182:A187">
    <cfRule type="expression" dxfId="3939" priority="336">
      <formula>$AH182=0</formula>
    </cfRule>
  </conditionalFormatting>
  <conditionalFormatting sqref="A50">
    <cfRule type="expression" dxfId="3938" priority="335">
      <formula>$AH50=0</formula>
    </cfRule>
  </conditionalFormatting>
  <conditionalFormatting sqref="A86">
    <cfRule type="expression" dxfId="3937" priority="334">
      <formula>$AH86=0</formula>
    </cfRule>
  </conditionalFormatting>
  <conditionalFormatting sqref="C91:AF91">
    <cfRule type="expression" dxfId="3936" priority="330">
      <formula>C$9&gt;=20/24</formula>
    </cfRule>
    <cfRule type="expression" dxfId="3935" priority="331">
      <formula>AND(C$9&gt;=14/24,C$9&lt;20/24)</formula>
    </cfRule>
    <cfRule type="expression" dxfId="3934" priority="332">
      <formula>AND(C$9&gt;=8/24,C$9&lt;14/24)</formula>
    </cfRule>
    <cfRule type="expression" dxfId="3933" priority="333">
      <formula>C$9&lt;8/24</formula>
    </cfRule>
  </conditionalFormatting>
  <conditionalFormatting sqref="AL36">
    <cfRule type="iconSet" priority="329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932" priority="356">
      <formula>C$9&gt;=20/24</formula>
    </cfRule>
    <cfRule type="expression" dxfId="3931" priority="357">
      <formula>AND(C$9&gt;=14/24,C$9&lt;20/24)</formula>
    </cfRule>
    <cfRule type="expression" dxfId="3930" priority="358">
      <formula>AND(C$9&gt;=8/24,C$9&lt;14/24)</formula>
    </cfRule>
    <cfRule type="expression" dxfId="3929" priority="359">
      <formula>C$9&lt;8/24</formula>
    </cfRule>
  </conditionalFormatting>
  <conditionalFormatting sqref="A225">
    <cfRule type="expression" dxfId="3928" priority="360">
      <formula>$AH225=0</formula>
    </cfRule>
  </conditionalFormatting>
  <conditionalFormatting sqref="AG237">
    <cfRule type="expression" dxfId="3927" priority="361">
      <formula>B$9&gt;=20/24</formula>
    </cfRule>
    <cfRule type="expression" dxfId="3926" priority="362">
      <formula>AND(B$9&gt;=14/24,B$9&lt;20/24)</formula>
    </cfRule>
    <cfRule type="expression" dxfId="3925" priority="363">
      <formula>AND(B$9&gt;=8/24,B$9&lt;14/24)</formula>
    </cfRule>
    <cfRule type="expression" dxfId="3924" priority="364">
      <formula>B$9&lt;8/24</formula>
    </cfRule>
  </conditionalFormatting>
  <conditionalFormatting sqref="S8">
    <cfRule type="expression" dxfId="3923" priority="325">
      <formula>U$9&gt;=20/24</formula>
    </cfRule>
    <cfRule type="expression" dxfId="3922" priority="326">
      <formula>AND(U$9&gt;=14/24,U$9&lt;20/24)</formula>
    </cfRule>
    <cfRule type="expression" dxfId="3921" priority="327">
      <formula>AND(U$9&gt;=8/24,U$9&lt;14/24)</formula>
    </cfRule>
    <cfRule type="expression" dxfId="3920" priority="328">
      <formula>U$9&lt;8/24</formula>
    </cfRule>
  </conditionalFormatting>
  <conditionalFormatting sqref="AB8">
    <cfRule type="expression" dxfId="3919" priority="321">
      <formula>AD$9&gt;=20/24</formula>
    </cfRule>
    <cfRule type="expression" dxfId="3918" priority="322">
      <formula>AND(AD$9&gt;=14/24,AD$9&lt;20/24)</formula>
    </cfRule>
    <cfRule type="expression" dxfId="3917" priority="323">
      <formula>AND(AD$9&gt;=8/24,AD$9&lt;14/24)</formula>
    </cfRule>
    <cfRule type="expression" dxfId="3916" priority="324">
      <formula>AD$9&lt;8/24</formula>
    </cfRule>
  </conditionalFormatting>
  <conditionalFormatting sqref="AH237:AX237">
    <cfRule type="expression" dxfId="3915" priority="365">
      <formula>AG$9&gt;=20/24</formula>
    </cfRule>
    <cfRule type="expression" dxfId="3914" priority="366">
      <formula>AND(AG$9&gt;=14/24,AG$9&lt;20/24)</formula>
    </cfRule>
    <cfRule type="expression" dxfId="3913" priority="367">
      <formula>AND(AG$9&gt;=8/24,AG$9&lt;14/24)</formula>
    </cfRule>
    <cfRule type="expression" dxfId="3912" priority="368">
      <formula>AG$9&lt;8/24</formula>
    </cfRule>
  </conditionalFormatting>
  <conditionalFormatting sqref="T237">
    <cfRule type="expression" dxfId="3911" priority="369">
      <formula>AX$9&gt;=20/24</formula>
    </cfRule>
    <cfRule type="expression" dxfId="3910" priority="370">
      <formula>AND(AX$9&gt;=14/24,AX$9&lt;20/24)</formula>
    </cfRule>
    <cfRule type="expression" dxfId="3909" priority="371">
      <formula>AND(AX$9&gt;=8/24,AX$9&lt;14/24)</formula>
    </cfRule>
    <cfRule type="expression" dxfId="3908" priority="372">
      <formula>AX$9&lt;8/24</formula>
    </cfRule>
  </conditionalFormatting>
  <conditionalFormatting sqref="A107:A108">
    <cfRule type="expression" dxfId="3907" priority="320">
      <formula>$AH107=0</formula>
    </cfRule>
  </conditionalFormatting>
  <conditionalFormatting sqref="M46:O48 AB46:AF47 M63:AF63">
    <cfRule type="expression" dxfId="3906" priority="316">
      <formula>M$9&gt;=20/24</formula>
    </cfRule>
    <cfRule type="expression" dxfId="3905" priority="317">
      <formula>AND(M$9&gt;=14/24,M$9&lt;20/24)</formula>
    </cfRule>
    <cfRule type="expression" dxfId="3904" priority="318">
      <formula>AND(M$9&gt;=8/24,M$9&lt;14/24)</formula>
    </cfRule>
    <cfRule type="expression" dxfId="3903" priority="319">
      <formula>M$9&lt;8/24</formula>
    </cfRule>
  </conditionalFormatting>
  <conditionalFormatting sqref="AB45:AF45">
    <cfRule type="expression" dxfId="3902" priority="312">
      <formula>AB$9&gt;=20/24</formula>
    </cfRule>
    <cfRule type="expression" dxfId="3901" priority="313">
      <formula>AND(AB$9&gt;=14/24,AB$9&lt;20/24)</formula>
    </cfRule>
    <cfRule type="expression" dxfId="3900" priority="314">
      <formula>AND(AB$9&gt;=8/24,AB$9&lt;14/24)</formula>
    </cfRule>
    <cfRule type="expression" dxfId="3899" priority="315">
      <formula>AB$9&lt;8/24</formula>
    </cfRule>
  </conditionalFormatting>
  <conditionalFormatting sqref="M46:O48 AB45:AF47">
    <cfRule type="expression" dxfId="3898" priority="311">
      <formula>M45&gt;$AG45</formula>
    </cfRule>
  </conditionalFormatting>
  <conditionalFormatting sqref="C88:AF88 C75:AF78 AE27:AF27 L39:U39 M64:U65 R11:AD14 AE12:AF14 R18:AF18 V38:AF38 T59:AF61 V64:AF73 D92:AF98">
    <cfRule type="expression" dxfId="3897" priority="307">
      <formula>C$9&gt;=20/24</formula>
    </cfRule>
    <cfRule type="expression" dxfId="3896" priority="308">
      <formula>AND(C$9&gt;=14/24,C$9&lt;20/24)</formula>
    </cfRule>
    <cfRule type="expression" dxfId="3895" priority="309">
      <formula>AND(C$9&gt;=8/24,C$9&lt;14/24)</formula>
    </cfRule>
    <cfRule type="expression" dxfId="3894" priority="310">
      <formula>C$9&lt;8/24</formula>
    </cfRule>
  </conditionalFormatting>
  <conditionalFormatting sqref="C57:AF57 AE27:AF27 L39:U39 R11:AD11 V38:AF38 AB48:AF49 T59:AF61">
    <cfRule type="expression" dxfId="3893" priority="302">
      <formula>C11&gt;$AG11</formula>
    </cfRule>
  </conditionalFormatting>
  <conditionalFormatting sqref="AE37:AF37">
    <cfRule type="expression" dxfId="3892" priority="298">
      <formula>AE$9&gt;=20/24</formula>
    </cfRule>
    <cfRule type="expression" dxfId="3891" priority="299">
      <formula>AND(AE$9&gt;=14/24,AE$9&lt;20/24)</formula>
    </cfRule>
    <cfRule type="expression" dxfId="3890" priority="300">
      <formula>AND(AE$9&gt;=8/24,AE$9&lt;14/24)</formula>
    </cfRule>
    <cfRule type="expression" dxfId="3889" priority="301">
      <formula>AE$9&lt;8/24</formula>
    </cfRule>
  </conditionalFormatting>
  <conditionalFormatting sqref="R15:AF15">
    <cfRule type="expression" dxfId="3888" priority="294">
      <formula>R$9&gt;=20/24</formula>
    </cfRule>
    <cfRule type="expression" dxfId="3887" priority="295">
      <formula>AND(R$9&gt;=14/24,R$9&lt;20/24)</formula>
    </cfRule>
    <cfRule type="expression" dxfId="3886" priority="296">
      <formula>AND(R$9&gt;=8/24,R$9&lt;14/24)</formula>
    </cfRule>
    <cfRule type="expression" dxfId="3885" priority="297">
      <formula>R$9&lt;8/24</formula>
    </cfRule>
  </conditionalFormatting>
  <conditionalFormatting sqref="AB50:AF50">
    <cfRule type="expression" dxfId="3884" priority="285">
      <formula>AB$9&gt;=20/24</formula>
    </cfRule>
    <cfRule type="expression" dxfId="3883" priority="286">
      <formula>AND(AB$9&gt;=14/24,AB$9&lt;20/24)</formula>
    </cfRule>
    <cfRule type="expression" dxfId="3882" priority="287">
      <formula>AND(AB$9&gt;=8/24,AB$9&lt;14/24)</formula>
    </cfRule>
    <cfRule type="expression" dxfId="3881" priority="288">
      <formula>AB$9&lt;8/24</formula>
    </cfRule>
  </conditionalFormatting>
  <conditionalFormatting sqref="AB50:AF50">
    <cfRule type="expression" dxfId="3880" priority="284">
      <formula>AB50&gt;$AG50</formula>
    </cfRule>
  </conditionalFormatting>
  <conditionalFormatting sqref="R50:R51 P45:R49 M45:O45 S45:AA51 AB51:AF51">
    <cfRule type="expression" dxfId="3879" priority="280">
      <formula>M$9&gt;=20/24</formula>
    </cfRule>
    <cfRule type="expression" dxfId="3878" priority="281">
      <formula>AND(M$9&gt;=14/24,M$9&lt;20/24)</formula>
    </cfRule>
    <cfRule type="expression" dxfId="3877" priority="282">
      <formula>AND(M$9&gt;=8/24,M$9&lt;14/24)</formula>
    </cfRule>
    <cfRule type="expression" dxfId="3876" priority="283">
      <formula>M$9&lt;8/24</formula>
    </cfRule>
  </conditionalFormatting>
  <conditionalFormatting sqref="R50:R51 P45:R49 M45:O45 S45:AA51 AB51:AF51">
    <cfRule type="expression" dxfId="3875" priority="279">
      <formula>M45&gt;$AG45</formula>
    </cfRule>
  </conditionalFormatting>
  <conditionalFormatting sqref="AE19:AF19 Q31:AF31">
    <cfRule type="expression" dxfId="3874" priority="271">
      <formula>Q$9&gt;=20/24</formula>
    </cfRule>
    <cfRule type="expression" dxfId="3873" priority="272">
      <formula>AND(Q$9&gt;=14/24,Q$9&lt;20/24)</formula>
    </cfRule>
    <cfRule type="expression" dxfId="3872" priority="273">
      <formula>AND(Q$9&gt;=8/24,Q$9&lt;14/24)</formula>
    </cfRule>
    <cfRule type="expression" dxfId="3871" priority="274">
      <formula>Q$9&lt;8/24</formula>
    </cfRule>
  </conditionalFormatting>
  <conditionalFormatting sqref="AE19:AF19 Q31:AF31">
    <cfRule type="expression" dxfId="3870" priority="270">
      <formula>Q19&gt;$AG19</formula>
    </cfRule>
  </conditionalFormatting>
  <conditionalFormatting sqref="D45:L45">
    <cfRule type="expression" dxfId="3869" priority="266">
      <formula>D$9&gt;=20/24</formula>
    </cfRule>
    <cfRule type="expression" dxfId="3868" priority="267">
      <formula>AND(D$9&gt;=14/24,D$9&lt;20/24)</formula>
    </cfRule>
    <cfRule type="expression" dxfId="3867" priority="268">
      <formula>AND(D$9&gt;=8/24,D$9&lt;14/24)</formula>
    </cfRule>
    <cfRule type="expression" dxfId="3866" priority="269">
      <formula>D$9&lt;8/24</formula>
    </cfRule>
  </conditionalFormatting>
  <conditionalFormatting sqref="D45:L45">
    <cfRule type="expression" dxfId="3865" priority="265">
      <formula>D45&gt;$AG45</formula>
    </cfRule>
  </conditionalFormatting>
  <conditionalFormatting sqref="C80:AF80 C89:AF89 L11:Q11">
    <cfRule type="expression" dxfId="3864" priority="252">
      <formula>C$9&gt;=20/24</formula>
    </cfRule>
    <cfRule type="expression" dxfId="3863" priority="253">
      <formula>AND(C$9&gt;=14/24,C$9&lt;20/24)</formula>
    </cfRule>
    <cfRule type="expression" dxfId="3862" priority="254">
      <formula>AND(C$9&gt;=8/24,C$9&lt;14/24)</formula>
    </cfRule>
    <cfRule type="expression" dxfId="3861" priority="255">
      <formula>C$9&lt;8/24</formula>
    </cfRule>
  </conditionalFormatting>
  <conditionalFormatting sqref="C39:K39">
    <cfRule type="expression" dxfId="3860" priority="248">
      <formula>C$9&gt;=20/24</formula>
    </cfRule>
    <cfRule type="expression" dxfId="3859" priority="249">
      <formula>AND(C$9&gt;=14/24,C$9&lt;20/24)</formula>
    </cfRule>
    <cfRule type="expression" dxfId="3858" priority="250">
      <formula>AND(C$9&gt;=8/24,C$9&lt;14/24)</formula>
    </cfRule>
    <cfRule type="expression" dxfId="3857" priority="251">
      <formula>C$9&lt;8/24</formula>
    </cfRule>
  </conditionalFormatting>
  <conditionalFormatting sqref="C39:K39 L11:Q11">
    <cfRule type="expression" dxfId="3856" priority="247">
      <formula>C11&gt;$AG11</formula>
    </cfRule>
  </conditionalFormatting>
  <conditionalFormatting sqref="C46:L47 C63:L63 C38:U38">
    <cfRule type="expression" dxfId="3855" priority="239">
      <formula>C$9&gt;=20/24</formula>
    </cfRule>
    <cfRule type="expression" dxfId="3854" priority="240">
      <formula>AND(C$9&gt;=14/24,C$9&lt;20/24)</formula>
    </cfRule>
    <cfRule type="expression" dxfId="3853" priority="241">
      <formula>AND(C$9&gt;=8/24,C$9&lt;14/24)</formula>
    </cfRule>
    <cfRule type="expression" dxfId="3852" priority="242">
      <formula>C$9&lt;8/24</formula>
    </cfRule>
  </conditionalFormatting>
  <conditionalFormatting sqref="C45">
    <cfRule type="expression" dxfId="3851" priority="235">
      <formula>C$9&gt;=20/24</formula>
    </cfRule>
    <cfRule type="expression" dxfId="3850" priority="236">
      <formula>AND(C$9&gt;=14/24,C$9&lt;20/24)</formula>
    </cfRule>
    <cfRule type="expression" dxfId="3849" priority="237">
      <formula>AND(C$9&gt;=8/24,C$9&lt;14/24)</formula>
    </cfRule>
    <cfRule type="expression" dxfId="3848" priority="238">
      <formula>C$9&lt;8/24</formula>
    </cfRule>
  </conditionalFormatting>
  <conditionalFormatting sqref="C45:C47 D46:L47 C38:U38">
    <cfRule type="expression" dxfId="3847" priority="234">
      <formula>C38&gt;$AG38</formula>
    </cfRule>
  </conditionalFormatting>
  <conditionalFormatting sqref="C81:AF81 C62:AG62 C79:AG79 C90:AF90 C92:C98 C64:L73 P12:Q14 L12:O13 L25:P25 L18:Q18 C59:S61 M66:U73 AE25:AF26 Q25:AD27 Q29:AF29 Q32:AF34">
    <cfRule type="expression" dxfId="3846" priority="230">
      <formula>C$9&gt;=20/24</formula>
    </cfRule>
    <cfRule type="expression" dxfId="3845" priority="231">
      <formula>AND(C$9&gt;=14/24,C$9&lt;20/24)</formula>
    </cfRule>
    <cfRule type="expression" dxfId="3844" priority="232">
      <formula>AND(C$9&gt;=8/24,C$9&lt;14/24)</formula>
    </cfRule>
    <cfRule type="expression" dxfId="3843" priority="233">
      <formula>C$9&lt;8/24</formula>
    </cfRule>
  </conditionalFormatting>
  <conditionalFormatting sqref="Q35:AF35">
    <cfRule type="expression" dxfId="3842" priority="226">
      <formula>Q$9&gt;=20/24</formula>
    </cfRule>
    <cfRule type="expression" dxfId="3841" priority="227">
      <formula>AND(Q$9&gt;=14/24,Q$9&lt;20/24)</formula>
    </cfRule>
    <cfRule type="expression" dxfId="3840" priority="228">
      <formula>AND(Q$9&gt;=8/24,Q$9&lt;14/24)</formula>
    </cfRule>
    <cfRule type="expression" dxfId="3839" priority="229">
      <formula>Q$9&lt;8/24</formula>
    </cfRule>
  </conditionalFormatting>
  <conditionalFormatting sqref="C40:AG40 C62:AG62 C48:L49 M49:O49 C61:R61 L25:P25 Q59:R60 Q58:AG58 C58:P60 S59:S61 AE25:AF26 Q25:AD29 AE28:AF29 Q32:AF35">
    <cfRule type="expression" dxfId="3838" priority="225">
      <formula>C25&gt;$AG25</formula>
    </cfRule>
  </conditionalFormatting>
  <conditionalFormatting sqref="Q37:AF37">
    <cfRule type="expression" dxfId="3837" priority="221">
      <formula>Q$9&gt;=20/24</formula>
    </cfRule>
    <cfRule type="expression" dxfId="3836" priority="222">
      <formula>AND(Q$9&gt;=14/24,Q$9&lt;20/24)</formula>
    </cfRule>
    <cfRule type="expression" dxfId="3835" priority="223">
      <formula>AND(Q$9&gt;=8/24,Q$9&lt;14/24)</formula>
    </cfRule>
    <cfRule type="expression" dxfId="3834" priority="224">
      <formula>Q$9&lt;8/24</formula>
    </cfRule>
  </conditionalFormatting>
  <conditionalFormatting sqref="Q15">
    <cfRule type="expression" dxfId="3833" priority="217">
      <formula>Q$9&gt;=20/24</formula>
    </cfRule>
    <cfRule type="expression" dxfId="3832" priority="218">
      <formula>AND(Q$9&gt;=14/24,Q$9&lt;20/24)</formula>
    </cfRule>
    <cfRule type="expression" dxfId="3831" priority="219">
      <formula>AND(Q$9&gt;=8/24,Q$9&lt;14/24)</formula>
    </cfRule>
    <cfRule type="expression" dxfId="3830" priority="220">
      <formula>Q$9&lt;8/24</formula>
    </cfRule>
  </conditionalFormatting>
  <conditionalFormatting sqref="Q36:AF36">
    <cfRule type="expression" dxfId="3829" priority="213">
      <formula>Q$9&gt;=20/24</formula>
    </cfRule>
    <cfRule type="expression" dxfId="3828" priority="214">
      <formula>AND(Q$9&gt;=14/24,Q$9&lt;20/24)</formula>
    </cfRule>
    <cfRule type="expression" dxfId="3827" priority="215">
      <formula>AND(Q$9&gt;=8/24,Q$9&lt;14/24)</formula>
    </cfRule>
    <cfRule type="expression" dxfId="3826" priority="216">
      <formula>Q$9&lt;8/24</formula>
    </cfRule>
  </conditionalFormatting>
  <conditionalFormatting sqref="Q36:AF36">
    <cfRule type="expression" dxfId="3825" priority="212">
      <formula>Q36&gt;$AG36</formula>
    </cfRule>
  </conditionalFormatting>
  <conditionalFormatting sqref="C50:Q56 R52:AF56">
    <cfRule type="expression" dxfId="3824" priority="208">
      <formula>C$9&gt;=20/24</formula>
    </cfRule>
    <cfRule type="expression" dxfId="3823" priority="209">
      <formula>AND(C$9&gt;=14/24,C$9&lt;20/24)</formula>
    </cfRule>
    <cfRule type="expression" dxfId="3822" priority="210">
      <formula>AND(C$9&gt;=8/24,C$9&lt;14/24)</formula>
    </cfRule>
    <cfRule type="expression" dxfId="3821" priority="211">
      <formula>C$9&lt;8/24</formula>
    </cfRule>
  </conditionalFormatting>
  <conditionalFormatting sqref="C50:Q56 R52:AF56">
    <cfRule type="expression" dxfId="3820" priority="207">
      <formula>C50&gt;$AG50</formula>
    </cfRule>
  </conditionalFormatting>
  <conditionalFormatting sqref="Q28:AF28">
    <cfRule type="expression" dxfId="3819" priority="203">
      <formula>Q$9&gt;=20/24</formula>
    </cfRule>
    <cfRule type="expression" dxfId="3818" priority="204">
      <formula>AND(Q$9&gt;=14/24,Q$9&lt;20/24)</formula>
    </cfRule>
    <cfRule type="expression" dxfId="3817" priority="205">
      <formula>AND(Q$9&gt;=8/24,Q$9&lt;14/24)</formula>
    </cfRule>
    <cfRule type="expression" dxfId="3816" priority="206">
      <formula>Q$9&lt;8/24</formula>
    </cfRule>
  </conditionalFormatting>
  <conditionalFormatting sqref="Q19:AD19 Q24:AF24">
    <cfRule type="expression" dxfId="3815" priority="199">
      <formula>Q$9&gt;=20/24</formula>
    </cfRule>
    <cfRule type="expression" dxfId="3814" priority="200">
      <formula>AND(Q$9&gt;=14/24,Q$9&lt;20/24)</formula>
    </cfRule>
    <cfRule type="expression" dxfId="3813" priority="201">
      <formula>AND(Q$9&gt;=8/24,Q$9&lt;14/24)</formula>
    </cfRule>
    <cfRule type="expression" dxfId="3812" priority="202">
      <formula>Q$9&lt;8/24</formula>
    </cfRule>
  </conditionalFormatting>
  <conditionalFormatting sqref="Q19:AD19 Q24:AF24">
    <cfRule type="expression" dxfId="3811" priority="198">
      <formula>Q19&gt;$AG19</formula>
    </cfRule>
  </conditionalFormatting>
  <conditionalFormatting sqref="A36">
    <cfRule type="expression" dxfId="3810" priority="197">
      <formula>$AH36=0</formula>
    </cfRule>
  </conditionalFormatting>
  <conditionalFormatting sqref="C74:AF74">
    <cfRule type="expression" dxfId="3809" priority="193">
      <formula>C$9&gt;=20/24</formula>
    </cfRule>
    <cfRule type="expression" dxfId="3808" priority="194">
      <formula>AND(C$9&gt;=14/24,C$9&lt;20/24)</formula>
    </cfRule>
    <cfRule type="expression" dxfId="3807" priority="195">
      <formula>AND(C$9&gt;=8/24,C$9&lt;14/24)</formula>
    </cfRule>
    <cfRule type="expression" dxfId="3806" priority="196">
      <formula>C$9&lt;8/24</formula>
    </cfRule>
  </conditionalFormatting>
  <conditionalFormatting sqref="C83:AF87">
    <cfRule type="expression" dxfId="3805" priority="189">
      <formula>C$9&gt;=20/24</formula>
    </cfRule>
    <cfRule type="expression" dxfId="3804" priority="190">
      <formula>AND(C$9&gt;=14/24,C$9&lt;20/24)</formula>
    </cfRule>
    <cfRule type="expression" dxfId="3803" priority="191">
      <formula>AND(C$9&gt;=8/24,C$9&lt;14/24)</formula>
    </cfRule>
    <cfRule type="expression" dxfId="3802" priority="192">
      <formula>C$9&lt;8/24</formula>
    </cfRule>
  </conditionalFormatting>
  <conditionalFormatting sqref="AL37 AL34 AL18:AL29 AL7:AL16 AL31:AL32">
    <cfRule type="iconSet" priority="373">
      <iconSet iconSet="3TrafficLights2" reverse="1">
        <cfvo type="percent" val="0"/>
        <cfvo type="num" val="1"/>
        <cfvo type="num" val="1"/>
      </iconSet>
    </cfRule>
  </conditionalFormatting>
  <conditionalFormatting sqref="C41:AF43">
    <cfRule type="expression" dxfId="3801" priority="185">
      <formula>C$9&gt;=20/24</formula>
    </cfRule>
    <cfRule type="expression" dxfId="3800" priority="186">
      <formula>AND(C$9&gt;=14/24,C$9&lt;20/24)</formula>
    </cfRule>
    <cfRule type="expression" dxfId="3799" priority="187">
      <formula>AND(C$9&gt;=8/24,C$9&lt;14/24)</formula>
    </cfRule>
    <cfRule type="expression" dxfId="3798" priority="188">
      <formula>C$9&lt;8/24</formula>
    </cfRule>
  </conditionalFormatting>
  <conditionalFormatting sqref="C41:AF43">
    <cfRule type="expression" dxfId="3797" priority="184">
      <formula>C41&gt;$AG41</formula>
    </cfRule>
  </conditionalFormatting>
  <conditionalFormatting sqref="C44:AG44">
    <cfRule type="expression" dxfId="3796" priority="180">
      <formula>C$9&gt;=20/24</formula>
    </cfRule>
    <cfRule type="expression" dxfId="3795" priority="181">
      <formula>AND(C$9&gt;=14/24,C$9&lt;20/24)</formula>
    </cfRule>
    <cfRule type="expression" dxfId="3794" priority="182">
      <formula>AND(C$9&gt;=8/24,C$9&lt;14/24)</formula>
    </cfRule>
    <cfRule type="expression" dxfId="3793" priority="183">
      <formula>C$9&lt;8/24</formula>
    </cfRule>
  </conditionalFormatting>
  <conditionalFormatting sqref="C44:AG44">
    <cfRule type="expression" dxfId="3792" priority="179">
      <formula>C44&gt;$AG44</formula>
    </cfRule>
  </conditionalFormatting>
  <conditionalFormatting sqref="C99:AF99">
    <cfRule type="expression" dxfId="3791" priority="175">
      <formula>C$9&gt;=20/24</formula>
    </cfRule>
    <cfRule type="expression" dxfId="3790" priority="176">
      <formula>AND(C$9&gt;=14/24,C$9&lt;20/24)</formula>
    </cfRule>
    <cfRule type="expression" dxfId="3789" priority="177">
      <formula>AND(C$9&gt;=8/24,C$9&lt;14/24)</formula>
    </cfRule>
    <cfRule type="expression" dxfId="3788" priority="178">
      <formula>C$9&lt;8/24</formula>
    </cfRule>
  </conditionalFormatting>
  <conditionalFormatting sqref="AL33">
    <cfRule type="iconSet" priority="170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3787" priority="165">
      <formula>$AH33=0</formula>
    </cfRule>
  </conditionalFormatting>
  <conditionalFormatting sqref="A82">
    <cfRule type="expression" dxfId="3786" priority="163">
      <formula>$AH82=0</formula>
    </cfRule>
  </conditionalFormatting>
  <conditionalFormatting sqref="A79">
    <cfRule type="expression" dxfId="3785" priority="164">
      <formula>$AH79=0</formula>
    </cfRule>
  </conditionalFormatting>
  <conditionalFormatting sqref="A109">
    <cfRule type="expression" dxfId="3784" priority="154">
      <formula>$AH109=0</formula>
    </cfRule>
  </conditionalFormatting>
  <conditionalFormatting sqref="C102:AF102">
    <cfRule type="expression" dxfId="3783" priority="150">
      <formula>C$9&gt;=20/24</formula>
    </cfRule>
    <cfRule type="expression" dxfId="3782" priority="151">
      <formula>AND(C$9&gt;=14/24,C$9&lt;20/24)</formula>
    </cfRule>
    <cfRule type="expression" dxfId="3781" priority="152">
      <formula>AND(C$9&gt;=8/24,C$9&lt;14/24)</formula>
    </cfRule>
    <cfRule type="expression" dxfId="3780" priority="153">
      <formula>C$9&lt;8/24</formula>
    </cfRule>
  </conditionalFormatting>
  <conditionalFormatting sqref="A102">
    <cfRule type="expression" dxfId="3779" priority="149">
      <formula>$AH102=0</formula>
    </cfRule>
  </conditionalFormatting>
  <conditionalFormatting sqref="Q17:AF17">
    <cfRule type="expression" dxfId="3778" priority="138">
      <formula>Q17&gt;$AG17</formula>
    </cfRule>
  </conditionalFormatting>
  <conditionalFormatting sqref="A17">
    <cfRule type="expression" dxfId="3777" priority="137">
      <formula>$AH17=0</formula>
    </cfRule>
  </conditionalFormatting>
  <conditionalFormatting sqref="R17:AF17">
    <cfRule type="expression" dxfId="3776" priority="133">
      <formula>R$9&gt;=20/24</formula>
    </cfRule>
    <cfRule type="expression" dxfId="3775" priority="134">
      <formula>AND(R$9&gt;=14/24,R$9&lt;20/24)</formula>
    </cfRule>
    <cfRule type="expression" dxfId="3774" priority="135">
      <formula>AND(R$9&gt;=8/24,R$9&lt;14/24)</formula>
    </cfRule>
    <cfRule type="expression" dxfId="3773" priority="136">
      <formula>R$9&lt;8/24</formula>
    </cfRule>
  </conditionalFormatting>
  <conditionalFormatting sqref="Q17">
    <cfRule type="expression" dxfId="3772" priority="129">
      <formula>Q$9&gt;=20/24</formula>
    </cfRule>
    <cfRule type="expression" dxfId="3771" priority="130">
      <formula>AND(Q$9&gt;=14/24,Q$9&lt;20/24)</formula>
    </cfRule>
    <cfRule type="expression" dxfId="3770" priority="131">
      <formula>AND(Q$9&gt;=8/24,Q$9&lt;14/24)</formula>
    </cfRule>
    <cfRule type="expression" dxfId="3769" priority="132">
      <formula>Q$9&lt;8/24</formula>
    </cfRule>
  </conditionalFormatting>
  <conditionalFormatting sqref="AL17">
    <cfRule type="iconSet" priority="139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3768" priority="127">
      <formula>$AH30=0</formula>
    </cfRule>
  </conditionalFormatting>
  <conditionalFormatting sqref="AE30:AF30">
    <cfRule type="expression" dxfId="3767" priority="123">
      <formula>AE$9&gt;=20/24</formula>
    </cfRule>
    <cfRule type="expression" dxfId="3766" priority="124">
      <formula>AND(AE$9&gt;=14/24,AE$9&lt;20/24)</formula>
    </cfRule>
    <cfRule type="expression" dxfId="3765" priority="125">
      <formula>AND(AE$9&gt;=8/24,AE$9&lt;14/24)</formula>
    </cfRule>
    <cfRule type="expression" dxfId="3764" priority="126">
      <formula>AE$9&lt;8/24</formula>
    </cfRule>
  </conditionalFormatting>
  <conditionalFormatting sqref="AE30:AF30">
    <cfRule type="expression" dxfId="3763" priority="122">
      <formula>AE30&gt;$AG30</formula>
    </cfRule>
  </conditionalFormatting>
  <conditionalFormatting sqref="Q30:AD30">
    <cfRule type="expression" dxfId="3762" priority="118">
      <formula>Q$9&gt;=20/24</formula>
    </cfRule>
    <cfRule type="expression" dxfId="3761" priority="119">
      <formula>AND(Q$9&gt;=14/24,Q$9&lt;20/24)</formula>
    </cfRule>
    <cfRule type="expression" dxfId="3760" priority="120">
      <formula>AND(Q$9&gt;=8/24,Q$9&lt;14/24)</formula>
    </cfRule>
    <cfRule type="expression" dxfId="3759" priority="121">
      <formula>Q$9&lt;8/24</formula>
    </cfRule>
  </conditionalFormatting>
  <conditionalFormatting sqref="Q30:AD30">
    <cfRule type="expression" dxfId="3758" priority="117">
      <formula>Q30&gt;$AG30</formula>
    </cfRule>
  </conditionalFormatting>
  <conditionalFormatting sqref="B30:P30">
    <cfRule type="expression" dxfId="3757" priority="2">
      <formula>B$9&gt;=20/24</formula>
    </cfRule>
    <cfRule type="expression" dxfId="3756" priority="3">
      <formula>AND(B$9&gt;=14/24,B$9&lt;20/24)</formula>
    </cfRule>
    <cfRule type="expression" dxfId="3755" priority="4">
      <formula>AND(B$9&gt;=8/24,B$9&lt;14/24)</formula>
    </cfRule>
    <cfRule type="expression" dxfId="3754" priority="5">
      <formula>B$9&lt;8/24</formula>
    </cfRule>
  </conditionalFormatting>
  <conditionalFormatting sqref="B30:P30">
    <cfRule type="expression" dxfId="3753" priority="1">
      <formula>B30&gt;$AG30</formula>
    </cfRule>
  </conditionalFormatting>
  <conditionalFormatting sqref="AL30">
    <cfRule type="iconSet" priority="128">
      <iconSet iconSet="3TrafficLights2" reverse="1">
        <cfvo type="percent" val="0"/>
        <cfvo type="num" val="1"/>
        <cfvo type="num" val="1"/>
      </iconSet>
    </cfRule>
  </conditionalFormatting>
  <conditionalFormatting sqref="B101 B103:B108 B11:K11 B16:P16 B20:P23">
    <cfRule type="expression" dxfId="3752" priority="108">
      <formula>B$9&gt;=20/24</formula>
    </cfRule>
    <cfRule type="expression" dxfId="3751" priority="109">
      <formula>AND(B$9&gt;=14/24,B$9&lt;20/24)</formula>
    </cfRule>
    <cfRule type="expression" dxfId="3750" priority="110">
      <formula>AND(B$9&gt;=8/24,B$9&lt;14/24)</formula>
    </cfRule>
    <cfRule type="expression" dxfId="3749" priority="111">
      <formula>B$9&lt;8/24</formula>
    </cfRule>
  </conditionalFormatting>
  <conditionalFormatting sqref="B39">
    <cfRule type="expression" dxfId="3748" priority="104">
      <formula>B$9&gt;=20/24</formula>
    </cfRule>
    <cfRule type="expression" dxfId="3747" priority="105">
      <formula>AND(B$9&gt;=14/24,B$9&lt;20/24)</formula>
    </cfRule>
    <cfRule type="expression" dxfId="3746" priority="106">
      <formula>AND(B$9&gt;=8/24,B$9&lt;14/24)</formula>
    </cfRule>
    <cfRule type="expression" dxfId="3745" priority="107">
      <formula>B$9&lt;8/24</formula>
    </cfRule>
  </conditionalFormatting>
  <conditionalFormatting sqref="B39 B11:K16 B18:K18 L14:O16 P15:P16 B20:P23 B37:P37">
    <cfRule type="expression" dxfId="3744" priority="103">
      <formula>B11&gt;$AG11</formula>
    </cfRule>
  </conditionalFormatting>
  <conditionalFormatting sqref="B91">
    <cfRule type="expression" dxfId="3743" priority="99">
      <formula>B$9&gt;=20/24</formula>
    </cfRule>
    <cfRule type="expression" dxfId="3742" priority="100">
      <formula>AND(B$9&gt;=14/24,B$9&lt;20/24)</formula>
    </cfRule>
    <cfRule type="expression" dxfId="3741" priority="101">
      <formula>AND(B$9&gt;=8/24,B$9&lt;14/24)</formula>
    </cfRule>
    <cfRule type="expression" dxfId="3740" priority="102">
      <formula>B$9&lt;8/24</formula>
    </cfRule>
  </conditionalFormatting>
  <conditionalFormatting sqref="B38 B46:B47 B63">
    <cfRule type="expression" dxfId="3739" priority="95">
      <formula>B$9&gt;=20/24</formula>
    </cfRule>
    <cfRule type="expression" dxfId="3738" priority="96">
      <formula>AND(B$9&gt;=14/24,B$9&lt;20/24)</formula>
    </cfRule>
    <cfRule type="expression" dxfId="3737" priority="97">
      <formula>AND(B$9&gt;=8/24,B$9&lt;14/24)</formula>
    </cfRule>
    <cfRule type="expression" dxfId="3736" priority="98">
      <formula>B$9&lt;8/24</formula>
    </cfRule>
  </conditionalFormatting>
  <conditionalFormatting sqref="B45">
    <cfRule type="expression" dxfId="3735" priority="91">
      <formula>B$9&gt;=20/24</formula>
    </cfRule>
    <cfRule type="expression" dxfId="3734" priority="92">
      <formula>AND(B$9&gt;=14/24,B$9&lt;20/24)</formula>
    </cfRule>
    <cfRule type="expression" dxfId="3733" priority="93">
      <formula>AND(B$9&gt;=8/24,B$9&lt;14/24)</formula>
    </cfRule>
    <cfRule type="expression" dxfId="3732" priority="94">
      <formula>B$9&lt;8/24</formula>
    </cfRule>
  </conditionalFormatting>
  <conditionalFormatting sqref="B38 B45:B47">
    <cfRule type="expression" dxfId="3731" priority="90">
      <formula>B38&gt;$AG38</formula>
    </cfRule>
  </conditionalFormatting>
  <conditionalFormatting sqref="B88 B75:B78 B92:B98 B59:B61 B64:B73 B12:K14 B18:K18 B25:K27 L14:O14 B29:P29 B31:P34 L26:P27">
    <cfRule type="expression" dxfId="3730" priority="86">
      <formula>B$9&gt;=20/24</formula>
    </cfRule>
    <cfRule type="expression" dxfId="3729" priority="87">
      <formula>AND(B$9&gt;=14/24,B$9&lt;20/24)</formula>
    </cfRule>
    <cfRule type="expression" dxfId="3728" priority="88">
      <formula>AND(B$9&gt;=8/24,B$9&lt;14/24)</formula>
    </cfRule>
    <cfRule type="expression" dxfId="3727" priority="89">
      <formula>B$9&lt;8/24</formula>
    </cfRule>
  </conditionalFormatting>
  <conditionalFormatting sqref="B35:P35">
    <cfRule type="expression" dxfId="3726" priority="82">
      <formula>B$9&gt;=20/24</formula>
    </cfRule>
    <cfRule type="expression" dxfId="3725" priority="83">
      <formula>AND(B$9&gt;=14/24,B$9&lt;20/24)</formula>
    </cfRule>
    <cfRule type="expression" dxfId="3724" priority="84">
      <formula>AND(B$9&gt;=8/24,B$9&lt;14/24)</formula>
    </cfRule>
    <cfRule type="expression" dxfId="3723" priority="85">
      <formula>B$9&lt;8/24</formula>
    </cfRule>
  </conditionalFormatting>
  <conditionalFormatting sqref="B48:B49 B57 B59:B61 B25:K29 B31:P35 L26:P29">
    <cfRule type="expression" dxfId="3722" priority="81">
      <formula>B25&gt;$AG25</formula>
    </cfRule>
  </conditionalFormatting>
  <conditionalFormatting sqref="B37:P37">
    <cfRule type="expression" dxfId="3721" priority="77">
      <formula>B$9&gt;=20/24</formula>
    </cfRule>
    <cfRule type="expression" dxfId="3720" priority="78">
      <formula>AND(B$9&gt;=14/24,B$9&lt;20/24)</formula>
    </cfRule>
    <cfRule type="expression" dxfId="3719" priority="79">
      <formula>AND(B$9&gt;=8/24,B$9&lt;14/24)</formula>
    </cfRule>
    <cfRule type="expression" dxfId="3718" priority="80">
      <formula>B$9&lt;8/24</formula>
    </cfRule>
  </conditionalFormatting>
  <conditionalFormatting sqref="B15:P15">
    <cfRule type="expression" dxfId="3717" priority="73">
      <formula>B$9&gt;=20/24</formula>
    </cfRule>
    <cfRule type="expression" dxfId="3716" priority="74">
      <formula>AND(B$9&gt;=14/24,B$9&lt;20/24)</formula>
    </cfRule>
    <cfRule type="expression" dxfId="3715" priority="75">
      <formula>AND(B$9&gt;=8/24,B$9&lt;14/24)</formula>
    </cfRule>
    <cfRule type="expression" dxfId="3714" priority="76">
      <formula>B$9&lt;8/24</formula>
    </cfRule>
  </conditionalFormatting>
  <conditionalFormatting sqref="B36:P36">
    <cfRule type="expression" dxfId="3713" priority="69">
      <formula>B$9&gt;=20/24</formula>
    </cfRule>
    <cfRule type="expression" dxfId="3712" priority="70">
      <formula>AND(B$9&gt;=14/24,B$9&lt;20/24)</formula>
    </cfRule>
    <cfRule type="expression" dxfId="3711" priority="71">
      <formula>AND(B$9&gt;=8/24,B$9&lt;14/24)</formula>
    </cfRule>
    <cfRule type="expression" dxfId="3710" priority="72">
      <formula>B$9&lt;8/24</formula>
    </cfRule>
  </conditionalFormatting>
  <conditionalFormatting sqref="B36:P36">
    <cfRule type="expression" dxfId="3709" priority="68">
      <formula>B36&gt;$AG36</formula>
    </cfRule>
  </conditionalFormatting>
  <conditionalFormatting sqref="B50:B56">
    <cfRule type="expression" dxfId="3708" priority="64">
      <formula>B$9&gt;=20/24</formula>
    </cfRule>
    <cfRule type="expression" dxfId="3707" priority="65">
      <formula>AND(B$9&gt;=14/24,B$9&lt;20/24)</formula>
    </cfRule>
    <cfRule type="expression" dxfId="3706" priority="66">
      <formula>AND(B$9&gt;=8/24,B$9&lt;14/24)</formula>
    </cfRule>
    <cfRule type="expression" dxfId="3705" priority="67">
      <formula>B$9&lt;8/24</formula>
    </cfRule>
  </conditionalFormatting>
  <conditionalFormatting sqref="B50:B56">
    <cfRule type="expression" dxfId="3704" priority="63">
      <formula>B50&gt;$AG50</formula>
    </cfRule>
  </conditionalFormatting>
  <conditionalFormatting sqref="B28:P28">
    <cfRule type="expression" dxfId="3703" priority="59">
      <formula>B$9&gt;=20/24</formula>
    </cfRule>
    <cfRule type="expression" dxfId="3702" priority="60">
      <formula>AND(B$9&gt;=14/24,B$9&lt;20/24)</formula>
    </cfRule>
    <cfRule type="expression" dxfId="3701" priority="61">
      <formula>AND(B$9&gt;=8/24,B$9&lt;14/24)</formula>
    </cfRule>
    <cfRule type="expression" dxfId="3700" priority="62">
      <formula>B$9&lt;8/24</formula>
    </cfRule>
  </conditionalFormatting>
  <conditionalFormatting sqref="B19:P19 B24:P24">
    <cfRule type="expression" dxfId="3699" priority="55">
      <formula>B$9&gt;=20/24</formula>
    </cfRule>
    <cfRule type="expression" dxfId="3698" priority="56">
      <formula>AND(B$9&gt;=14/24,B$9&lt;20/24)</formula>
    </cfRule>
    <cfRule type="expression" dxfId="3697" priority="57">
      <formula>AND(B$9&gt;=8/24,B$9&lt;14/24)</formula>
    </cfRule>
    <cfRule type="expression" dxfId="3696" priority="58">
      <formula>B$9&lt;8/24</formula>
    </cfRule>
  </conditionalFormatting>
  <conditionalFormatting sqref="B19:P19 B24:P24">
    <cfRule type="expression" dxfId="3695" priority="54">
      <formula>B19&gt;$AG19</formula>
    </cfRule>
  </conditionalFormatting>
  <conditionalFormatting sqref="B80 B89">
    <cfRule type="expression" dxfId="3694" priority="50">
      <formula>B$9&gt;=20/24</formula>
    </cfRule>
    <cfRule type="expression" dxfId="3693" priority="51">
      <formula>AND(B$9&gt;=14/24,B$9&lt;20/24)</formula>
    </cfRule>
    <cfRule type="expression" dxfId="3692" priority="52">
      <formula>AND(B$9&gt;=8/24,B$9&lt;14/24)</formula>
    </cfRule>
    <cfRule type="expression" dxfId="3691" priority="53">
      <formula>B$9&lt;8/24</formula>
    </cfRule>
  </conditionalFormatting>
  <conditionalFormatting sqref="B81 B62 B79 B90">
    <cfRule type="expression" dxfId="3690" priority="46">
      <formula>B$9&gt;=20/24</formula>
    </cfRule>
    <cfRule type="expression" dxfId="3689" priority="47">
      <formula>AND(B$9&gt;=14/24,B$9&lt;20/24)</formula>
    </cfRule>
    <cfRule type="expression" dxfId="3688" priority="48">
      <formula>AND(B$9&gt;=8/24,B$9&lt;14/24)</formula>
    </cfRule>
    <cfRule type="expression" dxfId="3687" priority="49">
      <formula>B$9&lt;8/24</formula>
    </cfRule>
  </conditionalFormatting>
  <conditionalFormatting sqref="B40 B58 B62">
    <cfRule type="expression" dxfId="3686" priority="45">
      <formula>B40&gt;$AG40</formula>
    </cfRule>
  </conditionalFormatting>
  <conditionalFormatting sqref="B74">
    <cfRule type="expression" dxfId="3685" priority="41">
      <formula>B$9&gt;=20/24</formula>
    </cfRule>
    <cfRule type="expression" dxfId="3684" priority="42">
      <formula>AND(B$9&gt;=14/24,B$9&lt;20/24)</formula>
    </cfRule>
    <cfRule type="expression" dxfId="3683" priority="43">
      <formula>AND(B$9&gt;=8/24,B$9&lt;14/24)</formula>
    </cfRule>
    <cfRule type="expression" dxfId="3682" priority="44">
      <formula>B$9&lt;8/24</formula>
    </cfRule>
  </conditionalFormatting>
  <conditionalFormatting sqref="B83:B87">
    <cfRule type="expression" dxfId="3681" priority="37">
      <formula>B$9&gt;=20/24</formula>
    </cfRule>
    <cfRule type="expression" dxfId="3680" priority="38">
      <formula>AND(B$9&gt;=14/24,B$9&lt;20/24)</formula>
    </cfRule>
    <cfRule type="expression" dxfId="3679" priority="39">
      <formula>AND(B$9&gt;=8/24,B$9&lt;14/24)</formula>
    </cfRule>
    <cfRule type="expression" dxfId="3678" priority="40">
      <formula>B$9&lt;8/24</formula>
    </cfRule>
  </conditionalFormatting>
  <conditionalFormatting sqref="B41:B43">
    <cfRule type="expression" dxfId="3677" priority="33">
      <formula>B$9&gt;=20/24</formula>
    </cfRule>
    <cfRule type="expression" dxfId="3676" priority="34">
      <formula>AND(B$9&gt;=14/24,B$9&lt;20/24)</formula>
    </cfRule>
    <cfRule type="expression" dxfId="3675" priority="35">
      <formula>AND(B$9&gt;=8/24,B$9&lt;14/24)</formula>
    </cfRule>
    <cfRule type="expression" dxfId="3674" priority="36">
      <formula>B$9&lt;8/24</formula>
    </cfRule>
  </conditionalFormatting>
  <conditionalFormatting sqref="B41:B43">
    <cfRule type="expression" dxfId="3673" priority="32">
      <formula>B41&gt;$AG41</formula>
    </cfRule>
  </conditionalFormatting>
  <conditionalFormatting sqref="B44">
    <cfRule type="expression" dxfId="3672" priority="28">
      <formula>B$9&gt;=20/24</formula>
    </cfRule>
    <cfRule type="expression" dxfId="3671" priority="29">
      <formula>AND(B$9&gt;=14/24,B$9&lt;20/24)</formula>
    </cfRule>
    <cfRule type="expression" dxfId="3670" priority="30">
      <formula>AND(B$9&gt;=8/24,B$9&lt;14/24)</formula>
    </cfRule>
    <cfRule type="expression" dxfId="3669" priority="31">
      <formula>B$9&lt;8/24</formula>
    </cfRule>
  </conditionalFormatting>
  <conditionalFormatting sqref="B44">
    <cfRule type="expression" dxfId="3668" priority="27">
      <formula>B44&gt;$AG44</formula>
    </cfRule>
  </conditionalFormatting>
  <conditionalFormatting sqref="B99">
    <cfRule type="expression" dxfId="3667" priority="23">
      <formula>B$9&gt;=20/24</formula>
    </cfRule>
    <cfRule type="expression" dxfId="3666" priority="24">
      <formula>AND(B$9&gt;=14/24,B$9&lt;20/24)</formula>
    </cfRule>
    <cfRule type="expression" dxfId="3665" priority="25">
      <formula>AND(B$9&gt;=8/24,B$9&lt;14/24)</formula>
    </cfRule>
    <cfRule type="expression" dxfId="3664" priority="26">
      <formula>B$9&lt;8/24</formula>
    </cfRule>
  </conditionalFormatting>
  <conditionalFormatting sqref="B102">
    <cfRule type="expression" dxfId="3663" priority="11">
      <formula>B$9&gt;=20/24</formula>
    </cfRule>
    <cfRule type="expression" dxfId="3662" priority="12">
      <formula>AND(B$9&gt;=14/24,B$9&lt;20/24)</formula>
    </cfRule>
    <cfRule type="expression" dxfId="3661" priority="13">
      <formula>AND(B$9&gt;=8/24,B$9&lt;14/24)</formula>
    </cfRule>
    <cfRule type="expression" dxfId="3660" priority="14">
      <formula>B$9&lt;8/24</formula>
    </cfRule>
  </conditionalFormatting>
  <conditionalFormatting sqref="B17:P17">
    <cfRule type="expression" dxfId="3659" priority="10">
      <formula>B17&gt;$AG17</formula>
    </cfRule>
  </conditionalFormatting>
  <conditionalFormatting sqref="B17:P17">
    <cfRule type="expression" dxfId="3658" priority="6">
      <formula>B$9&gt;=20/24</formula>
    </cfRule>
    <cfRule type="expression" dxfId="3657" priority="7">
      <formula>AND(B$9&gt;=14/24,B$9&lt;20/24)</formula>
    </cfRule>
    <cfRule type="expression" dxfId="3656" priority="8">
      <formula>AND(B$9&gt;=8/24,B$9&lt;14/24)</formula>
    </cfRule>
    <cfRule type="expression" dxfId="3655" priority="9">
      <formula>B$9&lt;8/24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66" id="{A8309BAA-EC64-4FB6-BF5A-DD8AAB86EC2F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7" id="{8EF5B2F5-80E2-4F37-8F63-84AA0884E86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8" id="{D86F4C8F-2379-4CF5-ABAF-03A848010FF6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9" id="{C9B5AA91-5EA8-4B6C-9F3E-3ED9816332F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C82:AF82</xm:sqref>
        </x14:conditionalFormatting>
        <x14:conditionalFormatting xmlns:xm="http://schemas.microsoft.com/office/excel/2006/main">
          <x14:cfRule type="expression" priority="159" id="{7B6FFF0A-D68F-4221-811B-FCB6F5596D1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0" id="{F318992E-791F-4996-AC58-5381DB77E27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61" id="{B077AEF6-6ADC-4D6C-B385-8E757213A16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62" id="{7ADCB4C8-7E7B-471E-8218-B841CC55402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19" id="{DC043A8C-0C90-4282-8547-E8930260461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20" id="{D9B4B335-1BAD-4C35-94AA-F95577205EAA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21" id="{52F1E17A-EDF5-49BE-9E7B-A6E170E1CE51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22" id="{F9FE9C92-8112-4BD1-92C8-DBC225B6A05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</xm:sqref>
        </x14:conditionalFormatting>
        <x14:conditionalFormatting xmlns:xm="http://schemas.microsoft.com/office/excel/2006/main">
          <x14:cfRule type="expression" priority="15" id="{77545E42-A97C-43A2-BE6C-FC9091BBC58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16" id="{C9F61034-9D07-4664-8EE3-35E0A405AD2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17" id="{7948AC32-CFF4-4FA0-B705-DF69967AAD5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8" id="{33B61C6C-296C-48B1-A927-E2376E32DE4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J270"/>
  <sheetViews>
    <sheetView zoomScale="90" zoomScaleNormal="90" workbookViewId="0">
      <pane xSplit="1" ySplit="10" topLeftCell="D23" activePane="bottomRight" state="frozen"/>
      <selection activeCell="AF88" sqref="AF88"/>
      <selection pane="topRight" activeCell="AF88" sqref="AF88"/>
      <selection pane="bottomLeft" activeCell="AF88" sqref="AF88"/>
      <selection pane="bottomRight" activeCell="AF48" sqref="AF4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24.5703125" style="1" bestFit="1" customWidth="1"/>
    <col min="37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J3" s="137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2079/06/23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J4" s="137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0</v>
      </c>
      <c r="X5" s="148">
        <f t="shared" si="0"/>
        <v>0</v>
      </c>
      <c r="Y5" s="148">
        <f t="shared" si="0"/>
        <v>11.2</v>
      </c>
      <c r="Z5" s="148">
        <f t="shared" si="0"/>
        <v>10.9</v>
      </c>
      <c r="AA5" s="148">
        <f t="shared" si="0"/>
        <v>0</v>
      </c>
      <c r="AB5" s="148">
        <f t="shared" si="0"/>
        <v>0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B74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1512MW at 8:00hr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Load=1370</v>
      </c>
      <c r="B7" s="137">
        <f t="shared" ref="B7:AF7" si="1">B81</f>
        <v>1476.04</v>
      </c>
      <c r="C7" s="137">
        <f t="shared" si="1"/>
        <v>1454.1399999999999</v>
      </c>
      <c r="D7" s="137">
        <f t="shared" si="1"/>
        <v>1369.54</v>
      </c>
      <c r="E7" s="137">
        <f t="shared" si="1"/>
        <v>1436.44</v>
      </c>
      <c r="F7" s="137">
        <f t="shared" si="1"/>
        <v>1434.8400000000001</v>
      </c>
      <c r="G7" s="137">
        <f t="shared" si="1"/>
        <v>1430.3400000000001</v>
      </c>
      <c r="H7" s="137">
        <f t="shared" si="1"/>
        <v>1428.7400000000002</v>
      </c>
      <c r="I7" s="137">
        <f t="shared" si="1"/>
        <v>1433.7400000000002</v>
      </c>
      <c r="J7" s="137">
        <f t="shared" si="1"/>
        <v>1442.7400000000002</v>
      </c>
      <c r="K7" s="137">
        <f t="shared" si="1"/>
        <v>1446.24</v>
      </c>
      <c r="L7" s="137">
        <f t="shared" si="1"/>
        <v>1444.6399999999999</v>
      </c>
      <c r="M7" s="137">
        <f t="shared" si="1"/>
        <v>1512.0400000000002</v>
      </c>
      <c r="N7" s="137">
        <f t="shared" si="1"/>
        <v>1504.94</v>
      </c>
      <c r="O7" s="137">
        <f t="shared" si="1"/>
        <v>1512.2400000000002</v>
      </c>
      <c r="P7" s="137">
        <f t="shared" si="1"/>
        <v>1529.8400000000001</v>
      </c>
      <c r="Q7" s="137">
        <f t="shared" si="1"/>
        <v>1529.84</v>
      </c>
      <c r="R7" s="137">
        <f t="shared" si="1"/>
        <v>1523.24</v>
      </c>
      <c r="S7" s="137">
        <f t="shared" si="1"/>
        <v>1540.74</v>
      </c>
      <c r="T7" s="137">
        <f t="shared" si="1"/>
        <v>1522.74</v>
      </c>
      <c r="U7" s="137">
        <f t="shared" si="1"/>
        <v>1488.9399999999998</v>
      </c>
      <c r="V7" s="137">
        <f t="shared" si="1"/>
        <v>1507.9399999999998</v>
      </c>
      <c r="W7" s="137">
        <f t="shared" si="1"/>
        <v>1519.9399999999998</v>
      </c>
      <c r="X7" s="137">
        <f t="shared" si="1"/>
        <v>1584.6399999999999</v>
      </c>
      <c r="Y7" s="137">
        <f t="shared" si="1"/>
        <v>1677.04</v>
      </c>
      <c r="Z7" s="137">
        <f t="shared" si="1"/>
        <v>1648.84</v>
      </c>
      <c r="AA7" s="137">
        <f t="shared" si="1"/>
        <v>1627.54</v>
      </c>
      <c r="AB7" s="137">
        <f t="shared" si="1"/>
        <v>1616.94</v>
      </c>
      <c r="AC7" s="137">
        <f t="shared" si="1"/>
        <v>1524.8400000000001</v>
      </c>
      <c r="AD7" s="137">
        <f t="shared" si="1"/>
        <v>1527.74</v>
      </c>
      <c r="AE7" s="137">
        <f t="shared" si="1"/>
        <v>1502.4399999999998</v>
      </c>
      <c r="AF7" s="137">
        <f t="shared" si="1"/>
        <v>1453.7399999999998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27</v>
      </c>
      <c r="C11" s="105">
        <v>27</v>
      </c>
      <c r="D11" s="105">
        <v>0</v>
      </c>
      <c r="E11" s="105">
        <v>27.7</v>
      </c>
      <c r="F11" s="105">
        <v>14.5</v>
      </c>
      <c r="G11" s="105">
        <v>14.5</v>
      </c>
      <c r="H11" s="105">
        <v>14.5</v>
      </c>
      <c r="I11" s="105">
        <v>14.5</v>
      </c>
      <c r="J11" s="105">
        <v>14.5</v>
      </c>
      <c r="K11" s="105">
        <v>14.5</v>
      </c>
      <c r="L11" s="105">
        <v>14.5</v>
      </c>
      <c r="M11" s="105">
        <v>46.4</v>
      </c>
      <c r="N11" s="105">
        <v>46.4</v>
      </c>
      <c r="O11" s="105">
        <v>46.4</v>
      </c>
      <c r="P11" s="105">
        <v>53.3</v>
      </c>
      <c r="Q11" s="105">
        <v>53.3</v>
      </c>
      <c r="R11" s="105">
        <v>53.3</v>
      </c>
      <c r="S11" s="105">
        <v>53.3</v>
      </c>
      <c r="T11" s="105">
        <v>53.3</v>
      </c>
      <c r="U11" s="105">
        <v>30</v>
      </c>
      <c r="V11" s="105">
        <v>40</v>
      </c>
      <c r="W11" s="105">
        <v>40</v>
      </c>
      <c r="X11" s="105">
        <v>53.3</v>
      </c>
      <c r="Y11" s="105">
        <v>53.3</v>
      </c>
      <c r="Z11" s="128">
        <v>53.3</v>
      </c>
      <c r="AA11" s="128">
        <v>53.3</v>
      </c>
      <c r="AB11" s="128">
        <v>53.3</v>
      </c>
      <c r="AC11" s="105">
        <v>40.5</v>
      </c>
      <c r="AD11" s="105">
        <v>40.6</v>
      </c>
      <c r="AE11" s="128">
        <v>40.6</v>
      </c>
      <c r="AF11" s="128">
        <v>40.6</v>
      </c>
      <c r="AG11" s="127">
        <v>52.4</v>
      </c>
      <c r="AH11" s="20">
        <f>MAX(B11:AF11)</f>
        <v>53.3</v>
      </c>
      <c r="AI11" s="19">
        <f>MIN(B11:AF11)</f>
        <v>0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50.6</v>
      </c>
      <c r="C12" s="105">
        <v>50.6</v>
      </c>
      <c r="D12" s="105">
        <v>50.6</v>
      </c>
      <c r="E12" s="105">
        <v>50.3</v>
      </c>
      <c r="F12" s="105">
        <v>50.3</v>
      </c>
      <c r="G12" s="105">
        <v>50.3</v>
      </c>
      <c r="H12" s="105">
        <v>50.3</v>
      </c>
      <c r="I12" s="105">
        <v>50.3</v>
      </c>
      <c r="J12" s="105">
        <v>50.3</v>
      </c>
      <c r="K12" s="105">
        <v>50.3</v>
      </c>
      <c r="L12" s="105">
        <v>50.3</v>
      </c>
      <c r="M12" s="105">
        <v>50.2</v>
      </c>
      <c r="N12" s="105">
        <v>50.2</v>
      </c>
      <c r="O12" s="105">
        <v>50.2</v>
      </c>
      <c r="P12" s="105">
        <v>50.4</v>
      </c>
      <c r="Q12" s="105">
        <v>50.4</v>
      </c>
      <c r="R12" s="105">
        <v>50.2</v>
      </c>
      <c r="S12" s="105">
        <v>50.2</v>
      </c>
      <c r="T12" s="105">
        <v>50.2</v>
      </c>
      <c r="U12" s="105">
        <v>50.2</v>
      </c>
      <c r="V12" s="105">
        <v>50.2</v>
      </c>
      <c r="W12" s="105">
        <v>50.2</v>
      </c>
      <c r="X12" s="105">
        <v>50.2</v>
      </c>
      <c r="Y12" s="105">
        <v>50.2</v>
      </c>
      <c r="Z12" s="105">
        <v>50.2</v>
      </c>
      <c r="AA12" s="105">
        <v>50.2</v>
      </c>
      <c r="AB12" s="105">
        <v>50.2</v>
      </c>
      <c r="AC12" s="105">
        <v>50.3</v>
      </c>
      <c r="AD12" s="105">
        <v>50.3</v>
      </c>
      <c r="AE12" s="105">
        <v>50.4</v>
      </c>
      <c r="AF12" s="105">
        <v>50</v>
      </c>
      <c r="AG12" s="126">
        <v>50</v>
      </c>
      <c r="AH12" s="20">
        <f t="shared" ref="AH12:AH75" si="2">MAX(B12:AF12)</f>
        <v>50.6</v>
      </c>
      <c r="AI12" s="19">
        <f t="shared" ref="AI12:AI75" si="3">MIN(B12:AF12)</f>
        <v>50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36</v>
      </c>
      <c r="C13" s="105">
        <v>36</v>
      </c>
      <c r="D13" s="105">
        <v>36</v>
      </c>
      <c r="E13" s="105">
        <v>37.1</v>
      </c>
      <c r="F13" s="105">
        <v>37.1</v>
      </c>
      <c r="G13" s="105">
        <v>37.1</v>
      </c>
      <c r="H13" s="105">
        <v>37.1</v>
      </c>
      <c r="I13" s="105">
        <v>37.1</v>
      </c>
      <c r="J13" s="105">
        <v>37.1</v>
      </c>
      <c r="K13" s="105">
        <v>46</v>
      </c>
      <c r="L13" s="105">
        <v>46</v>
      </c>
      <c r="M13" s="105">
        <v>46</v>
      </c>
      <c r="N13" s="105">
        <v>46</v>
      </c>
      <c r="O13" s="105">
        <v>46</v>
      </c>
      <c r="P13" s="105">
        <v>46</v>
      </c>
      <c r="Q13" s="105">
        <v>46</v>
      </c>
      <c r="R13" s="105">
        <v>46</v>
      </c>
      <c r="S13" s="105">
        <v>46</v>
      </c>
      <c r="T13" s="105">
        <v>46</v>
      </c>
      <c r="U13" s="105">
        <v>46</v>
      </c>
      <c r="V13" s="105">
        <v>36</v>
      </c>
      <c r="W13" s="105">
        <v>36</v>
      </c>
      <c r="X13" s="105">
        <v>46</v>
      </c>
      <c r="Y13" s="105">
        <v>46</v>
      </c>
      <c r="Z13" s="105">
        <v>46</v>
      </c>
      <c r="AA13" s="105">
        <v>46</v>
      </c>
      <c r="AB13" s="105">
        <v>46</v>
      </c>
      <c r="AC13" s="105">
        <v>46</v>
      </c>
      <c r="AD13" s="105">
        <v>46.1</v>
      </c>
      <c r="AE13" s="105">
        <v>46.1</v>
      </c>
      <c r="AF13" s="105">
        <v>46</v>
      </c>
      <c r="AG13" s="126">
        <v>45</v>
      </c>
      <c r="AH13" s="20">
        <f t="shared" si="2"/>
        <v>46.1</v>
      </c>
      <c r="AI13" s="19">
        <f t="shared" si="3"/>
        <v>36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20</v>
      </c>
      <c r="C14" s="105">
        <v>20</v>
      </c>
      <c r="D14" s="105">
        <v>20</v>
      </c>
      <c r="E14" s="105">
        <v>20</v>
      </c>
      <c r="F14" s="105">
        <v>20</v>
      </c>
      <c r="G14" s="105">
        <v>20</v>
      </c>
      <c r="H14" s="105">
        <v>20</v>
      </c>
      <c r="I14" s="105">
        <v>20</v>
      </c>
      <c r="J14" s="105">
        <v>20</v>
      </c>
      <c r="K14" s="105">
        <v>20</v>
      </c>
      <c r="L14" s="105">
        <v>20</v>
      </c>
      <c r="M14" s="105">
        <v>20</v>
      </c>
      <c r="N14" s="105">
        <v>20</v>
      </c>
      <c r="O14" s="105">
        <v>27</v>
      </c>
      <c r="P14" s="105">
        <v>27</v>
      </c>
      <c r="Q14" s="105">
        <v>27</v>
      </c>
      <c r="R14" s="105">
        <v>20</v>
      </c>
      <c r="S14" s="105">
        <v>20</v>
      </c>
      <c r="T14" s="105">
        <v>20</v>
      </c>
      <c r="U14" s="105">
        <v>20</v>
      </c>
      <c r="V14" s="105">
        <v>20</v>
      </c>
      <c r="W14" s="105">
        <v>20</v>
      </c>
      <c r="X14" s="105">
        <v>28</v>
      </c>
      <c r="Y14" s="105">
        <v>40</v>
      </c>
      <c r="Z14" s="105">
        <v>27</v>
      </c>
      <c r="AA14" s="105">
        <v>27</v>
      </c>
      <c r="AB14" s="105">
        <v>27</v>
      </c>
      <c r="AC14" s="105">
        <v>25</v>
      </c>
      <c r="AD14" s="105">
        <v>25</v>
      </c>
      <c r="AE14" s="105">
        <v>25</v>
      </c>
      <c r="AF14" s="105">
        <v>25</v>
      </c>
      <c r="AG14" s="126">
        <v>42</v>
      </c>
      <c r="AH14" s="20">
        <f t="shared" si="2"/>
        <v>40</v>
      </c>
      <c r="AI14" s="19">
        <f t="shared" si="3"/>
        <v>20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0</v>
      </c>
      <c r="N15" s="105">
        <v>0</v>
      </c>
      <c r="O15" s="105">
        <v>0</v>
      </c>
      <c r="P15" s="105">
        <v>0</v>
      </c>
      <c r="Q15" s="105">
        <v>0</v>
      </c>
      <c r="R15" s="105">
        <v>0</v>
      </c>
      <c r="S15" s="105">
        <v>0</v>
      </c>
      <c r="T15" s="105">
        <v>0</v>
      </c>
      <c r="U15" s="105">
        <v>0</v>
      </c>
      <c r="V15" s="105">
        <v>0</v>
      </c>
      <c r="W15" s="105">
        <v>0</v>
      </c>
      <c r="X15" s="105">
        <v>10</v>
      </c>
      <c r="Y15" s="105">
        <v>30</v>
      </c>
      <c r="Z15" s="105">
        <v>20</v>
      </c>
      <c r="AA15" s="105">
        <v>12</v>
      </c>
      <c r="AB15" s="105">
        <v>12</v>
      </c>
      <c r="AC15" s="105">
        <v>0</v>
      </c>
      <c r="AD15" s="105">
        <v>0</v>
      </c>
      <c r="AE15" s="105">
        <v>0</v>
      </c>
      <c r="AF15" s="105">
        <v>0</v>
      </c>
      <c r="AG15" s="96">
        <v>30</v>
      </c>
      <c r="AH15" s="20">
        <f t="shared" si="2"/>
        <v>30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13.2</v>
      </c>
      <c r="C16" s="105">
        <v>13.2</v>
      </c>
      <c r="D16" s="105">
        <v>0</v>
      </c>
      <c r="E16" s="105">
        <v>0</v>
      </c>
      <c r="F16" s="105">
        <v>6.5</v>
      </c>
      <c r="G16" s="105">
        <v>6.5</v>
      </c>
      <c r="H16" s="105">
        <v>6.5</v>
      </c>
      <c r="I16" s="105">
        <v>6.5</v>
      </c>
      <c r="J16" s="105">
        <v>6.5</v>
      </c>
      <c r="K16" s="105">
        <v>6.5</v>
      </c>
      <c r="L16" s="105">
        <v>6.5</v>
      </c>
      <c r="M16" s="105">
        <v>20.6</v>
      </c>
      <c r="N16" s="105">
        <v>20.6</v>
      </c>
      <c r="O16" s="105">
        <v>20.6</v>
      </c>
      <c r="P16" s="105">
        <v>25</v>
      </c>
      <c r="Q16" s="105">
        <v>25.6</v>
      </c>
      <c r="R16" s="105">
        <v>25.6</v>
      </c>
      <c r="S16" s="105">
        <v>25.6</v>
      </c>
      <c r="T16" s="105">
        <v>25.6</v>
      </c>
      <c r="U16" s="105">
        <v>10</v>
      </c>
      <c r="V16" s="105">
        <v>10</v>
      </c>
      <c r="W16" s="105">
        <v>10</v>
      </c>
      <c r="X16" s="105">
        <v>33.4</v>
      </c>
      <c r="Y16" s="105">
        <v>33.299999999999997</v>
      </c>
      <c r="Z16" s="105">
        <v>25</v>
      </c>
      <c r="AA16" s="105">
        <v>25</v>
      </c>
      <c r="AB16" s="105">
        <v>25</v>
      </c>
      <c r="AC16" s="105">
        <v>25.8</v>
      </c>
      <c r="AD16" s="105">
        <v>25.8</v>
      </c>
      <c r="AE16" s="105">
        <v>24</v>
      </c>
      <c r="AF16" s="105">
        <v>24</v>
      </c>
      <c r="AG16" s="126">
        <v>24.2</v>
      </c>
      <c r="AH16" s="20">
        <f t="shared" si="2"/>
        <v>33.4</v>
      </c>
      <c r="AI16" s="19">
        <f t="shared" si="3"/>
        <v>0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0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5">
        <v>0</v>
      </c>
      <c r="O17" s="105">
        <v>0</v>
      </c>
      <c r="P17" s="105">
        <v>0</v>
      </c>
      <c r="Q17" s="105">
        <v>0</v>
      </c>
      <c r="R17" s="105">
        <v>0</v>
      </c>
      <c r="S17" s="105">
        <v>0</v>
      </c>
      <c r="T17" s="105">
        <v>0</v>
      </c>
      <c r="U17" s="105">
        <v>0</v>
      </c>
      <c r="V17" s="105">
        <v>0</v>
      </c>
      <c r="W17" s="105">
        <v>9</v>
      </c>
      <c r="X17" s="105">
        <v>9</v>
      </c>
      <c r="Y17" s="105">
        <v>18</v>
      </c>
      <c r="Z17" s="105">
        <v>20</v>
      </c>
      <c r="AA17" s="105">
        <v>12</v>
      </c>
      <c r="AB17" s="105">
        <v>12</v>
      </c>
      <c r="AC17" s="105">
        <v>9</v>
      </c>
      <c r="AD17" s="105">
        <v>0</v>
      </c>
      <c r="AE17" s="105">
        <v>0</v>
      </c>
      <c r="AF17" s="105">
        <v>0</v>
      </c>
      <c r="AG17" s="96">
        <v>30</v>
      </c>
      <c r="AH17" s="20">
        <f t="shared" si="2"/>
        <v>20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13.2</v>
      </c>
      <c r="C18" s="105">
        <v>13.5</v>
      </c>
      <c r="D18" s="105">
        <v>13.5</v>
      </c>
      <c r="E18" s="105">
        <v>13.5</v>
      </c>
      <c r="F18" s="105">
        <v>13.5</v>
      </c>
      <c r="G18" s="105">
        <v>13.5</v>
      </c>
      <c r="H18" s="105">
        <v>13.5</v>
      </c>
      <c r="I18" s="105">
        <v>13.5</v>
      </c>
      <c r="J18" s="105">
        <v>13.5</v>
      </c>
      <c r="K18" s="105">
        <v>13.5</v>
      </c>
      <c r="L18" s="105">
        <v>13.5</v>
      </c>
      <c r="M18" s="105">
        <v>13.2</v>
      </c>
      <c r="N18" s="105">
        <v>13.2</v>
      </c>
      <c r="O18" s="105">
        <v>13.2</v>
      </c>
      <c r="P18" s="105">
        <v>20.3</v>
      </c>
      <c r="Q18" s="105">
        <v>20.3</v>
      </c>
      <c r="R18" s="105">
        <v>20.3</v>
      </c>
      <c r="S18" s="105">
        <v>20.3</v>
      </c>
      <c r="T18" s="105">
        <v>20.3</v>
      </c>
      <c r="U18" s="105">
        <v>25.4</v>
      </c>
      <c r="V18" s="105">
        <v>25.4</v>
      </c>
      <c r="W18" s="105">
        <v>25.4</v>
      </c>
      <c r="X18" s="105">
        <v>25.4</v>
      </c>
      <c r="Y18" s="105">
        <v>26.3</v>
      </c>
      <c r="Z18" s="105">
        <v>26.3</v>
      </c>
      <c r="AA18" s="105">
        <v>26.3</v>
      </c>
      <c r="AB18" s="105">
        <v>26.3</v>
      </c>
      <c r="AC18" s="105">
        <v>25.2</v>
      </c>
      <c r="AD18" s="105">
        <v>25.2</v>
      </c>
      <c r="AE18" s="105">
        <v>25.2</v>
      </c>
      <c r="AF18" s="105">
        <v>25.2</v>
      </c>
      <c r="AG18" s="126">
        <v>25</v>
      </c>
      <c r="AH18" s="20">
        <f t="shared" si="2"/>
        <v>26.3</v>
      </c>
      <c r="AI18" s="19">
        <f t="shared" si="3"/>
        <v>13.2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20</v>
      </c>
      <c r="C19" s="105">
        <v>20</v>
      </c>
      <c r="D19" s="105">
        <v>20</v>
      </c>
      <c r="E19" s="105">
        <v>20</v>
      </c>
      <c r="F19" s="105">
        <v>20</v>
      </c>
      <c r="G19" s="105">
        <v>20</v>
      </c>
      <c r="H19" s="105">
        <v>20</v>
      </c>
      <c r="I19" s="105">
        <v>20</v>
      </c>
      <c r="J19" s="105">
        <v>20</v>
      </c>
      <c r="K19" s="105">
        <v>20</v>
      </c>
      <c r="L19" s="105">
        <v>20</v>
      </c>
      <c r="M19" s="105">
        <v>12.5</v>
      </c>
      <c r="N19" s="105">
        <v>12.5</v>
      </c>
      <c r="O19" s="105">
        <v>12.5</v>
      </c>
      <c r="P19" s="105">
        <v>12.5</v>
      </c>
      <c r="Q19" s="105">
        <v>12.5</v>
      </c>
      <c r="R19" s="105">
        <v>12.5</v>
      </c>
      <c r="S19" s="105">
        <v>20</v>
      </c>
      <c r="T19" s="105">
        <v>20</v>
      </c>
      <c r="U19" s="105">
        <v>20</v>
      </c>
      <c r="V19" s="105">
        <v>20</v>
      </c>
      <c r="W19" s="105">
        <v>20</v>
      </c>
      <c r="X19" s="105">
        <v>20</v>
      </c>
      <c r="Y19" s="105">
        <v>25</v>
      </c>
      <c r="Z19" s="105">
        <v>25</v>
      </c>
      <c r="AA19" s="105">
        <v>25</v>
      </c>
      <c r="AB19" s="105">
        <v>25</v>
      </c>
      <c r="AC19" s="105">
        <v>20</v>
      </c>
      <c r="AD19" s="105">
        <v>20</v>
      </c>
      <c r="AE19" s="105">
        <v>0</v>
      </c>
      <c r="AF19" s="105">
        <v>0</v>
      </c>
      <c r="AG19" s="126">
        <v>25</v>
      </c>
      <c r="AH19" s="20">
        <f t="shared" si="2"/>
        <v>25</v>
      </c>
      <c r="AI19" s="19">
        <f t="shared" si="3"/>
        <v>0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0</v>
      </c>
      <c r="C20" s="105">
        <v>0</v>
      </c>
      <c r="D20" s="105">
        <v>0</v>
      </c>
      <c r="E20" s="105">
        <v>0</v>
      </c>
      <c r="F20" s="105">
        <v>0</v>
      </c>
      <c r="G20" s="105">
        <v>0</v>
      </c>
      <c r="H20" s="105">
        <v>0</v>
      </c>
      <c r="I20" s="105">
        <v>5</v>
      </c>
      <c r="J20" s="105">
        <v>5</v>
      </c>
      <c r="K20" s="105">
        <v>5</v>
      </c>
      <c r="L20" s="105">
        <v>5</v>
      </c>
      <c r="M20" s="105">
        <v>22</v>
      </c>
      <c r="N20" s="105">
        <v>22</v>
      </c>
      <c r="O20" s="105">
        <v>22</v>
      </c>
      <c r="P20" s="105">
        <v>22</v>
      </c>
      <c r="Q20" s="105">
        <v>22</v>
      </c>
      <c r="R20" s="105">
        <v>22</v>
      </c>
      <c r="S20" s="105">
        <v>22</v>
      </c>
      <c r="T20" s="105">
        <v>22</v>
      </c>
      <c r="U20" s="105">
        <v>22</v>
      </c>
      <c r="V20" s="105">
        <v>22</v>
      </c>
      <c r="W20" s="105">
        <v>22</v>
      </c>
      <c r="X20" s="105">
        <v>22</v>
      </c>
      <c r="Y20" s="105">
        <v>25</v>
      </c>
      <c r="Z20" s="105">
        <v>25</v>
      </c>
      <c r="AA20" s="105">
        <v>25</v>
      </c>
      <c r="AB20" s="105">
        <v>25</v>
      </c>
      <c r="AC20" s="105">
        <v>22</v>
      </c>
      <c r="AD20" s="105">
        <v>20</v>
      </c>
      <c r="AE20" s="105">
        <v>20</v>
      </c>
      <c r="AF20" s="105">
        <v>20</v>
      </c>
      <c r="AG20" s="126">
        <v>25</v>
      </c>
      <c r="AH20" s="20">
        <f t="shared" si="2"/>
        <v>25</v>
      </c>
      <c r="AI20" s="19">
        <f t="shared" si="3"/>
        <v>0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18.5</v>
      </c>
      <c r="C21" s="105">
        <v>18.5</v>
      </c>
      <c r="D21" s="105">
        <v>18.5</v>
      </c>
      <c r="E21" s="105">
        <v>18.5</v>
      </c>
      <c r="F21" s="105">
        <v>18.5</v>
      </c>
      <c r="G21" s="105">
        <v>18.5</v>
      </c>
      <c r="H21" s="105">
        <v>18.5</v>
      </c>
      <c r="I21" s="105">
        <v>18.5</v>
      </c>
      <c r="J21" s="105">
        <v>18.5</v>
      </c>
      <c r="K21" s="105">
        <v>18.5</v>
      </c>
      <c r="L21" s="105">
        <v>18.5</v>
      </c>
      <c r="M21" s="105">
        <v>18.5</v>
      </c>
      <c r="N21" s="105">
        <v>18.5</v>
      </c>
      <c r="O21" s="105">
        <v>18.5</v>
      </c>
      <c r="P21" s="105">
        <v>18.5</v>
      </c>
      <c r="Q21" s="105">
        <v>18.5</v>
      </c>
      <c r="R21" s="105">
        <v>18.5</v>
      </c>
      <c r="S21" s="105">
        <v>18.5</v>
      </c>
      <c r="T21" s="105">
        <v>18.5</v>
      </c>
      <c r="U21" s="105">
        <v>18.5</v>
      </c>
      <c r="V21" s="105">
        <v>18.5</v>
      </c>
      <c r="W21" s="105">
        <v>18.5</v>
      </c>
      <c r="X21" s="105">
        <v>18.5</v>
      </c>
      <c r="Y21" s="105">
        <v>18.5</v>
      </c>
      <c r="Z21" s="105">
        <v>23.5</v>
      </c>
      <c r="AA21" s="105">
        <v>23.5</v>
      </c>
      <c r="AB21" s="105">
        <v>23.5</v>
      </c>
      <c r="AC21" s="105">
        <v>18.5</v>
      </c>
      <c r="AD21" s="105">
        <v>18.5</v>
      </c>
      <c r="AE21" s="105">
        <v>18.5</v>
      </c>
      <c r="AF21" s="105">
        <v>18.5</v>
      </c>
      <c r="AG21" s="126">
        <v>23.5</v>
      </c>
      <c r="AH21" s="20">
        <f t="shared" si="2"/>
        <v>23.5</v>
      </c>
      <c r="AI21" s="19">
        <f t="shared" si="3"/>
        <v>18.5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0</v>
      </c>
      <c r="C22" s="105">
        <v>0</v>
      </c>
      <c r="D22" s="105">
        <v>0</v>
      </c>
      <c r="E22" s="105">
        <v>0</v>
      </c>
      <c r="F22" s="105">
        <v>0</v>
      </c>
      <c r="G22" s="105">
        <v>0</v>
      </c>
      <c r="H22" s="105">
        <v>0</v>
      </c>
      <c r="I22" s="105">
        <v>0</v>
      </c>
      <c r="J22" s="105">
        <v>0</v>
      </c>
      <c r="K22" s="105">
        <v>0</v>
      </c>
      <c r="L22" s="105">
        <v>0</v>
      </c>
      <c r="M22" s="105">
        <v>11</v>
      </c>
      <c r="N22" s="105">
        <v>11</v>
      </c>
      <c r="O22" s="105">
        <v>11</v>
      </c>
      <c r="P22" s="105">
        <v>11</v>
      </c>
      <c r="Q22" s="105">
        <v>11</v>
      </c>
      <c r="R22" s="105">
        <v>11</v>
      </c>
      <c r="S22" s="105">
        <v>11</v>
      </c>
      <c r="T22" s="105">
        <v>11</v>
      </c>
      <c r="U22" s="105">
        <v>11</v>
      </c>
      <c r="V22" s="105">
        <v>11</v>
      </c>
      <c r="W22" s="105">
        <v>11</v>
      </c>
      <c r="X22" s="105">
        <v>11</v>
      </c>
      <c r="Y22" s="105">
        <v>20</v>
      </c>
      <c r="Z22" s="105">
        <v>20</v>
      </c>
      <c r="AA22" s="105">
        <v>20</v>
      </c>
      <c r="AB22" s="105">
        <v>20</v>
      </c>
      <c r="AC22" s="105">
        <v>11</v>
      </c>
      <c r="AD22" s="105">
        <v>11</v>
      </c>
      <c r="AE22" s="105">
        <v>11</v>
      </c>
      <c r="AF22" s="105">
        <v>11</v>
      </c>
      <c r="AG22" s="126">
        <v>22.2</v>
      </c>
      <c r="AH22" s="20">
        <f t="shared" si="2"/>
        <v>20</v>
      </c>
      <c r="AI22" s="19">
        <f t="shared" si="3"/>
        <v>0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15</v>
      </c>
      <c r="C23" s="105">
        <v>15</v>
      </c>
      <c r="D23" s="105">
        <v>15</v>
      </c>
      <c r="E23" s="105">
        <v>15</v>
      </c>
      <c r="F23" s="105">
        <v>15</v>
      </c>
      <c r="G23" s="105">
        <v>15</v>
      </c>
      <c r="H23" s="105">
        <v>15</v>
      </c>
      <c r="I23" s="105">
        <v>15</v>
      </c>
      <c r="J23" s="105">
        <v>15</v>
      </c>
      <c r="K23" s="105">
        <v>15</v>
      </c>
      <c r="L23" s="105">
        <v>15</v>
      </c>
      <c r="M23" s="105">
        <v>22</v>
      </c>
      <c r="N23" s="105">
        <v>22</v>
      </c>
      <c r="O23" s="105">
        <v>22</v>
      </c>
      <c r="P23" s="105">
        <v>22</v>
      </c>
      <c r="Q23" s="105">
        <v>19</v>
      </c>
      <c r="R23" s="105">
        <v>19</v>
      </c>
      <c r="S23" s="105">
        <v>19</v>
      </c>
      <c r="T23" s="105">
        <v>19</v>
      </c>
      <c r="U23" s="105">
        <v>19</v>
      </c>
      <c r="V23" s="105">
        <v>19</v>
      </c>
      <c r="W23" s="105">
        <v>19</v>
      </c>
      <c r="X23" s="105">
        <v>19</v>
      </c>
      <c r="Y23" s="105">
        <v>22.1</v>
      </c>
      <c r="Z23" s="105">
        <v>22.1</v>
      </c>
      <c r="AA23" s="105">
        <v>22.1</v>
      </c>
      <c r="AB23" s="105">
        <v>22.1</v>
      </c>
      <c r="AC23" s="105">
        <v>18</v>
      </c>
      <c r="AD23" s="105">
        <v>18</v>
      </c>
      <c r="AE23" s="105">
        <v>18</v>
      </c>
      <c r="AF23" s="105">
        <v>18</v>
      </c>
      <c r="AG23" s="126">
        <v>22.1</v>
      </c>
      <c r="AH23" s="20">
        <f t="shared" si="2"/>
        <v>22.1</v>
      </c>
      <c r="AI23" s="19">
        <f t="shared" si="3"/>
        <v>15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22</v>
      </c>
      <c r="C24" s="105">
        <v>22</v>
      </c>
      <c r="D24" s="105">
        <v>22</v>
      </c>
      <c r="E24" s="105">
        <v>22</v>
      </c>
      <c r="F24" s="105">
        <v>22</v>
      </c>
      <c r="G24" s="105">
        <v>22</v>
      </c>
      <c r="H24" s="105">
        <v>22</v>
      </c>
      <c r="I24" s="105">
        <v>22</v>
      </c>
      <c r="J24" s="105">
        <v>22</v>
      </c>
      <c r="K24" s="105">
        <v>22</v>
      </c>
      <c r="L24" s="105">
        <v>22</v>
      </c>
      <c r="M24" s="105">
        <v>18</v>
      </c>
      <c r="N24" s="105">
        <v>18</v>
      </c>
      <c r="O24" s="105">
        <v>18</v>
      </c>
      <c r="P24" s="105">
        <v>18</v>
      </c>
      <c r="Q24" s="105">
        <v>18</v>
      </c>
      <c r="R24" s="105">
        <v>18</v>
      </c>
      <c r="S24" s="105">
        <v>18</v>
      </c>
      <c r="T24" s="105">
        <v>0</v>
      </c>
      <c r="U24" s="105">
        <v>0</v>
      </c>
      <c r="V24" s="105">
        <v>0</v>
      </c>
      <c r="W24" s="105">
        <v>0</v>
      </c>
      <c r="X24" s="105">
        <v>0</v>
      </c>
      <c r="Y24" s="105">
        <v>22</v>
      </c>
      <c r="Z24" s="105">
        <v>22</v>
      </c>
      <c r="AA24" s="105">
        <v>22</v>
      </c>
      <c r="AB24" s="105">
        <v>22</v>
      </c>
      <c r="AC24" s="105">
        <v>17</v>
      </c>
      <c r="AD24" s="105">
        <v>17</v>
      </c>
      <c r="AE24" s="105">
        <v>17</v>
      </c>
      <c r="AF24" s="105">
        <v>17</v>
      </c>
      <c r="AG24" s="126">
        <v>22</v>
      </c>
      <c r="AH24" s="20">
        <f t="shared" si="2"/>
        <v>22</v>
      </c>
      <c r="AI24" s="19">
        <f t="shared" si="3"/>
        <v>0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22</v>
      </c>
      <c r="C25" s="105">
        <v>22</v>
      </c>
      <c r="D25" s="105">
        <v>15</v>
      </c>
      <c r="E25" s="105">
        <v>15</v>
      </c>
      <c r="F25" s="105">
        <v>15</v>
      </c>
      <c r="G25" s="105">
        <v>15</v>
      </c>
      <c r="H25" s="105">
        <v>15</v>
      </c>
      <c r="I25" s="105">
        <v>15</v>
      </c>
      <c r="J25" s="105">
        <v>15</v>
      </c>
      <c r="K25" s="105">
        <v>15</v>
      </c>
      <c r="L25" s="105">
        <v>15</v>
      </c>
      <c r="M25" s="105">
        <v>15</v>
      </c>
      <c r="N25" s="105">
        <v>15</v>
      </c>
      <c r="O25" s="105">
        <v>15</v>
      </c>
      <c r="P25" s="105">
        <v>22</v>
      </c>
      <c r="Q25" s="105">
        <v>22</v>
      </c>
      <c r="R25" s="105">
        <v>22</v>
      </c>
      <c r="S25" s="105">
        <v>22</v>
      </c>
      <c r="T25" s="105">
        <v>22</v>
      </c>
      <c r="U25" s="105">
        <v>22</v>
      </c>
      <c r="V25" s="105">
        <v>22</v>
      </c>
      <c r="W25" s="105">
        <v>22</v>
      </c>
      <c r="X25" s="105">
        <v>22</v>
      </c>
      <c r="Y25" s="105">
        <v>22</v>
      </c>
      <c r="Z25" s="105">
        <v>22</v>
      </c>
      <c r="AA25" s="105">
        <v>22</v>
      </c>
      <c r="AB25" s="105">
        <v>22</v>
      </c>
      <c r="AC25" s="105">
        <v>22</v>
      </c>
      <c r="AD25" s="105">
        <v>22</v>
      </c>
      <c r="AE25" s="105">
        <v>22</v>
      </c>
      <c r="AF25" s="105">
        <v>22</v>
      </c>
      <c r="AG25" s="126">
        <v>22</v>
      </c>
      <c r="AH25" s="20">
        <f t="shared" si="2"/>
        <v>22</v>
      </c>
      <c r="AI25" s="19">
        <f t="shared" si="3"/>
        <v>15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5">
        <v>0</v>
      </c>
      <c r="M26" s="105">
        <v>0</v>
      </c>
      <c r="N26" s="105">
        <v>0</v>
      </c>
      <c r="O26" s="105">
        <v>0</v>
      </c>
      <c r="P26" s="105">
        <v>0</v>
      </c>
      <c r="Q26" s="105">
        <v>0</v>
      </c>
      <c r="R26" s="105">
        <v>0</v>
      </c>
      <c r="S26" s="105">
        <v>0</v>
      </c>
      <c r="T26" s="105">
        <v>0</v>
      </c>
      <c r="U26" s="105">
        <v>0</v>
      </c>
      <c r="V26" s="105">
        <v>0</v>
      </c>
      <c r="W26" s="105">
        <v>0</v>
      </c>
      <c r="X26" s="105">
        <v>0</v>
      </c>
      <c r="Y26" s="105">
        <v>10</v>
      </c>
      <c r="Z26" s="105">
        <v>10</v>
      </c>
      <c r="AA26" s="105">
        <v>5</v>
      </c>
      <c r="AB26" s="105">
        <v>5</v>
      </c>
      <c r="AC26" s="105">
        <v>0</v>
      </c>
      <c r="AD26" s="105">
        <v>0</v>
      </c>
      <c r="AE26" s="105">
        <v>0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5</v>
      </c>
      <c r="C27" s="105">
        <v>5</v>
      </c>
      <c r="D27" s="105">
        <v>5</v>
      </c>
      <c r="E27" s="105">
        <v>5</v>
      </c>
      <c r="F27" s="105">
        <v>5</v>
      </c>
      <c r="G27" s="105">
        <v>5</v>
      </c>
      <c r="H27" s="105">
        <v>5</v>
      </c>
      <c r="I27" s="105">
        <v>5</v>
      </c>
      <c r="J27" s="105">
        <v>5</v>
      </c>
      <c r="K27" s="105">
        <v>5</v>
      </c>
      <c r="L27" s="105">
        <v>5</v>
      </c>
      <c r="M27" s="105">
        <v>5</v>
      </c>
      <c r="N27" s="105">
        <v>5</v>
      </c>
      <c r="O27" s="105">
        <v>5</v>
      </c>
      <c r="P27" s="105">
        <v>5</v>
      </c>
      <c r="Q27" s="105">
        <v>15</v>
      </c>
      <c r="R27" s="105">
        <v>15</v>
      </c>
      <c r="S27" s="105">
        <v>15</v>
      </c>
      <c r="T27" s="105">
        <v>15</v>
      </c>
      <c r="U27" s="105">
        <v>15</v>
      </c>
      <c r="V27" s="105">
        <v>15</v>
      </c>
      <c r="W27" s="105">
        <v>15</v>
      </c>
      <c r="X27" s="105">
        <v>15</v>
      </c>
      <c r="Y27" s="105">
        <v>15</v>
      </c>
      <c r="Z27" s="105">
        <v>14.9</v>
      </c>
      <c r="AA27" s="105">
        <v>14.9</v>
      </c>
      <c r="AB27" s="105">
        <v>14.9</v>
      </c>
      <c r="AC27" s="105">
        <v>14.9</v>
      </c>
      <c r="AD27" s="105">
        <v>14.9</v>
      </c>
      <c r="AE27" s="105">
        <v>14.9</v>
      </c>
      <c r="AF27" s="105">
        <v>14.9</v>
      </c>
      <c r="AG27" s="126">
        <v>14.9</v>
      </c>
      <c r="AH27" s="20">
        <f t="shared" si="2"/>
        <v>15</v>
      </c>
      <c r="AI27" s="19">
        <f t="shared" si="3"/>
        <v>5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0</v>
      </c>
      <c r="C28" s="105">
        <v>0</v>
      </c>
      <c r="D28" s="105">
        <v>0</v>
      </c>
      <c r="E28" s="105">
        <v>0</v>
      </c>
      <c r="F28" s="105">
        <v>0</v>
      </c>
      <c r="G28" s="105">
        <v>0</v>
      </c>
      <c r="H28" s="105">
        <v>0</v>
      </c>
      <c r="I28" s="105">
        <v>0</v>
      </c>
      <c r="J28" s="105">
        <v>0</v>
      </c>
      <c r="K28" s="105">
        <v>0</v>
      </c>
      <c r="L28" s="105">
        <v>0</v>
      </c>
      <c r="M28" s="105">
        <v>0</v>
      </c>
      <c r="N28" s="105">
        <v>0</v>
      </c>
      <c r="O28" s="105">
        <v>0</v>
      </c>
      <c r="P28" s="105">
        <v>0</v>
      </c>
      <c r="Q28" s="105">
        <v>0</v>
      </c>
      <c r="R28" s="105">
        <v>0</v>
      </c>
      <c r="S28" s="105">
        <v>0</v>
      </c>
      <c r="T28" s="105">
        <v>0</v>
      </c>
      <c r="U28" s="105">
        <v>0</v>
      </c>
      <c r="V28" s="105">
        <v>0</v>
      </c>
      <c r="W28" s="105">
        <v>0</v>
      </c>
      <c r="X28" s="105">
        <v>0</v>
      </c>
      <c r="Y28" s="105">
        <v>0</v>
      </c>
      <c r="Z28" s="105">
        <v>0</v>
      </c>
      <c r="AA28" s="105">
        <v>0</v>
      </c>
      <c r="AB28" s="105">
        <v>0</v>
      </c>
      <c r="AC28" s="105">
        <v>0</v>
      </c>
      <c r="AD28" s="105">
        <v>0</v>
      </c>
      <c r="AE28" s="105">
        <v>0</v>
      </c>
      <c r="AF28" s="105">
        <v>0</v>
      </c>
      <c r="AG28" s="126">
        <v>13.6</v>
      </c>
      <c r="AH28" s="20">
        <f t="shared" si="2"/>
        <v>0</v>
      </c>
      <c r="AI28" s="19">
        <f t="shared" si="3"/>
        <v>0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12</v>
      </c>
      <c r="C29" s="105">
        <v>12</v>
      </c>
      <c r="D29" s="105">
        <v>12</v>
      </c>
      <c r="E29" s="105">
        <v>12</v>
      </c>
      <c r="F29" s="105">
        <v>12</v>
      </c>
      <c r="G29" s="105">
        <v>12</v>
      </c>
      <c r="H29" s="105">
        <v>12</v>
      </c>
      <c r="I29" s="105">
        <v>12</v>
      </c>
      <c r="J29" s="105">
        <v>12</v>
      </c>
      <c r="K29" s="105">
        <v>12</v>
      </c>
      <c r="L29" s="105">
        <v>12</v>
      </c>
      <c r="M29" s="105">
        <v>12</v>
      </c>
      <c r="N29" s="105">
        <v>12</v>
      </c>
      <c r="O29" s="105">
        <v>12</v>
      </c>
      <c r="P29" s="105">
        <v>12</v>
      </c>
      <c r="Q29" s="105">
        <v>12</v>
      </c>
      <c r="R29" s="105">
        <v>12</v>
      </c>
      <c r="S29" s="105">
        <v>12</v>
      </c>
      <c r="T29" s="105">
        <v>12</v>
      </c>
      <c r="U29" s="105">
        <v>12</v>
      </c>
      <c r="V29" s="105">
        <v>12</v>
      </c>
      <c r="W29" s="105">
        <v>12</v>
      </c>
      <c r="X29" s="105">
        <v>12</v>
      </c>
      <c r="Y29" s="105">
        <v>12</v>
      </c>
      <c r="Z29" s="105">
        <v>12</v>
      </c>
      <c r="AA29" s="105">
        <v>12</v>
      </c>
      <c r="AB29" s="105">
        <v>12</v>
      </c>
      <c r="AC29" s="105">
        <v>12</v>
      </c>
      <c r="AD29" s="105">
        <v>12</v>
      </c>
      <c r="AE29" s="105">
        <v>12</v>
      </c>
      <c r="AF29" s="105">
        <v>12</v>
      </c>
      <c r="AG29" s="126">
        <v>13</v>
      </c>
      <c r="AH29" s="20">
        <f t="shared" si="2"/>
        <v>12</v>
      </c>
      <c r="AI29" s="19">
        <f t="shared" si="3"/>
        <v>12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0</v>
      </c>
      <c r="N30" s="105">
        <v>0</v>
      </c>
      <c r="O30" s="105">
        <v>0</v>
      </c>
      <c r="P30" s="105">
        <v>0</v>
      </c>
      <c r="Q30" s="105">
        <v>0</v>
      </c>
      <c r="R30" s="105">
        <v>0</v>
      </c>
      <c r="S30" s="105">
        <v>0</v>
      </c>
      <c r="T30" s="105">
        <v>0</v>
      </c>
      <c r="U30" s="105">
        <v>0</v>
      </c>
      <c r="V30" s="105">
        <v>0</v>
      </c>
      <c r="W30" s="105">
        <v>3</v>
      </c>
      <c r="X30" s="105">
        <v>3</v>
      </c>
      <c r="Y30" s="105">
        <v>10</v>
      </c>
      <c r="Z30" s="105">
        <v>10</v>
      </c>
      <c r="AA30" s="105">
        <v>10</v>
      </c>
      <c r="AB30" s="105">
        <v>10</v>
      </c>
      <c r="AC30" s="105">
        <v>10</v>
      </c>
      <c r="AD30" s="105">
        <v>0</v>
      </c>
      <c r="AE30" s="105">
        <v>0</v>
      </c>
      <c r="AF30" s="105">
        <v>0</v>
      </c>
      <c r="AG30" s="126">
        <v>12</v>
      </c>
      <c r="AH30" s="20">
        <f t="shared" si="2"/>
        <v>10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0</v>
      </c>
      <c r="C31" s="105">
        <v>0</v>
      </c>
      <c r="D31" s="105">
        <v>0</v>
      </c>
      <c r="E31" s="105">
        <v>0</v>
      </c>
      <c r="F31" s="105">
        <v>0</v>
      </c>
      <c r="G31" s="105">
        <v>0</v>
      </c>
      <c r="H31" s="105">
        <v>0</v>
      </c>
      <c r="I31" s="105">
        <v>0</v>
      </c>
      <c r="J31" s="105">
        <v>0</v>
      </c>
      <c r="K31" s="105">
        <v>0</v>
      </c>
      <c r="L31" s="105">
        <v>0</v>
      </c>
      <c r="M31" s="105">
        <v>0</v>
      </c>
      <c r="N31" s="105">
        <v>0</v>
      </c>
      <c r="O31" s="105">
        <v>0</v>
      </c>
      <c r="P31" s="105">
        <v>0</v>
      </c>
      <c r="Q31" s="105">
        <v>0</v>
      </c>
      <c r="R31" s="105">
        <v>0</v>
      </c>
      <c r="S31" s="105">
        <v>0</v>
      </c>
      <c r="T31" s="105">
        <v>0</v>
      </c>
      <c r="U31" s="105">
        <v>0</v>
      </c>
      <c r="V31" s="105">
        <v>4</v>
      </c>
      <c r="W31" s="105">
        <v>4</v>
      </c>
      <c r="X31" s="105">
        <v>4</v>
      </c>
      <c r="Y31" s="105">
        <v>4</v>
      </c>
      <c r="Z31" s="105">
        <v>4</v>
      </c>
      <c r="AA31" s="105">
        <v>4</v>
      </c>
      <c r="AB31" s="105">
        <v>4</v>
      </c>
      <c r="AC31" s="105">
        <v>4</v>
      </c>
      <c r="AD31" s="105">
        <v>4</v>
      </c>
      <c r="AE31" s="105">
        <v>4</v>
      </c>
      <c r="AF31" s="105">
        <v>4</v>
      </c>
      <c r="AG31" s="126">
        <v>12</v>
      </c>
      <c r="AH31" s="20">
        <f t="shared" si="2"/>
        <v>4</v>
      </c>
      <c r="AI31" s="19">
        <f t="shared" si="3"/>
        <v>0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2</v>
      </c>
      <c r="C32" s="105">
        <v>2</v>
      </c>
      <c r="D32" s="105">
        <v>2</v>
      </c>
      <c r="E32" s="105">
        <v>2</v>
      </c>
      <c r="F32" s="105">
        <v>2</v>
      </c>
      <c r="G32" s="105">
        <v>2</v>
      </c>
      <c r="H32" s="105">
        <v>2</v>
      </c>
      <c r="I32" s="105">
        <v>2</v>
      </c>
      <c r="J32" s="105">
        <v>2</v>
      </c>
      <c r="K32" s="105">
        <v>2</v>
      </c>
      <c r="L32" s="105">
        <v>2</v>
      </c>
      <c r="M32" s="105">
        <v>2</v>
      </c>
      <c r="N32" s="105">
        <v>2</v>
      </c>
      <c r="O32" s="105">
        <v>2</v>
      </c>
      <c r="P32" s="105">
        <v>2</v>
      </c>
      <c r="Q32" s="105">
        <v>2</v>
      </c>
      <c r="R32" s="105">
        <v>2</v>
      </c>
      <c r="S32" s="105">
        <v>2</v>
      </c>
      <c r="T32" s="105">
        <v>2</v>
      </c>
      <c r="U32" s="105">
        <v>2</v>
      </c>
      <c r="V32" s="105">
        <v>2</v>
      </c>
      <c r="W32" s="105">
        <v>2</v>
      </c>
      <c r="X32" s="105">
        <v>2</v>
      </c>
      <c r="Y32" s="105">
        <v>2</v>
      </c>
      <c r="Z32" s="105">
        <v>2</v>
      </c>
      <c r="AA32" s="105">
        <v>2</v>
      </c>
      <c r="AB32" s="105">
        <v>2</v>
      </c>
      <c r="AC32" s="105">
        <v>2</v>
      </c>
      <c r="AD32" s="105">
        <v>0</v>
      </c>
      <c r="AE32" s="105">
        <v>0</v>
      </c>
      <c r="AF32" s="105">
        <v>0</v>
      </c>
      <c r="AG32" s="126">
        <v>12</v>
      </c>
      <c r="AH32" s="20">
        <f t="shared" si="2"/>
        <v>2</v>
      </c>
      <c r="AI32" s="19">
        <f t="shared" si="3"/>
        <v>0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8</v>
      </c>
      <c r="C33" s="105">
        <v>8</v>
      </c>
      <c r="D33" s="105">
        <v>8</v>
      </c>
      <c r="E33" s="105">
        <v>8</v>
      </c>
      <c r="F33" s="105">
        <v>8</v>
      </c>
      <c r="G33" s="105">
        <v>8</v>
      </c>
      <c r="H33" s="105">
        <v>8</v>
      </c>
      <c r="I33" s="105">
        <v>8</v>
      </c>
      <c r="J33" s="105">
        <v>8</v>
      </c>
      <c r="K33" s="105">
        <v>8</v>
      </c>
      <c r="L33" s="105">
        <v>8</v>
      </c>
      <c r="M33" s="105">
        <v>8</v>
      </c>
      <c r="N33" s="105">
        <v>8</v>
      </c>
      <c r="O33" s="105">
        <v>8</v>
      </c>
      <c r="P33" s="105">
        <v>0</v>
      </c>
      <c r="Q33" s="105">
        <v>0</v>
      </c>
      <c r="R33" s="105">
        <v>0</v>
      </c>
      <c r="S33" s="105">
        <v>0</v>
      </c>
      <c r="T33" s="105">
        <v>0</v>
      </c>
      <c r="U33" s="105">
        <v>0</v>
      </c>
      <c r="V33" s="105">
        <v>0</v>
      </c>
      <c r="W33" s="105">
        <v>0</v>
      </c>
      <c r="X33" s="105">
        <v>0</v>
      </c>
      <c r="Y33" s="105">
        <v>0</v>
      </c>
      <c r="Z33" s="105">
        <v>0</v>
      </c>
      <c r="AA33" s="105">
        <v>0</v>
      </c>
      <c r="AB33" s="105">
        <v>0</v>
      </c>
      <c r="AC33" s="105">
        <v>0</v>
      </c>
      <c r="AD33" s="105">
        <v>0</v>
      </c>
      <c r="AE33" s="105">
        <v>0</v>
      </c>
      <c r="AF33" s="105">
        <v>0</v>
      </c>
      <c r="AG33" s="125">
        <v>22</v>
      </c>
      <c r="AH33" s="20">
        <f t="shared" si="2"/>
        <v>8</v>
      </c>
      <c r="AI33" s="19">
        <f t="shared" si="3"/>
        <v>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11</v>
      </c>
      <c r="C34" s="105">
        <v>11</v>
      </c>
      <c r="D34" s="105">
        <v>11</v>
      </c>
      <c r="E34" s="105">
        <v>11</v>
      </c>
      <c r="F34" s="105">
        <v>11</v>
      </c>
      <c r="G34" s="105">
        <v>11</v>
      </c>
      <c r="H34" s="105">
        <v>11</v>
      </c>
      <c r="I34" s="105">
        <v>11</v>
      </c>
      <c r="J34" s="105">
        <v>11</v>
      </c>
      <c r="K34" s="105">
        <v>11</v>
      </c>
      <c r="L34" s="105">
        <v>11</v>
      </c>
      <c r="M34" s="105">
        <v>11</v>
      </c>
      <c r="N34" s="105">
        <v>11</v>
      </c>
      <c r="O34" s="105">
        <v>11</v>
      </c>
      <c r="P34" s="105">
        <v>11</v>
      </c>
      <c r="Q34" s="105">
        <v>11</v>
      </c>
      <c r="R34" s="105">
        <v>11</v>
      </c>
      <c r="S34" s="105">
        <v>11</v>
      </c>
      <c r="T34" s="105">
        <v>11</v>
      </c>
      <c r="U34" s="105">
        <v>11</v>
      </c>
      <c r="V34" s="105">
        <v>11</v>
      </c>
      <c r="W34" s="105">
        <v>11</v>
      </c>
      <c r="X34" s="105">
        <v>11</v>
      </c>
      <c r="Y34" s="105">
        <v>11</v>
      </c>
      <c r="Z34" s="105">
        <v>11</v>
      </c>
      <c r="AA34" s="105">
        <v>11</v>
      </c>
      <c r="AB34" s="105">
        <v>11</v>
      </c>
      <c r="AC34" s="105">
        <v>11</v>
      </c>
      <c r="AD34" s="105">
        <v>11</v>
      </c>
      <c r="AE34" s="105">
        <v>11</v>
      </c>
      <c r="AF34" s="105">
        <v>11</v>
      </c>
      <c r="AG34" s="96">
        <v>11.88</v>
      </c>
      <c r="AH34" s="20">
        <f t="shared" si="2"/>
        <v>11</v>
      </c>
      <c r="AI34" s="19">
        <f t="shared" si="3"/>
        <v>11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>
        <v>11</v>
      </c>
      <c r="AG35" s="94">
        <v>11</v>
      </c>
      <c r="AH35" s="20">
        <f t="shared" si="2"/>
        <v>11</v>
      </c>
      <c r="AI35" s="19">
        <f t="shared" si="3"/>
        <v>11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8.5</v>
      </c>
      <c r="C36" s="105">
        <v>8.5</v>
      </c>
      <c r="D36" s="105">
        <v>8.5</v>
      </c>
      <c r="E36" s="105">
        <v>8.5</v>
      </c>
      <c r="F36" s="105">
        <v>8.5</v>
      </c>
      <c r="G36" s="105">
        <v>8.5</v>
      </c>
      <c r="H36" s="105">
        <v>8.5</v>
      </c>
      <c r="I36" s="105">
        <v>8.5</v>
      </c>
      <c r="J36" s="105">
        <v>8.5</v>
      </c>
      <c r="K36" s="105">
        <v>8.5</v>
      </c>
      <c r="L36" s="105">
        <v>8.5</v>
      </c>
      <c r="M36" s="105">
        <v>8.5</v>
      </c>
      <c r="N36" s="105">
        <v>8.5</v>
      </c>
      <c r="O36" s="105">
        <v>8.5</v>
      </c>
      <c r="P36" s="105">
        <v>8.5</v>
      </c>
      <c r="Q36" s="105">
        <v>8.5</v>
      </c>
      <c r="R36" s="105">
        <v>8.5</v>
      </c>
      <c r="S36" s="105">
        <v>8.5</v>
      </c>
      <c r="T36" s="105">
        <v>8.5</v>
      </c>
      <c r="U36" s="105">
        <v>8.5</v>
      </c>
      <c r="V36" s="105">
        <v>8.5</v>
      </c>
      <c r="W36" s="105">
        <v>8.5</v>
      </c>
      <c r="X36" s="105">
        <v>8.5</v>
      </c>
      <c r="Y36" s="105">
        <v>10</v>
      </c>
      <c r="Z36" s="105">
        <v>10</v>
      </c>
      <c r="AA36" s="105">
        <v>10</v>
      </c>
      <c r="AB36" s="105">
        <v>10</v>
      </c>
      <c r="AC36" s="105">
        <v>10</v>
      </c>
      <c r="AD36" s="105">
        <v>10</v>
      </c>
      <c r="AE36" s="105">
        <v>10</v>
      </c>
      <c r="AF36" s="105">
        <v>10</v>
      </c>
      <c r="AG36" s="94">
        <v>10</v>
      </c>
      <c r="AH36" s="20">
        <f t="shared" si="2"/>
        <v>10</v>
      </c>
      <c r="AI36" s="19">
        <f t="shared" si="3"/>
        <v>8.5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5">
        <v>0</v>
      </c>
      <c r="O37" s="105">
        <v>0</v>
      </c>
      <c r="P37" s="105">
        <v>0</v>
      </c>
      <c r="Q37" s="105">
        <v>0</v>
      </c>
      <c r="R37" s="105">
        <v>0</v>
      </c>
      <c r="S37" s="105">
        <v>0</v>
      </c>
      <c r="T37" s="105">
        <v>0</v>
      </c>
      <c r="U37" s="105">
        <v>0</v>
      </c>
      <c r="V37" s="105">
        <v>0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0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v>180</v>
      </c>
      <c r="C39" s="119">
        <v>166</v>
      </c>
      <c r="D39" s="119">
        <v>152</v>
      </c>
      <c r="E39" s="119">
        <f>60.3+85.3</f>
        <v>145.6</v>
      </c>
      <c r="F39" s="119">
        <f>53+85</f>
        <v>138</v>
      </c>
      <c r="G39" s="119">
        <f>61.1+84.8</f>
        <v>145.9</v>
      </c>
      <c r="H39" s="119">
        <f>66.9+84.8</f>
        <v>151.69999999999999</v>
      </c>
      <c r="I39" s="119">
        <f>68.3+84.6</f>
        <v>152.89999999999998</v>
      </c>
      <c r="J39" s="119">
        <f>61+85</f>
        <v>146</v>
      </c>
      <c r="K39" s="119">
        <f>69.4+85.3</f>
        <v>154.69999999999999</v>
      </c>
      <c r="L39" s="113">
        <f>70.6+85.1</f>
        <v>155.69999999999999</v>
      </c>
      <c r="M39" s="113">
        <f>90.2+64.5</f>
        <v>154.69999999999999</v>
      </c>
      <c r="N39" s="113">
        <f>89+65.3</f>
        <v>154.30000000000001</v>
      </c>
      <c r="O39" s="113">
        <f>166.6</f>
        <v>166.6</v>
      </c>
      <c r="P39" s="113">
        <f>63.4+78.6</f>
        <v>142</v>
      </c>
      <c r="Q39" s="113">
        <f>70.2+75.9</f>
        <v>146.10000000000002</v>
      </c>
      <c r="R39" s="113">
        <f>73.7+76.3</f>
        <v>150</v>
      </c>
      <c r="S39" s="119">
        <f>86.1+76.1</f>
        <v>162.19999999999999</v>
      </c>
      <c r="T39" s="119">
        <f>73.2+76.3</f>
        <v>149.5</v>
      </c>
      <c r="U39" s="119">
        <f>76.5+72.8</f>
        <v>149.30000000000001</v>
      </c>
      <c r="V39" s="119">
        <f>76.4+71.7</f>
        <v>148.10000000000002</v>
      </c>
      <c r="W39" s="119">
        <f>83.6+78.4</f>
        <v>162</v>
      </c>
      <c r="X39" s="119">
        <f>94.9+77.9</f>
        <v>172.8</v>
      </c>
      <c r="Y39" s="119">
        <v>179.7</v>
      </c>
      <c r="Z39" s="119">
        <v>181.39999999999998</v>
      </c>
      <c r="AA39" s="119">
        <f>95.7+83.4</f>
        <v>179.10000000000002</v>
      </c>
      <c r="AB39" s="119">
        <f>83.9+95.6</f>
        <v>179.5</v>
      </c>
      <c r="AC39" s="119">
        <f>84.4+91.6</f>
        <v>176</v>
      </c>
      <c r="AD39" s="119">
        <f>77.9+84.5</f>
        <v>162.4</v>
      </c>
      <c r="AE39" s="119">
        <v>139</v>
      </c>
      <c r="AF39" s="119">
        <v>139</v>
      </c>
      <c r="AG39" s="94">
        <v>240</v>
      </c>
      <c r="AH39" s="20">
        <f t="shared" si="2"/>
        <v>181.39999999999998</v>
      </c>
      <c r="AI39" s="19">
        <f t="shared" si="3"/>
        <v>138</v>
      </c>
      <c r="AK39" s="41"/>
    </row>
    <row r="40" spans="1:88" ht="15.75" thickBot="1" x14ac:dyDescent="0.3">
      <c r="A40" s="118" t="s">
        <v>195</v>
      </c>
      <c r="B40" s="86">
        <v>657.1</v>
      </c>
      <c r="C40" s="86">
        <f>SUM(C11:C38)</f>
        <v>615.29999999999995</v>
      </c>
      <c r="D40" s="86">
        <f>SUM(D11:D38)</f>
        <v>568.1</v>
      </c>
      <c r="E40" s="86">
        <f t="shared" ref="E40:AG40" si="4">SUM(E11:E38)</f>
        <v>596.6</v>
      </c>
      <c r="F40" s="86">
        <f t="shared" si="4"/>
        <v>589.9</v>
      </c>
      <c r="G40" s="86">
        <f t="shared" si="4"/>
        <v>589.9</v>
      </c>
      <c r="H40" s="86">
        <f t="shared" si="4"/>
        <v>589.9</v>
      </c>
      <c r="I40" s="86">
        <f t="shared" si="4"/>
        <v>594.9</v>
      </c>
      <c r="J40" s="86">
        <f t="shared" si="4"/>
        <v>594.9</v>
      </c>
      <c r="K40" s="86">
        <f t="shared" si="4"/>
        <v>603.79999999999995</v>
      </c>
      <c r="L40" s="86">
        <f t="shared" si="4"/>
        <v>603.79999999999995</v>
      </c>
      <c r="M40" s="86">
        <f t="shared" si="4"/>
        <v>672.9</v>
      </c>
      <c r="N40" s="86">
        <f t="shared" si="4"/>
        <v>672.9</v>
      </c>
      <c r="O40" s="86">
        <f t="shared" si="4"/>
        <v>679.9</v>
      </c>
      <c r="P40" s="86">
        <f t="shared" si="4"/>
        <v>697.5</v>
      </c>
      <c r="Q40" s="86">
        <f t="shared" si="4"/>
        <v>705.1</v>
      </c>
      <c r="R40" s="86">
        <f t="shared" si="4"/>
        <v>697.9</v>
      </c>
      <c r="S40" s="86">
        <f t="shared" si="4"/>
        <v>705.4</v>
      </c>
      <c r="T40" s="86">
        <f t="shared" si="4"/>
        <v>687.4</v>
      </c>
      <c r="U40" s="86">
        <f t="shared" si="4"/>
        <v>653.6</v>
      </c>
      <c r="V40" s="86">
        <f t="shared" si="4"/>
        <v>657.6</v>
      </c>
      <c r="W40" s="86">
        <f t="shared" si="4"/>
        <v>669.6</v>
      </c>
      <c r="X40" s="86">
        <f t="shared" si="4"/>
        <v>734.3</v>
      </c>
      <c r="Y40" s="86">
        <f t="shared" si="4"/>
        <v>836.7</v>
      </c>
      <c r="Z40" s="86">
        <f t="shared" si="4"/>
        <v>812.3</v>
      </c>
      <c r="AA40" s="86">
        <f t="shared" si="4"/>
        <v>791.3</v>
      </c>
      <c r="AB40" s="86">
        <f t="shared" si="4"/>
        <v>791.3</v>
      </c>
      <c r="AC40" s="86">
        <f>SUM(AC11:AC38)</f>
        <v>725.2</v>
      </c>
      <c r="AD40" s="86">
        <f t="shared" si="4"/>
        <v>702.4</v>
      </c>
      <c r="AE40" s="86">
        <f t="shared" si="4"/>
        <v>680.69999999999993</v>
      </c>
      <c r="AF40" s="86">
        <f t="shared" si="4"/>
        <v>680.19999999999993</v>
      </c>
      <c r="AG40" s="101">
        <f t="shared" si="4"/>
        <v>707.78000000000009</v>
      </c>
      <c r="AH40" s="20">
        <f t="shared" si="2"/>
        <v>836.7</v>
      </c>
      <c r="AI40" s="19">
        <f t="shared" si="3"/>
        <v>568.1</v>
      </c>
      <c r="AK40" s="41"/>
    </row>
    <row r="41" spans="1:88" x14ac:dyDescent="0.25">
      <c r="A41" s="117" t="s">
        <v>194</v>
      </c>
      <c r="B41" s="105">
        <v>456</v>
      </c>
      <c r="C41" s="105">
        <v>456</v>
      </c>
      <c r="D41" s="105">
        <v>420</v>
      </c>
      <c r="E41" s="105">
        <v>456</v>
      </c>
      <c r="F41" s="105">
        <v>456</v>
      </c>
      <c r="G41" s="105">
        <v>456</v>
      </c>
      <c r="H41" s="105">
        <v>456</v>
      </c>
      <c r="I41" s="105">
        <v>456</v>
      </c>
      <c r="J41" s="105">
        <v>436</v>
      </c>
      <c r="K41" s="105">
        <v>456</v>
      </c>
      <c r="L41" s="105">
        <v>456</v>
      </c>
      <c r="M41" s="105">
        <v>456</v>
      </c>
      <c r="N41" s="105">
        <v>456</v>
      </c>
      <c r="O41" s="105">
        <v>456</v>
      </c>
      <c r="P41" s="105">
        <v>456</v>
      </c>
      <c r="Q41" s="105">
        <v>456</v>
      </c>
      <c r="R41" s="105">
        <v>456</v>
      </c>
      <c r="S41" s="105">
        <v>456</v>
      </c>
      <c r="T41" s="105">
        <v>456</v>
      </c>
      <c r="U41" s="105">
        <v>456</v>
      </c>
      <c r="V41" s="105">
        <v>456</v>
      </c>
      <c r="W41" s="105">
        <v>456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430</v>
      </c>
      <c r="AD41" s="105">
        <v>456</v>
      </c>
      <c r="AE41" s="105">
        <v>456</v>
      </c>
      <c r="AF41" s="105">
        <v>456</v>
      </c>
      <c r="AG41" s="96">
        <v>456</v>
      </c>
      <c r="AH41" s="20">
        <f t="shared" si="2"/>
        <v>456</v>
      </c>
      <c r="AI41" s="19">
        <f t="shared" si="3"/>
        <v>420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>
        <v>60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>
        <v>22</v>
      </c>
      <c r="S43" s="107">
        <v>22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>
        <v>22</v>
      </c>
      <c r="AG43" s="106">
        <v>22.1</v>
      </c>
      <c r="AH43" s="20">
        <f t="shared" si="2"/>
        <v>22</v>
      </c>
      <c r="AI43" s="19">
        <f t="shared" si="3"/>
        <v>22</v>
      </c>
      <c r="AK43" s="41"/>
    </row>
    <row r="44" spans="1:88" ht="15.75" thickBot="1" x14ac:dyDescent="0.3">
      <c r="A44" s="114" t="s">
        <v>191</v>
      </c>
      <c r="B44" s="86">
        <f t="shared" ref="B44:AG44" si="5">SUM(B41:B43)</f>
        <v>538</v>
      </c>
      <c r="C44" s="86">
        <f t="shared" si="5"/>
        <v>538</v>
      </c>
      <c r="D44" s="86">
        <f t="shared" si="5"/>
        <v>502</v>
      </c>
      <c r="E44" s="86">
        <f t="shared" si="5"/>
        <v>538</v>
      </c>
      <c r="F44" s="86">
        <f t="shared" si="5"/>
        <v>538</v>
      </c>
      <c r="G44" s="86">
        <f t="shared" si="5"/>
        <v>538</v>
      </c>
      <c r="H44" s="86">
        <f t="shared" si="5"/>
        <v>538</v>
      </c>
      <c r="I44" s="86">
        <f t="shared" si="5"/>
        <v>538</v>
      </c>
      <c r="J44" s="86">
        <f t="shared" si="5"/>
        <v>518</v>
      </c>
      <c r="K44" s="86">
        <f t="shared" si="5"/>
        <v>538</v>
      </c>
      <c r="L44" s="86">
        <f t="shared" si="5"/>
        <v>538</v>
      </c>
      <c r="M44" s="86">
        <f t="shared" si="5"/>
        <v>538</v>
      </c>
      <c r="N44" s="86">
        <f t="shared" si="5"/>
        <v>538</v>
      </c>
      <c r="O44" s="86">
        <f t="shared" si="5"/>
        <v>538</v>
      </c>
      <c r="P44" s="86">
        <f t="shared" si="5"/>
        <v>538</v>
      </c>
      <c r="Q44" s="86">
        <f t="shared" si="5"/>
        <v>538</v>
      </c>
      <c r="R44" s="86">
        <f t="shared" si="5"/>
        <v>538</v>
      </c>
      <c r="S44" s="86">
        <f t="shared" si="5"/>
        <v>538</v>
      </c>
      <c r="T44" s="86">
        <f t="shared" si="5"/>
        <v>538</v>
      </c>
      <c r="U44" s="86">
        <f t="shared" si="5"/>
        <v>538</v>
      </c>
      <c r="V44" s="86">
        <f t="shared" si="5"/>
        <v>538</v>
      </c>
      <c r="W44" s="86">
        <f t="shared" si="5"/>
        <v>538</v>
      </c>
      <c r="X44" s="86">
        <f t="shared" si="5"/>
        <v>538</v>
      </c>
      <c r="Y44" s="86">
        <f t="shared" si="5"/>
        <v>538</v>
      </c>
      <c r="Z44" s="86">
        <f t="shared" si="5"/>
        <v>538</v>
      </c>
      <c r="AA44" s="86">
        <f t="shared" si="5"/>
        <v>538</v>
      </c>
      <c r="AB44" s="86">
        <f t="shared" si="5"/>
        <v>538</v>
      </c>
      <c r="AC44" s="86">
        <f t="shared" si="5"/>
        <v>512</v>
      </c>
      <c r="AD44" s="86">
        <f t="shared" si="5"/>
        <v>538</v>
      </c>
      <c r="AE44" s="86">
        <f t="shared" si="5"/>
        <v>538</v>
      </c>
      <c r="AF44" s="86">
        <f t="shared" si="5"/>
        <v>538</v>
      </c>
      <c r="AG44" s="101">
        <f t="shared" si="5"/>
        <v>538.1</v>
      </c>
      <c r="AH44" s="20">
        <f t="shared" si="2"/>
        <v>538</v>
      </c>
      <c r="AI44" s="19">
        <f t="shared" si="3"/>
        <v>502</v>
      </c>
      <c r="AK44" s="41"/>
    </row>
    <row r="45" spans="1:88" x14ac:dyDescent="0.25">
      <c r="A45" s="97" t="s">
        <v>190</v>
      </c>
      <c r="B45" s="105">
        <v>40</v>
      </c>
      <c r="C45" s="105">
        <v>60</v>
      </c>
      <c r="D45" s="105">
        <v>60</v>
      </c>
      <c r="E45" s="105">
        <v>60.9</v>
      </c>
      <c r="F45" s="105">
        <v>65.5</v>
      </c>
      <c r="G45" s="105">
        <v>60.9</v>
      </c>
      <c r="H45" s="105">
        <v>61</v>
      </c>
      <c r="I45" s="105">
        <v>61</v>
      </c>
      <c r="J45" s="105">
        <v>90</v>
      </c>
      <c r="K45" s="105">
        <v>92.6</v>
      </c>
      <c r="L45" s="105">
        <v>92.6</v>
      </c>
      <c r="M45" s="105">
        <v>92.9</v>
      </c>
      <c r="N45" s="105">
        <v>92.8</v>
      </c>
      <c r="O45" s="105">
        <v>93</v>
      </c>
      <c r="P45" s="105">
        <v>93</v>
      </c>
      <c r="Q45" s="105">
        <v>93.4</v>
      </c>
      <c r="R45" s="105">
        <v>93.6</v>
      </c>
      <c r="S45" s="105">
        <v>93.6</v>
      </c>
      <c r="T45" s="105">
        <v>93.6</v>
      </c>
      <c r="U45" s="105">
        <v>93.6</v>
      </c>
      <c r="V45" s="105">
        <v>93.6</v>
      </c>
      <c r="W45" s="105">
        <v>93.6</v>
      </c>
      <c r="X45" s="105">
        <v>93.6</v>
      </c>
      <c r="Y45" s="105">
        <v>93.6</v>
      </c>
      <c r="Z45" s="105">
        <v>93.6</v>
      </c>
      <c r="AA45" s="105">
        <v>93.6</v>
      </c>
      <c r="AB45" s="105">
        <v>93.9</v>
      </c>
      <c r="AC45" s="105">
        <v>93.9</v>
      </c>
      <c r="AD45" s="105">
        <v>93.9</v>
      </c>
      <c r="AE45" s="105">
        <v>94</v>
      </c>
      <c r="AF45" s="105">
        <v>80</v>
      </c>
      <c r="AG45" s="96">
        <v>144</v>
      </c>
      <c r="AH45" s="20">
        <f t="shared" si="2"/>
        <v>94</v>
      </c>
      <c r="AI45" s="19">
        <f t="shared" si="3"/>
        <v>40</v>
      </c>
      <c r="AK45" s="41"/>
    </row>
    <row r="46" spans="1:88" x14ac:dyDescent="0.25">
      <c r="A46" s="95" t="s">
        <v>189</v>
      </c>
      <c r="B46" s="80">
        <v>72.2</v>
      </c>
      <c r="C46" s="80">
        <v>72.2</v>
      </c>
      <c r="D46" s="80">
        <v>70</v>
      </c>
      <c r="E46" s="80">
        <v>71.900000000000006</v>
      </c>
      <c r="F46" s="80">
        <v>72.099999999999994</v>
      </c>
      <c r="G46" s="80">
        <v>72.7</v>
      </c>
      <c r="H46" s="80">
        <v>72</v>
      </c>
      <c r="I46" s="80">
        <v>72</v>
      </c>
      <c r="J46" s="80">
        <v>72</v>
      </c>
      <c r="K46" s="80">
        <v>72.900000000000006</v>
      </c>
      <c r="L46" s="80">
        <v>71</v>
      </c>
      <c r="M46" s="80">
        <v>71.400000000000006</v>
      </c>
      <c r="N46" s="105">
        <v>71.400000000000006</v>
      </c>
      <c r="O46" s="105">
        <v>71.400000000000006</v>
      </c>
      <c r="P46" s="105">
        <v>71.400000000000006</v>
      </c>
      <c r="Q46" s="105">
        <v>71.900000000000006</v>
      </c>
      <c r="R46" s="105">
        <v>72.8</v>
      </c>
      <c r="S46" s="105">
        <v>72.8</v>
      </c>
      <c r="T46" s="105">
        <v>72.8</v>
      </c>
      <c r="U46" s="105">
        <v>72.8</v>
      </c>
      <c r="V46" s="105">
        <v>72.8</v>
      </c>
      <c r="W46" s="105">
        <v>72.8</v>
      </c>
      <c r="X46" s="105">
        <v>72.8</v>
      </c>
      <c r="Y46" s="80">
        <v>72.8</v>
      </c>
      <c r="Z46" s="80">
        <v>72.8</v>
      </c>
      <c r="AA46" s="80">
        <v>72.8</v>
      </c>
      <c r="AB46" s="80">
        <v>72.8</v>
      </c>
      <c r="AC46" s="80">
        <v>72.8</v>
      </c>
      <c r="AD46" s="80">
        <v>72.8</v>
      </c>
      <c r="AE46" s="80">
        <v>70</v>
      </c>
      <c r="AF46" s="80">
        <v>50</v>
      </c>
      <c r="AG46" s="94">
        <v>70</v>
      </c>
      <c r="AH46" s="20">
        <f t="shared" si="2"/>
        <v>72.900000000000006</v>
      </c>
      <c r="AI46" s="19">
        <f t="shared" si="3"/>
        <v>50</v>
      </c>
      <c r="AK46" s="41"/>
    </row>
    <row r="47" spans="1:88" x14ac:dyDescent="0.25">
      <c r="A47" s="95" t="s">
        <v>188</v>
      </c>
      <c r="B47" s="80">
        <v>45.2</v>
      </c>
      <c r="C47" s="80">
        <v>45.2</v>
      </c>
      <c r="D47" s="80">
        <v>46</v>
      </c>
      <c r="E47" s="80">
        <v>45.4</v>
      </c>
      <c r="F47" s="80">
        <v>45.7</v>
      </c>
      <c r="G47" s="80">
        <v>45.6</v>
      </c>
      <c r="H47" s="80">
        <v>45.6</v>
      </c>
      <c r="I47" s="80">
        <v>45.6</v>
      </c>
      <c r="J47" s="80">
        <v>45.6</v>
      </c>
      <c r="K47" s="80">
        <v>45.1</v>
      </c>
      <c r="L47" s="80">
        <v>45.4</v>
      </c>
      <c r="M47" s="80">
        <v>43</v>
      </c>
      <c r="N47" s="105">
        <v>42.9</v>
      </c>
      <c r="O47" s="105">
        <v>43</v>
      </c>
      <c r="P47" s="105">
        <v>43</v>
      </c>
      <c r="Q47" s="105">
        <v>43.6</v>
      </c>
      <c r="R47" s="105">
        <v>43.1</v>
      </c>
      <c r="S47" s="105">
        <v>43.1</v>
      </c>
      <c r="T47" s="105">
        <v>43.1</v>
      </c>
      <c r="U47" s="105">
        <v>43.1</v>
      </c>
      <c r="V47" s="105">
        <v>43.1</v>
      </c>
      <c r="W47" s="105">
        <v>43.1</v>
      </c>
      <c r="X47" s="105">
        <v>43.1</v>
      </c>
      <c r="Y47" s="80">
        <v>43.1</v>
      </c>
      <c r="Z47" s="80">
        <v>43.1</v>
      </c>
      <c r="AA47" s="80">
        <v>43.1</v>
      </c>
      <c r="AB47" s="80">
        <v>43.1</v>
      </c>
      <c r="AC47" s="80">
        <v>43.1</v>
      </c>
      <c r="AD47" s="80">
        <v>42.8</v>
      </c>
      <c r="AE47" s="80">
        <v>42.8</v>
      </c>
      <c r="AF47" s="80">
        <v>43</v>
      </c>
      <c r="AG47" s="94">
        <v>69</v>
      </c>
      <c r="AH47" s="20">
        <f t="shared" si="2"/>
        <v>46</v>
      </c>
      <c r="AI47" s="19">
        <f t="shared" si="3"/>
        <v>42.8</v>
      </c>
      <c r="AK47" s="41"/>
    </row>
    <row r="48" spans="1:88" x14ac:dyDescent="0.25">
      <c r="A48" s="95" t="s">
        <v>187</v>
      </c>
      <c r="B48" s="113">
        <v>61.4</v>
      </c>
      <c r="C48" s="113">
        <v>61.2</v>
      </c>
      <c r="D48" s="113">
        <v>61.2</v>
      </c>
      <c r="E48" s="113">
        <v>61.4</v>
      </c>
      <c r="F48" s="113">
        <v>61.4</v>
      </c>
      <c r="G48" s="113">
        <v>61</v>
      </c>
      <c r="H48" s="113">
        <v>60.9</v>
      </c>
      <c r="I48" s="113">
        <v>60.9</v>
      </c>
      <c r="J48" s="113">
        <v>60.9</v>
      </c>
      <c r="K48" s="113">
        <v>60.9</v>
      </c>
      <c r="L48" s="113">
        <v>60.9</v>
      </c>
      <c r="M48" s="80">
        <v>60.9</v>
      </c>
      <c r="N48" s="105">
        <v>60.9</v>
      </c>
      <c r="O48" s="105">
        <v>60.9</v>
      </c>
      <c r="P48" s="105">
        <v>60.9</v>
      </c>
      <c r="Q48" s="105">
        <v>60.9</v>
      </c>
      <c r="R48" s="105">
        <v>60.9</v>
      </c>
      <c r="S48" s="105">
        <v>60.9</v>
      </c>
      <c r="T48" s="105">
        <v>60.9</v>
      </c>
      <c r="U48" s="105">
        <v>60.9</v>
      </c>
      <c r="V48" s="105">
        <v>60.9</v>
      </c>
      <c r="W48" s="105">
        <v>60.9</v>
      </c>
      <c r="X48" s="105">
        <v>60.9</v>
      </c>
      <c r="Y48" s="80">
        <v>60.9</v>
      </c>
      <c r="Z48" s="80">
        <v>60.9</v>
      </c>
      <c r="AA48" s="80">
        <v>60.9</v>
      </c>
      <c r="AB48" s="80">
        <v>60.9</v>
      </c>
      <c r="AC48" s="80">
        <v>60.9</v>
      </c>
      <c r="AD48" s="80">
        <v>60.9</v>
      </c>
      <c r="AE48" s="113">
        <v>60</v>
      </c>
      <c r="AF48" s="113">
        <v>45.6</v>
      </c>
      <c r="AG48" s="94">
        <v>60</v>
      </c>
      <c r="AH48" s="20">
        <f t="shared" si="2"/>
        <v>61.4</v>
      </c>
      <c r="AI48" s="19">
        <f t="shared" si="3"/>
        <v>45.6</v>
      </c>
      <c r="AK48" s="41"/>
    </row>
    <row r="49" spans="1:41" x14ac:dyDescent="0.25">
      <c r="A49" s="95" t="s">
        <v>186</v>
      </c>
      <c r="B49" s="113">
        <v>29.2</v>
      </c>
      <c r="C49" s="113">
        <v>29.3</v>
      </c>
      <c r="D49" s="113">
        <v>29.3</v>
      </c>
      <c r="E49" s="113">
        <v>29.3</v>
      </c>
      <c r="F49" s="113">
        <v>29.3</v>
      </c>
      <c r="G49" s="113">
        <v>29.3</v>
      </c>
      <c r="H49" s="113">
        <v>28.4</v>
      </c>
      <c r="I49" s="113">
        <v>28.4</v>
      </c>
      <c r="J49" s="113">
        <v>28.4</v>
      </c>
      <c r="K49" s="113">
        <v>0</v>
      </c>
      <c r="L49" s="113">
        <v>0</v>
      </c>
      <c r="M49" s="80">
        <v>0</v>
      </c>
      <c r="N49" s="80">
        <v>0</v>
      </c>
      <c r="O49" s="80">
        <v>0</v>
      </c>
      <c r="P49" s="80">
        <v>0</v>
      </c>
      <c r="Q49" s="80">
        <v>0</v>
      </c>
      <c r="R49" s="80">
        <v>0</v>
      </c>
      <c r="S49" s="80">
        <v>0</v>
      </c>
      <c r="T49" s="80">
        <v>0</v>
      </c>
      <c r="U49" s="80">
        <v>0</v>
      </c>
      <c r="V49" s="80">
        <v>15</v>
      </c>
      <c r="W49" s="80">
        <v>15</v>
      </c>
      <c r="X49" s="80">
        <v>15</v>
      </c>
      <c r="Y49" s="80">
        <v>15</v>
      </c>
      <c r="Z49" s="80">
        <v>0</v>
      </c>
      <c r="AA49" s="80">
        <v>0</v>
      </c>
      <c r="AB49" s="80">
        <v>0</v>
      </c>
      <c r="AC49" s="80">
        <v>0</v>
      </c>
      <c r="AD49" s="80">
        <v>0</v>
      </c>
      <c r="AE49" s="80">
        <v>0</v>
      </c>
      <c r="AF49" s="80">
        <v>0</v>
      </c>
      <c r="AG49" s="94">
        <v>30</v>
      </c>
      <c r="AH49" s="20">
        <f t="shared" si="2"/>
        <v>29.3</v>
      </c>
      <c r="AI49" s="19">
        <f t="shared" si="3"/>
        <v>0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0</v>
      </c>
      <c r="N50" s="80">
        <v>0</v>
      </c>
      <c r="O50" s="80">
        <v>0</v>
      </c>
      <c r="P50" s="80">
        <v>0</v>
      </c>
      <c r="Q50" s="80">
        <v>0</v>
      </c>
      <c r="R50" s="80">
        <v>0</v>
      </c>
      <c r="S50" s="80">
        <v>10</v>
      </c>
      <c r="T50" s="80">
        <v>10</v>
      </c>
      <c r="U50" s="80">
        <v>10</v>
      </c>
      <c r="V50" s="80">
        <v>10</v>
      </c>
      <c r="W50" s="80">
        <v>10</v>
      </c>
      <c r="X50" s="80">
        <v>10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105">
        <v>0</v>
      </c>
      <c r="AG50" s="94">
        <v>25</v>
      </c>
      <c r="AH50" s="20">
        <f t="shared" si="2"/>
        <v>10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0</v>
      </c>
      <c r="C51" s="80">
        <v>0</v>
      </c>
      <c r="D51" s="80">
        <v>0</v>
      </c>
      <c r="E51" s="80">
        <v>0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>
        <v>0</v>
      </c>
      <c r="L51" s="80">
        <v>0</v>
      </c>
      <c r="M51" s="80">
        <v>0</v>
      </c>
      <c r="N51" s="80">
        <v>0</v>
      </c>
      <c r="O51" s="80">
        <v>0</v>
      </c>
      <c r="P51" s="80">
        <v>0</v>
      </c>
      <c r="Q51" s="80">
        <v>0</v>
      </c>
      <c r="R51" s="80">
        <v>0</v>
      </c>
      <c r="S51" s="80">
        <v>0</v>
      </c>
      <c r="T51" s="80">
        <v>0</v>
      </c>
      <c r="U51" s="80">
        <v>0</v>
      </c>
      <c r="V51" s="80">
        <v>0</v>
      </c>
      <c r="W51" s="80">
        <v>0</v>
      </c>
      <c r="X51" s="80">
        <v>0</v>
      </c>
      <c r="Y51" s="105">
        <v>0</v>
      </c>
      <c r="Z51" s="105">
        <v>0</v>
      </c>
      <c r="AA51" s="105">
        <v>0</v>
      </c>
      <c r="AB51" s="105">
        <v>0</v>
      </c>
      <c r="AC51" s="105">
        <v>0</v>
      </c>
      <c r="AD51" s="105">
        <v>0</v>
      </c>
      <c r="AE51" s="105">
        <v>0</v>
      </c>
      <c r="AF51" s="105">
        <v>0</v>
      </c>
      <c r="AG51" s="94">
        <v>24</v>
      </c>
      <c r="AH51" s="20">
        <f t="shared" si="2"/>
        <v>0</v>
      </c>
      <c r="AI51" s="19">
        <f t="shared" si="3"/>
        <v>0</v>
      </c>
      <c r="AK51" s="41"/>
    </row>
    <row r="52" spans="1:41" x14ac:dyDescent="0.25">
      <c r="A52" s="95" t="s">
        <v>183</v>
      </c>
      <c r="B52" s="80">
        <v>0</v>
      </c>
      <c r="C52" s="80">
        <v>0</v>
      </c>
      <c r="D52" s="80">
        <v>0</v>
      </c>
      <c r="E52" s="80">
        <v>0</v>
      </c>
      <c r="F52" s="80">
        <v>0</v>
      </c>
      <c r="G52" s="80">
        <v>0</v>
      </c>
      <c r="H52" s="80">
        <v>0</v>
      </c>
      <c r="I52" s="80">
        <v>0</v>
      </c>
      <c r="J52" s="80">
        <v>0</v>
      </c>
      <c r="K52" s="80">
        <v>0</v>
      </c>
      <c r="L52" s="80">
        <v>0</v>
      </c>
      <c r="M52" s="80">
        <v>0</v>
      </c>
      <c r="N52" s="80">
        <v>0</v>
      </c>
      <c r="O52" s="80">
        <v>0</v>
      </c>
      <c r="P52" s="80">
        <v>0</v>
      </c>
      <c r="Q52" s="80">
        <v>0</v>
      </c>
      <c r="R52" s="80">
        <v>0</v>
      </c>
      <c r="S52" s="80">
        <v>0</v>
      </c>
      <c r="T52" s="80">
        <v>0</v>
      </c>
      <c r="U52" s="80">
        <v>0</v>
      </c>
      <c r="V52" s="80">
        <v>0</v>
      </c>
      <c r="W52" s="80">
        <v>0</v>
      </c>
      <c r="X52" s="80">
        <v>0</v>
      </c>
      <c r="Y52" s="80">
        <v>0</v>
      </c>
      <c r="Z52" s="80">
        <v>0</v>
      </c>
      <c r="AA52" s="80">
        <v>0</v>
      </c>
      <c r="AB52" s="80">
        <v>0</v>
      </c>
      <c r="AC52" s="80">
        <v>0</v>
      </c>
      <c r="AD52" s="80">
        <v>0</v>
      </c>
      <c r="AE52" s="80">
        <v>0</v>
      </c>
      <c r="AF52" s="80">
        <v>0</v>
      </c>
      <c r="AG52" s="94">
        <v>15</v>
      </c>
      <c r="AH52" s="20">
        <f t="shared" si="2"/>
        <v>0</v>
      </c>
      <c r="AI52" s="19">
        <f t="shared" si="3"/>
        <v>0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0</v>
      </c>
      <c r="C53" s="80">
        <v>0</v>
      </c>
      <c r="D53" s="80">
        <v>0</v>
      </c>
      <c r="E53" s="80">
        <v>0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>
        <v>0</v>
      </c>
      <c r="L53" s="80">
        <v>0</v>
      </c>
      <c r="M53" s="80">
        <v>0</v>
      </c>
      <c r="N53" s="80">
        <v>0</v>
      </c>
      <c r="O53" s="80">
        <v>0</v>
      </c>
      <c r="P53" s="80">
        <v>0</v>
      </c>
      <c r="Q53" s="80">
        <v>0</v>
      </c>
      <c r="R53" s="80">
        <v>0</v>
      </c>
      <c r="S53" s="80">
        <v>0</v>
      </c>
      <c r="T53" s="80">
        <v>0</v>
      </c>
      <c r="U53" s="80">
        <v>0</v>
      </c>
      <c r="V53" s="80">
        <v>0</v>
      </c>
      <c r="W53" s="80">
        <v>0</v>
      </c>
      <c r="X53" s="80">
        <v>0</v>
      </c>
      <c r="Y53" s="80">
        <v>0</v>
      </c>
      <c r="Z53" s="80">
        <v>0</v>
      </c>
      <c r="AA53" s="80">
        <v>0</v>
      </c>
      <c r="AB53" s="80">
        <v>0</v>
      </c>
      <c r="AC53" s="80">
        <v>0</v>
      </c>
      <c r="AD53" s="80">
        <v>0</v>
      </c>
      <c r="AE53" s="80">
        <v>0</v>
      </c>
      <c r="AF53" s="80">
        <v>0</v>
      </c>
      <c r="AG53" s="94">
        <v>14.1</v>
      </c>
      <c r="AH53" s="20">
        <f t="shared" si="2"/>
        <v>0</v>
      </c>
      <c r="AI53" s="19">
        <f t="shared" si="3"/>
        <v>0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14.1</v>
      </c>
      <c r="C54" s="80">
        <v>14.1</v>
      </c>
      <c r="D54" s="80">
        <v>14.1</v>
      </c>
      <c r="E54" s="80">
        <v>14.1</v>
      </c>
      <c r="F54" s="80">
        <v>14.1</v>
      </c>
      <c r="G54" s="80">
        <v>14.1</v>
      </c>
      <c r="H54" s="80">
        <v>14.1</v>
      </c>
      <c r="I54" s="80">
        <v>14.1</v>
      </c>
      <c r="J54" s="80">
        <v>14.1</v>
      </c>
      <c r="K54" s="80">
        <v>14.1</v>
      </c>
      <c r="L54" s="80">
        <v>14.1</v>
      </c>
      <c r="M54" s="80">
        <v>14.1</v>
      </c>
      <c r="N54" s="80">
        <v>7.2</v>
      </c>
      <c r="O54" s="80">
        <v>7.2</v>
      </c>
      <c r="P54" s="80">
        <v>7.2</v>
      </c>
      <c r="Q54" s="80">
        <v>7.2</v>
      </c>
      <c r="R54" s="80">
        <v>7.2</v>
      </c>
      <c r="S54" s="80">
        <v>7.2</v>
      </c>
      <c r="T54" s="80">
        <v>7.2</v>
      </c>
      <c r="U54" s="80">
        <v>7.2</v>
      </c>
      <c r="V54" s="80">
        <v>7.2</v>
      </c>
      <c r="W54" s="80">
        <v>7.2</v>
      </c>
      <c r="X54" s="80">
        <v>7.2</v>
      </c>
      <c r="Y54" s="80">
        <v>7.2</v>
      </c>
      <c r="Z54" s="80">
        <v>7.2</v>
      </c>
      <c r="AA54" s="80">
        <v>7.2</v>
      </c>
      <c r="AB54" s="80">
        <v>7.2</v>
      </c>
      <c r="AC54" s="80">
        <v>7.2</v>
      </c>
      <c r="AD54" s="80">
        <v>7.2</v>
      </c>
      <c r="AE54" s="80">
        <v>7.2</v>
      </c>
      <c r="AF54" s="80">
        <v>7.2</v>
      </c>
      <c r="AG54" s="94">
        <v>14</v>
      </c>
      <c r="AH54" s="20">
        <f t="shared" si="2"/>
        <v>14.1</v>
      </c>
      <c r="AI54" s="19">
        <f t="shared" si="3"/>
        <v>7.2</v>
      </c>
      <c r="AK54" s="41"/>
    </row>
    <row r="55" spans="1:41" x14ac:dyDescent="0.25">
      <c r="A55" s="95" t="s">
        <v>180</v>
      </c>
      <c r="B55" s="80">
        <v>9.1</v>
      </c>
      <c r="C55" s="80">
        <v>9.1</v>
      </c>
      <c r="D55" s="80">
        <v>9.1</v>
      </c>
      <c r="E55" s="80">
        <v>9.1</v>
      </c>
      <c r="F55" s="80">
        <v>9.1</v>
      </c>
      <c r="G55" s="80">
        <v>9.1</v>
      </c>
      <c r="H55" s="80">
        <v>9.1</v>
      </c>
      <c r="I55" s="80">
        <v>9.1</v>
      </c>
      <c r="J55" s="80">
        <v>9.1</v>
      </c>
      <c r="K55" s="80">
        <v>9.1</v>
      </c>
      <c r="L55" s="80">
        <v>9.1</v>
      </c>
      <c r="M55" s="80">
        <v>9.1</v>
      </c>
      <c r="N55" s="80">
        <v>9.1</v>
      </c>
      <c r="O55" s="80">
        <v>9.1</v>
      </c>
      <c r="P55" s="80">
        <v>9.1</v>
      </c>
      <c r="Q55" s="80">
        <v>0</v>
      </c>
      <c r="R55" s="80">
        <v>0</v>
      </c>
      <c r="S55" s="80">
        <v>0</v>
      </c>
      <c r="T55" s="80">
        <v>0</v>
      </c>
      <c r="U55" s="80">
        <v>0</v>
      </c>
      <c r="V55" s="80">
        <v>0</v>
      </c>
      <c r="W55" s="80">
        <v>0</v>
      </c>
      <c r="X55" s="80">
        <v>0</v>
      </c>
      <c r="Y55" s="80">
        <v>0</v>
      </c>
      <c r="Z55" s="80">
        <v>0</v>
      </c>
      <c r="AA55" s="80">
        <v>0</v>
      </c>
      <c r="AB55" s="80">
        <v>0</v>
      </c>
      <c r="AC55" s="80">
        <v>0</v>
      </c>
      <c r="AD55" s="80">
        <v>0</v>
      </c>
      <c r="AE55" s="80">
        <v>0</v>
      </c>
      <c r="AF55" s="80">
        <v>0</v>
      </c>
      <c r="AG55" s="94">
        <v>10.050000000000001</v>
      </c>
      <c r="AH55" s="20">
        <f t="shared" si="2"/>
        <v>9.1</v>
      </c>
      <c r="AI55" s="19">
        <f t="shared" si="3"/>
        <v>0</v>
      </c>
      <c r="AK55" s="41"/>
    </row>
    <row r="56" spans="1:41" x14ac:dyDescent="0.25">
      <c r="A56" s="95" t="s">
        <v>179</v>
      </c>
      <c r="B56" s="80">
        <v>6.2</v>
      </c>
      <c r="C56" s="80">
        <v>6.2</v>
      </c>
      <c r="D56" s="80">
        <v>6.2</v>
      </c>
      <c r="E56" s="80">
        <v>6.2</v>
      </c>
      <c r="F56" s="80">
        <v>6.2</v>
      </c>
      <c r="G56" s="80">
        <v>6.2</v>
      </c>
      <c r="H56" s="80">
        <v>6.2</v>
      </c>
      <c r="I56" s="80">
        <v>6.2</v>
      </c>
      <c r="J56" s="80">
        <v>6.2</v>
      </c>
      <c r="K56" s="80">
        <v>6.2</v>
      </c>
      <c r="L56" s="80">
        <v>6.2</v>
      </c>
      <c r="M56" s="80">
        <v>6.2</v>
      </c>
      <c r="N56" s="80">
        <v>6.2</v>
      </c>
      <c r="O56" s="80">
        <v>6.2</v>
      </c>
      <c r="P56" s="80">
        <v>6.2</v>
      </c>
      <c r="Q56" s="80">
        <v>6.2</v>
      </c>
      <c r="R56" s="80">
        <v>6.2</v>
      </c>
      <c r="S56" s="80">
        <v>6.2</v>
      </c>
      <c r="T56" s="80">
        <v>6.2</v>
      </c>
      <c r="U56" s="80">
        <v>6.2</v>
      </c>
      <c r="V56" s="80">
        <v>6.2</v>
      </c>
      <c r="W56" s="80">
        <v>6.2</v>
      </c>
      <c r="X56" s="80">
        <v>6.2</v>
      </c>
      <c r="Y56" s="80">
        <v>6.2</v>
      </c>
      <c r="Z56" s="80">
        <v>6.2</v>
      </c>
      <c r="AA56" s="80">
        <v>6.2</v>
      </c>
      <c r="AB56" s="80">
        <v>6.2</v>
      </c>
      <c r="AC56" s="80">
        <v>6.2</v>
      </c>
      <c r="AD56" s="80">
        <v>6.2</v>
      </c>
      <c r="AE56" s="80">
        <v>6.2</v>
      </c>
      <c r="AF56" s="80">
        <v>6.2</v>
      </c>
      <c r="AG56" s="94">
        <v>6.2</v>
      </c>
      <c r="AH56" s="20">
        <f t="shared" si="2"/>
        <v>6.2</v>
      </c>
      <c r="AI56" s="19">
        <f t="shared" si="3"/>
        <v>6.2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6">SUM(B45:B57)</f>
        <v>280.94000000000005</v>
      </c>
      <c r="C58" s="86">
        <f t="shared" si="6"/>
        <v>300.84000000000003</v>
      </c>
      <c r="D58" s="86">
        <f t="shared" si="6"/>
        <v>299.44000000000005</v>
      </c>
      <c r="E58" s="86">
        <f t="shared" si="6"/>
        <v>301.84000000000009</v>
      </c>
      <c r="F58" s="86">
        <f t="shared" si="6"/>
        <v>306.94000000000005</v>
      </c>
      <c r="G58" s="86">
        <f t="shared" si="6"/>
        <v>302.44000000000005</v>
      </c>
      <c r="H58" s="86">
        <f t="shared" si="6"/>
        <v>300.84000000000003</v>
      </c>
      <c r="I58" s="86">
        <f t="shared" si="6"/>
        <v>300.84000000000003</v>
      </c>
      <c r="J58" s="86">
        <f t="shared" si="6"/>
        <v>329.84000000000003</v>
      </c>
      <c r="K58" s="86">
        <f t="shared" si="6"/>
        <v>304.44000000000005</v>
      </c>
      <c r="L58" s="86">
        <f t="shared" si="6"/>
        <v>302.84000000000003</v>
      </c>
      <c r="M58" s="86">
        <f t="shared" si="6"/>
        <v>301.14000000000004</v>
      </c>
      <c r="N58" s="86">
        <f t="shared" si="6"/>
        <v>294.04000000000002</v>
      </c>
      <c r="O58" s="86">
        <f t="shared" si="6"/>
        <v>294.34000000000003</v>
      </c>
      <c r="P58" s="86">
        <f t="shared" si="6"/>
        <v>294.34000000000003</v>
      </c>
      <c r="Q58" s="86">
        <f t="shared" si="6"/>
        <v>286.74</v>
      </c>
      <c r="R58" s="86">
        <f t="shared" si="6"/>
        <v>287.33999999999997</v>
      </c>
      <c r="S58" s="86">
        <f t="shared" si="6"/>
        <v>297.33999999999997</v>
      </c>
      <c r="T58" s="86">
        <f t="shared" si="6"/>
        <v>297.33999999999997</v>
      </c>
      <c r="U58" s="86">
        <f t="shared" si="6"/>
        <v>297.33999999999997</v>
      </c>
      <c r="V58" s="86">
        <f t="shared" si="6"/>
        <v>312.33999999999997</v>
      </c>
      <c r="W58" s="86">
        <f t="shared" si="6"/>
        <v>312.33999999999997</v>
      </c>
      <c r="X58" s="86">
        <f t="shared" si="6"/>
        <v>312.33999999999997</v>
      </c>
      <c r="Y58" s="86">
        <f t="shared" si="6"/>
        <v>302.33999999999997</v>
      </c>
      <c r="Z58" s="86">
        <f t="shared" si="6"/>
        <v>287.33999999999997</v>
      </c>
      <c r="AA58" s="86">
        <f t="shared" si="6"/>
        <v>287.33999999999997</v>
      </c>
      <c r="AB58" s="86">
        <f t="shared" si="6"/>
        <v>287.64</v>
      </c>
      <c r="AC58" s="86">
        <f t="shared" si="6"/>
        <v>287.64</v>
      </c>
      <c r="AD58" s="86">
        <f t="shared" si="6"/>
        <v>287.33999999999997</v>
      </c>
      <c r="AE58" s="86">
        <f t="shared" si="6"/>
        <v>283.74</v>
      </c>
      <c r="AF58" s="86">
        <f t="shared" si="6"/>
        <v>235.53999999999996</v>
      </c>
      <c r="AG58" s="101">
        <f t="shared" si="6"/>
        <v>489.91</v>
      </c>
      <c r="AH58" s="20">
        <f t="shared" si="2"/>
        <v>329.84000000000003</v>
      </c>
      <c r="AI58" s="19">
        <f t="shared" si="3"/>
        <v>235.53999999999996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/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/>
      <c r="Z59" s="105"/>
      <c r="AA59" s="105"/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/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/>
      <c r="Z60" s="80"/>
      <c r="AA60" s="80"/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/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07">
        <v>0</v>
      </c>
      <c r="Y61" s="107"/>
      <c r="Z61" s="107"/>
      <c r="AA61" s="107"/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7">SUM(B59:B61)</f>
        <v>0</v>
      </c>
      <c r="C62" s="86">
        <f t="shared" ref="C62" si="8">SUM(C59:C61)</f>
        <v>0</v>
      </c>
      <c r="D62" s="86">
        <f t="shared" si="7"/>
        <v>0</v>
      </c>
      <c r="E62" s="86">
        <f t="shared" si="7"/>
        <v>0</v>
      </c>
      <c r="F62" s="86">
        <f t="shared" si="7"/>
        <v>0</v>
      </c>
      <c r="G62" s="86">
        <f t="shared" si="7"/>
        <v>0</v>
      </c>
      <c r="H62" s="86">
        <f t="shared" si="7"/>
        <v>0</v>
      </c>
      <c r="I62" s="86">
        <f t="shared" si="7"/>
        <v>0</v>
      </c>
      <c r="J62" s="86">
        <f t="shared" si="7"/>
        <v>0</v>
      </c>
      <c r="K62" s="86">
        <f t="shared" si="7"/>
        <v>0</v>
      </c>
      <c r="L62" s="86">
        <f t="shared" si="7"/>
        <v>0</v>
      </c>
      <c r="M62" s="86">
        <f t="shared" si="7"/>
        <v>0</v>
      </c>
      <c r="N62" s="86">
        <f t="shared" si="7"/>
        <v>0</v>
      </c>
      <c r="O62" s="86">
        <f t="shared" si="7"/>
        <v>0</v>
      </c>
      <c r="P62" s="86">
        <f t="shared" si="7"/>
        <v>0</v>
      </c>
      <c r="Q62" s="86">
        <f t="shared" si="7"/>
        <v>0</v>
      </c>
      <c r="R62" s="86">
        <f t="shared" si="7"/>
        <v>0</v>
      </c>
      <c r="S62" s="86">
        <f t="shared" si="7"/>
        <v>0</v>
      </c>
      <c r="T62" s="86">
        <f t="shared" si="7"/>
        <v>0</v>
      </c>
      <c r="U62" s="86">
        <f t="shared" si="7"/>
        <v>0</v>
      </c>
      <c r="V62" s="86">
        <f t="shared" si="7"/>
        <v>0</v>
      </c>
      <c r="W62" s="86">
        <f t="shared" si="7"/>
        <v>0</v>
      </c>
      <c r="X62" s="86">
        <f t="shared" si="7"/>
        <v>0</v>
      </c>
      <c r="Y62" s="86">
        <f t="shared" si="7"/>
        <v>0</v>
      </c>
      <c r="Z62" s="86">
        <f t="shared" si="7"/>
        <v>0</v>
      </c>
      <c r="AA62" s="86">
        <f t="shared" si="7"/>
        <v>0</v>
      </c>
      <c r="AB62" s="86">
        <f t="shared" si="7"/>
        <v>0</v>
      </c>
      <c r="AC62" s="86">
        <f t="shared" si="7"/>
        <v>0</v>
      </c>
      <c r="AD62" s="86">
        <f t="shared" si="7"/>
        <v>0</v>
      </c>
      <c r="AE62" s="86">
        <f t="shared" si="7"/>
        <v>0</v>
      </c>
      <c r="AF62" s="86">
        <f t="shared" si="7"/>
        <v>0</v>
      </c>
      <c r="AG62" s="101">
        <f t="shared" si="7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>
        <v>0</v>
      </c>
      <c r="S63" s="105">
        <v>0</v>
      </c>
      <c r="T63" s="105">
        <v>0</v>
      </c>
      <c r="U63" s="105">
        <v>0</v>
      </c>
      <c r="V63" s="105">
        <v>0</v>
      </c>
      <c r="W63" s="105">
        <v>0</v>
      </c>
      <c r="X63" s="105">
        <v>0</v>
      </c>
      <c r="Y63" s="105">
        <v>0</v>
      </c>
      <c r="Z63" s="105">
        <v>11.2</v>
      </c>
      <c r="AA63" s="105">
        <v>10.9</v>
      </c>
      <c r="AB63" s="105">
        <v>0</v>
      </c>
      <c r="AC63" s="105">
        <v>0</v>
      </c>
      <c r="AD63" s="105">
        <v>0</v>
      </c>
      <c r="AE63" s="105">
        <v>0</v>
      </c>
      <c r="AF63" s="105">
        <v>0</v>
      </c>
      <c r="AG63" s="96"/>
      <c r="AH63" s="20">
        <f t="shared" si="2"/>
        <v>11.2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-413</v>
      </c>
      <c r="C65" s="80">
        <v>-426</v>
      </c>
      <c r="D65" s="80">
        <v>-410</v>
      </c>
      <c r="E65" s="80">
        <v>-408</v>
      </c>
      <c r="F65" s="80">
        <v>-415</v>
      </c>
      <c r="G65" s="80">
        <v>-426</v>
      </c>
      <c r="H65" s="80">
        <v>-419.5</v>
      </c>
      <c r="I65" s="80">
        <v>-448</v>
      </c>
      <c r="J65" s="80">
        <v>-446.4</v>
      </c>
      <c r="K65" s="80">
        <v>-416</v>
      </c>
      <c r="L65" s="80">
        <v>-405.2</v>
      </c>
      <c r="M65" s="80">
        <v>-426</v>
      </c>
      <c r="N65" s="80">
        <v>-422.8</v>
      </c>
      <c r="O65" s="80">
        <v>-389.8</v>
      </c>
      <c r="P65" s="80">
        <v>-402</v>
      </c>
      <c r="Q65" s="80">
        <v>-403.2</v>
      </c>
      <c r="R65" s="80">
        <v>-401</v>
      </c>
      <c r="S65" s="80">
        <v>-422</v>
      </c>
      <c r="T65" s="80">
        <v>-409</v>
      </c>
      <c r="U65" s="80">
        <v>-403</v>
      </c>
      <c r="V65" s="80">
        <v>-417</v>
      </c>
      <c r="W65" s="80">
        <v>-385</v>
      </c>
      <c r="X65" s="80">
        <v>-363</v>
      </c>
      <c r="Y65" s="80">
        <v>-375</v>
      </c>
      <c r="Z65" s="80">
        <v>-408</v>
      </c>
      <c r="AA65" s="80">
        <v>-406</v>
      </c>
      <c r="AB65" s="80">
        <v>-415</v>
      </c>
      <c r="AC65" s="80">
        <v>-384</v>
      </c>
      <c r="AD65" s="80">
        <v>-380</v>
      </c>
      <c r="AE65" s="80">
        <v>-407</v>
      </c>
      <c r="AF65" s="80">
        <v>-418</v>
      </c>
      <c r="AG65" s="102"/>
      <c r="AH65" s="20">
        <f t="shared" si="2"/>
        <v>-363</v>
      </c>
      <c r="AI65" s="19">
        <f t="shared" si="3"/>
        <v>-448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9">SUMIF(B63:B73,"&gt;0")</f>
        <v>0</v>
      </c>
      <c r="C74" s="86">
        <f t="shared" si="9"/>
        <v>0</v>
      </c>
      <c r="D74" s="86">
        <f t="shared" si="9"/>
        <v>0</v>
      </c>
      <c r="E74" s="86">
        <f t="shared" si="9"/>
        <v>0</v>
      </c>
      <c r="F74" s="86">
        <f t="shared" si="9"/>
        <v>0</v>
      </c>
      <c r="G74" s="86">
        <f t="shared" si="9"/>
        <v>0</v>
      </c>
      <c r="H74" s="86">
        <f t="shared" si="9"/>
        <v>0</v>
      </c>
      <c r="I74" s="86">
        <f t="shared" si="9"/>
        <v>0</v>
      </c>
      <c r="J74" s="86">
        <f t="shared" si="9"/>
        <v>0</v>
      </c>
      <c r="K74" s="86">
        <f t="shared" si="9"/>
        <v>0</v>
      </c>
      <c r="L74" s="86">
        <f t="shared" si="9"/>
        <v>0</v>
      </c>
      <c r="M74" s="86">
        <f t="shared" si="9"/>
        <v>0</v>
      </c>
      <c r="N74" s="86">
        <f t="shared" si="9"/>
        <v>0</v>
      </c>
      <c r="O74" s="86">
        <f t="shared" si="9"/>
        <v>0</v>
      </c>
      <c r="P74" s="86">
        <f t="shared" si="9"/>
        <v>0</v>
      </c>
      <c r="Q74" s="86">
        <f t="shared" si="9"/>
        <v>0</v>
      </c>
      <c r="R74" s="86">
        <f t="shared" si="9"/>
        <v>0</v>
      </c>
      <c r="S74" s="86">
        <f t="shared" si="9"/>
        <v>0</v>
      </c>
      <c r="T74" s="86">
        <f t="shared" si="9"/>
        <v>0</v>
      </c>
      <c r="U74" s="86">
        <f t="shared" si="9"/>
        <v>0</v>
      </c>
      <c r="V74" s="86">
        <f t="shared" si="9"/>
        <v>0</v>
      </c>
      <c r="W74" s="86">
        <f t="shared" si="9"/>
        <v>0</v>
      </c>
      <c r="X74" s="86">
        <f t="shared" si="9"/>
        <v>0</v>
      </c>
      <c r="Y74" s="86">
        <f t="shared" si="9"/>
        <v>0</v>
      </c>
      <c r="Z74" s="86">
        <f t="shared" si="9"/>
        <v>11.2</v>
      </c>
      <c r="AA74" s="86">
        <f t="shared" si="9"/>
        <v>10.9</v>
      </c>
      <c r="AB74" s="86">
        <f t="shared" si="9"/>
        <v>0</v>
      </c>
      <c r="AC74" s="86">
        <f t="shared" si="9"/>
        <v>0</v>
      </c>
      <c r="AD74" s="86">
        <f t="shared" si="9"/>
        <v>0</v>
      </c>
      <c r="AE74" s="86">
        <f t="shared" si="9"/>
        <v>0</v>
      </c>
      <c r="AF74" s="86">
        <f t="shared" si="9"/>
        <v>0</v>
      </c>
      <c r="AG74" s="85">
        <f>SUM(AG63:AG73)</f>
        <v>0</v>
      </c>
      <c r="AH74" s="20">
        <f t="shared" si="2"/>
        <v>11.2</v>
      </c>
      <c r="AI74" s="19">
        <f t="shared" si="3"/>
        <v>0</v>
      </c>
      <c r="AK74" s="41"/>
    </row>
    <row r="75" spans="1:37" x14ac:dyDescent="0.25">
      <c r="A75" s="97" t="s">
        <v>164</v>
      </c>
      <c r="B75" s="93">
        <v>0</v>
      </c>
      <c r="C75" s="93">
        <v>0</v>
      </c>
      <c r="D75" s="93">
        <v>0</v>
      </c>
      <c r="E75" s="93">
        <v>0</v>
      </c>
      <c r="F75" s="93">
        <v>0</v>
      </c>
      <c r="G75" s="93">
        <v>0</v>
      </c>
      <c r="H75" s="93">
        <v>0</v>
      </c>
      <c r="I75" s="93">
        <v>0</v>
      </c>
      <c r="J75" s="93">
        <v>0</v>
      </c>
      <c r="K75" s="93">
        <v>0</v>
      </c>
      <c r="L75" s="93">
        <v>0</v>
      </c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>
        <v>0</v>
      </c>
      <c r="T75" s="93">
        <v>0</v>
      </c>
      <c r="U75" s="93">
        <v>0</v>
      </c>
      <c r="V75" s="93">
        <v>0</v>
      </c>
      <c r="W75" s="93">
        <v>0</v>
      </c>
      <c r="X75" s="93">
        <v>0</v>
      </c>
      <c r="Y75" s="93"/>
      <c r="Z75" s="93"/>
      <c r="AA75" s="93"/>
      <c r="AB75" s="93"/>
      <c r="AC75" s="93"/>
      <c r="AD75" s="93"/>
      <c r="AE75" s="93"/>
      <c r="AF75" s="93"/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>
        <v>0</v>
      </c>
      <c r="C76" s="103">
        <v>0</v>
      </c>
      <c r="D76" s="103">
        <v>0</v>
      </c>
      <c r="E76" s="103">
        <v>0</v>
      </c>
      <c r="F76" s="103">
        <v>0</v>
      </c>
      <c r="G76" s="103">
        <v>0</v>
      </c>
      <c r="H76" s="103">
        <v>0</v>
      </c>
      <c r="I76" s="103">
        <v>0</v>
      </c>
      <c r="J76" s="103">
        <v>0</v>
      </c>
      <c r="K76" s="103">
        <v>0</v>
      </c>
      <c r="L76" s="103">
        <v>0</v>
      </c>
      <c r="M76" s="103">
        <v>0</v>
      </c>
      <c r="N76" s="103">
        <v>0</v>
      </c>
      <c r="O76" s="103">
        <v>0</v>
      </c>
      <c r="P76" s="103">
        <v>0</v>
      </c>
      <c r="Q76" s="103">
        <v>0</v>
      </c>
      <c r="R76" s="103">
        <v>0</v>
      </c>
      <c r="S76" s="103">
        <v>0</v>
      </c>
      <c r="T76" s="103">
        <v>0</v>
      </c>
      <c r="U76" s="103">
        <v>0</v>
      </c>
      <c r="V76" s="103">
        <v>0</v>
      </c>
      <c r="W76" s="103">
        <v>0</v>
      </c>
      <c r="X76" s="103">
        <v>0</v>
      </c>
      <c r="Y76" s="103"/>
      <c r="Z76" s="103"/>
      <c r="AA76" s="103"/>
      <c r="AB76" s="103"/>
      <c r="AC76" s="103"/>
      <c r="AD76" s="103"/>
      <c r="AE76" s="103"/>
      <c r="AF76" s="103"/>
      <c r="AG76" s="102">
        <v>14.4</v>
      </c>
      <c r="AH76" s="20">
        <f t="shared" ref="AH76:AH109" si="10">MAX(B76:AF76)</f>
        <v>0</v>
      </c>
      <c r="AI76" s="19">
        <f t="shared" ref="AI76:AI109" si="11">MIN(B76:AF76)</f>
        <v>0</v>
      </c>
      <c r="AK76" s="41"/>
    </row>
    <row r="77" spans="1:37" ht="15.75" thickBot="1" x14ac:dyDescent="0.3">
      <c r="A77" s="91" t="s">
        <v>162</v>
      </c>
      <c r="B77" s="90">
        <v>0</v>
      </c>
      <c r="C77" s="90">
        <v>0</v>
      </c>
      <c r="D77" s="90">
        <v>0</v>
      </c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/>
      <c r="Z77" s="90"/>
      <c r="AA77" s="90"/>
      <c r="AB77" s="90"/>
      <c r="AC77" s="90"/>
      <c r="AD77" s="90"/>
      <c r="AE77" s="90"/>
      <c r="AF77" s="90"/>
      <c r="AG77" s="89">
        <v>2</v>
      </c>
      <c r="AH77" s="20">
        <f t="shared" si="10"/>
        <v>0</v>
      </c>
      <c r="AI77" s="19">
        <f t="shared" si="11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10"/>
        <v>0</v>
      </c>
      <c r="AI78" s="19">
        <f t="shared" si="11"/>
        <v>0</v>
      </c>
    </row>
    <row r="79" spans="1:37" ht="15.75" thickBot="1" x14ac:dyDescent="0.3">
      <c r="A79" s="87" t="s">
        <v>160</v>
      </c>
      <c r="B79" s="98">
        <f t="shared" ref="B79:AG79" si="12">B40+B44+B62+B58+B74+B78</f>
        <v>1476.04</v>
      </c>
      <c r="C79" s="98">
        <f t="shared" si="12"/>
        <v>1454.1399999999999</v>
      </c>
      <c r="D79" s="98">
        <f t="shared" si="12"/>
        <v>1369.54</v>
      </c>
      <c r="E79" s="98">
        <f t="shared" si="12"/>
        <v>1436.44</v>
      </c>
      <c r="F79" s="98">
        <f t="shared" si="12"/>
        <v>1434.8400000000001</v>
      </c>
      <c r="G79" s="98">
        <f t="shared" si="12"/>
        <v>1430.3400000000001</v>
      </c>
      <c r="H79" s="98">
        <f t="shared" si="12"/>
        <v>1428.7400000000002</v>
      </c>
      <c r="I79" s="98">
        <f t="shared" si="12"/>
        <v>1433.7400000000002</v>
      </c>
      <c r="J79" s="98">
        <f t="shared" si="12"/>
        <v>1442.7400000000002</v>
      </c>
      <c r="K79" s="98">
        <f t="shared" si="12"/>
        <v>1446.24</v>
      </c>
      <c r="L79" s="98">
        <f t="shared" si="12"/>
        <v>1444.6399999999999</v>
      </c>
      <c r="M79" s="98">
        <f t="shared" si="12"/>
        <v>1512.0400000000002</v>
      </c>
      <c r="N79" s="98">
        <f t="shared" si="12"/>
        <v>1504.94</v>
      </c>
      <c r="O79" s="98">
        <f t="shared" si="12"/>
        <v>1512.2400000000002</v>
      </c>
      <c r="P79" s="98">
        <f t="shared" si="12"/>
        <v>1529.8400000000001</v>
      </c>
      <c r="Q79" s="98">
        <f t="shared" si="12"/>
        <v>1529.84</v>
      </c>
      <c r="R79" s="98">
        <f t="shared" si="12"/>
        <v>1523.24</v>
      </c>
      <c r="S79" s="98">
        <f t="shared" si="12"/>
        <v>1540.74</v>
      </c>
      <c r="T79" s="98">
        <f t="shared" si="12"/>
        <v>1522.74</v>
      </c>
      <c r="U79" s="98">
        <f t="shared" si="12"/>
        <v>1488.9399999999998</v>
      </c>
      <c r="V79" s="98">
        <f t="shared" si="12"/>
        <v>1507.9399999999998</v>
      </c>
      <c r="W79" s="98">
        <f t="shared" si="12"/>
        <v>1519.9399999999998</v>
      </c>
      <c r="X79" s="98">
        <f t="shared" si="12"/>
        <v>1584.6399999999999</v>
      </c>
      <c r="Y79" s="98">
        <f t="shared" si="12"/>
        <v>1677.04</v>
      </c>
      <c r="Z79" s="98">
        <f t="shared" si="12"/>
        <v>1648.84</v>
      </c>
      <c r="AA79" s="98">
        <f t="shared" si="12"/>
        <v>1627.54</v>
      </c>
      <c r="AB79" s="98">
        <f t="shared" si="12"/>
        <v>1616.94</v>
      </c>
      <c r="AC79" s="98">
        <f t="shared" si="12"/>
        <v>1524.8400000000001</v>
      </c>
      <c r="AD79" s="98">
        <f t="shared" si="12"/>
        <v>1527.74</v>
      </c>
      <c r="AE79" s="98">
        <f t="shared" si="12"/>
        <v>1502.4399999999998</v>
      </c>
      <c r="AF79" s="98">
        <f t="shared" si="12"/>
        <v>1453.7399999999998</v>
      </c>
      <c r="AG79" s="101">
        <f t="shared" si="12"/>
        <v>1897.1900000000003</v>
      </c>
      <c r="AH79" s="20">
        <f t="shared" si="10"/>
        <v>1677.04</v>
      </c>
      <c r="AI79" s="19">
        <f t="shared" si="11"/>
        <v>1369.54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10"/>
        <v>0</v>
      </c>
      <c r="AI80" s="19">
        <f t="shared" si="11"/>
        <v>0</v>
      </c>
    </row>
    <row r="81" spans="1:37" ht="15.75" thickBot="1" x14ac:dyDescent="0.3">
      <c r="A81" s="87" t="s">
        <v>158</v>
      </c>
      <c r="B81" s="98">
        <f t="shared" ref="B81:AF81" si="13">B79+B80</f>
        <v>1476.04</v>
      </c>
      <c r="C81" s="98">
        <f t="shared" si="13"/>
        <v>1454.1399999999999</v>
      </c>
      <c r="D81" s="98">
        <f t="shared" si="13"/>
        <v>1369.54</v>
      </c>
      <c r="E81" s="98">
        <f t="shared" si="13"/>
        <v>1436.44</v>
      </c>
      <c r="F81" s="98">
        <f t="shared" si="13"/>
        <v>1434.8400000000001</v>
      </c>
      <c r="G81" s="98">
        <f t="shared" si="13"/>
        <v>1430.3400000000001</v>
      </c>
      <c r="H81" s="98">
        <f t="shared" si="13"/>
        <v>1428.7400000000002</v>
      </c>
      <c r="I81" s="98">
        <f t="shared" si="13"/>
        <v>1433.7400000000002</v>
      </c>
      <c r="J81" s="98">
        <f t="shared" si="13"/>
        <v>1442.7400000000002</v>
      </c>
      <c r="K81" s="98">
        <f t="shared" si="13"/>
        <v>1446.24</v>
      </c>
      <c r="L81" s="98">
        <f t="shared" si="13"/>
        <v>1444.6399999999999</v>
      </c>
      <c r="M81" s="98">
        <f t="shared" si="13"/>
        <v>1512.0400000000002</v>
      </c>
      <c r="N81" s="98">
        <f t="shared" si="13"/>
        <v>1504.94</v>
      </c>
      <c r="O81" s="98">
        <f t="shared" si="13"/>
        <v>1512.2400000000002</v>
      </c>
      <c r="P81" s="98">
        <f t="shared" si="13"/>
        <v>1529.8400000000001</v>
      </c>
      <c r="Q81" s="98">
        <f t="shared" si="13"/>
        <v>1529.84</v>
      </c>
      <c r="R81" s="98">
        <f t="shared" si="13"/>
        <v>1523.24</v>
      </c>
      <c r="S81" s="98">
        <f t="shared" si="13"/>
        <v>1540.74</v>
      </c>
      <c r="T81" s="98">
        <f t="shared" si="13"/>
        <v>1522.74</v>
      </c>
      <c r="U81" s="98">
        <f t="shared" si="13"/>
        <v>1488.9399999999998</v>
      </c>
      <c r="V81" s="98">
        <f t="shared" si="13"/>
        <v>1507.9399999999998</v>
      </c>
      <c r="W81" s="98">
        <f t="shared" si="13"/>
        <v>1519.9399999999998</v>
      </c>
      <c r="X81" s="98">
        <f t="shared" si="13"/>
        <v>1584.6399999999999</v>
      </c>
      <c r="Y81" s="98">
        <f t="shared" si="13"/>
        <v>1677.04</v>
      </c>
      <c r="Z81" s="98">
        <f t="shared" si="13"/>
        <v>1648.84</v>
      </c>
      <c r="AA81" s="98">
        <f t="shared" si="13"/>
        <v>1627.54</v>
      </c>
      <c r="AB81" s="98">
        <f t="shared" si="13"/>
        <v>1616.94</v>
      </c>
      <c r="AC81" s="98">
        <f t="shared" si="13"/>
        <v>1524.8400000000001</v>
      </c>
      <c r="AD81" s="98">
        <f t="shared" si="13"/>
        <v>1527.74</v>
      </c>
      <c r="AE81" s="98">
        <f t="shared" si="13"/>
        <v>1502.4399999999998</v>
      </c>
      <c r="AF81" s="98">
        <f t="shared" si="13"/>
        <v>1453.7399999999998</v>
      </c>
      <c r="AG81" s="85">
        <f>AG78+AG74+AG62+AG58+AG40+AG80</f>
        <v>1359.0900000000001</v>
      </c>
      <c r="AH81" s="20">
        <f t="shared" si="10"/>
        <v>1677.04</v>
      </c>
      <c r="AI81" s="19">
        <f t="shared" si="11"/>
        <v>1369.54</v>
      </c>
    </row>
    <row r="82" spans="1:37" ht="15.75" thickBot="1" x14ac:dyDescent="0.3">
      <c r="A82" s="87" t="s">
        <v>157</v>
      </c>
      <c r="B82" s="98">
        <f t="shared" ref="B82:AF82" si="14">B81-B89</f>
        <v>1063.04</v>
      </c>
      <c r="C82" s="98">
        <f t="shared" si="14"/>
        <v>1028.1399999999999</v>
      </c>
      <c r="D82" s="98">
        <f t="shared" si="14"/>
        <v>959.54</v>
      </c>
      <c r="E82" s="98">
        <f t="shared" si="14"/>
        <v>1028.44</v>
      </c>
      <c r="F82" s="98">
        <f t="shared" si="14"/>
        <v>1019.8400000000001</v>
      </c>
      <c r="G82" s="98">
        <f t="shared" si="14"/>
        <v>1004.3400000000001</v>
      </c>
      <c r="H82" s="98">
        <f t="shared" si="14"/>
        <v>1009.2400000000002</v>
      </c>
      <c r="I82" s="98">
        <f t="shared" si="14"/>
        <v>985.74000000000024</v>
      </c>
      <c r="J82" s="98">
        <f t="shared" si="14"/>
        <v>996.34000000000026</v>
      </c>
      <c r="K82" s="98">
        <f t="shared" si="14"/>
        <v>1030.24</v>
      </c>
      <c r="L82" s="98">
        <f t="shared" si="14"/>
        <v>1039.4399999999998</v>
      </c>
      <c r="M82" s="98">
        <f t="shared" si="14"/>
        <v>1086.0400000000002</v>
      </c>
      <c r="N82" s="98">
        <f t="shared" si="14"/>
        <v>1082.1400000000001</v>
      </c>
      <c r="O82" s="98">
        <f t="shared" si="14"/>
        <v>1122.4400000000003</v>
      </c>
      <c r="P82" s="98">
        <f t="shared" si="14"/>
        <v>1127.8400000000001</v>
      </c>
      <c r="Q82" s="98">
        <f t="shared" si="14"/>
        <v>1126.6399999999999</v>
      </c>
      <c r="R82" s="98">
        <f t="shared" si="14"/>
        <v>1122.24</v>
      </c>
      <c r="S82" s="98">
        <f t="shared" si="14"/>
        <v>1118.74</v>
      </c>
      <c r="T82" s="98">
        <f t="shared" si="14"/>
        <v>1113.74</v>
      </c>
      <c r="U82" s="98">
        <f t="shared" si="14"/>
        <v>1085.9399999999998</v>
      </c>
      <c r="V82" s="98">
        <f t="shared" si="14"/>
        <v>1090.9399999999998</v>
      </c>
      <c r="W82" s="98">
        <f t="shared" si="14"/>
        <v>1134.9399999999998</v>
      </c>
      <c r="X82" s="98">
        <f t="shared" si="14"/>
        <v>1221.6399999999999</v>
      </c>
      <c r="Y82" s="98">
        <f t="shared" si="14"/>
        <v>1302.04</v>
      </c>
      <c r="Z82" s="98">
        <f t="shared" si="14"/>
        <v>1240.8399999999999</v>
      </c>
      <c r="AA82" s="98">
        <f t="shared" si="14"/>
        <v>1221.54</v>
      </c>
      <c r="AB82" s="98">
        <f t="shared" si="14"/>
        <v>1201.94</v>
      </c>
      <c r="AC82" s="98">
        <f t="shared" si="14"/>
        <v>1140.8400000000001</v>
      </c>
      <c r="AD82" s="98">
        <f t="shared" si="14"/>
        <v>1147.74</v>
      </c>
      <c r="AE82" s="98">
        <f t="shared" si="14"/>
        <v>1095.4399999999998</v>
      </c>
      <c r="AF82" s="98">
        <f t="shared" si="14"/>
        <v>1035.7399999999998</v>
      </c>
      <c r="AG82" s="85"/>
      <c r="AH82" s="20">
        <f t="shared" si="10"/>
        <v>1302.04</v>
      </c>
      <c r="AI82" s="19">
        <f t="shared" si="11"/>
        <v>959.54</v>
      </c>
    </row>
    <row r="83" spans="1:37" x14ac:dyDescent="0.25">
      <c r="A83" s="97" t="s">
        <v>156</v>
      </c>
      <c r="B83" s="93">
        <f t="shared" ref="B83:AF83" si="15">IF(B66&lt;0,B66*-1,0)</f>
        <v>0</v>
      </c>
      <c r="C83" s="93">
        <f t="shared" si="15"/>
        <v>0</v>
      </c>
      <c r="D83" s="93">
        <f t="shared" si="15"/>
        <v>0</v>
      </c>
      <c r="E83" s="93">
        <f t="shared" si="15"/>
        <v>0</v>
      </c>
      <c r="F83" s="93">
        <f t="shared" si="15"/>
        <v>0</v>
      </c>
      <c r="G83" s="93">
        <f t="shared" si="15"/>
        <v>0</v>
      </c>
      <c r="H83" s="93">
        <f t="shared" si="15"/>
        <v>0</v>
      </c>
      <c r="I83" s="93">
        <f t="shared" si="15"/>
        <v>0</v>
      </c>
      <c r="J83" s="93">
        <f t="shared" si="15"/>
        <v>0</v>
      </c>
      <c r="K83" s="93">
        <f t="shared" si="15"/>
        <v>0</v>
      </c>
      <c r="L83" s="93">
        <f t="shared" si="15"/>
        <v>0</v>
      </c>
      <c r="M83" s="93">
        <f t="shared" si="15"/>
        <v>0</v>
      </c>
      <c r="N83" s="93">
        <f t="shared" si="15"/>
        <v>0</v>
      </c>
      <c r="O83" s="93">
        <f t="shared" si="15"/>
        <v>0</v>
      </c>
      <c r="P83" s="93">
        <f t="shared" si="15"/>
        <v>0</v>
      </c>
      <c r="Q83" s="93">
        <f t="shared" si="15"/>
        <v>0</v>
      </c>
      <c r="R83" s="93">
        <f t="shared" si="15"/>
        <v>0</v>
      </c>
      <c r="S83" s="93">
        <f t="shared" si="15"/>
        <v>0</v>
      </c>
      <c r="T83" s="93">
        <f t="shared" si="15"/>
        <v>0</v>
      </c>
      <c r="U83" s="93">
        <f t="shared" si="15"/>
        <v>0</v>
      </c>
      <c r="V83" s="93">
        <f t="shared" si="15"/>
        <v>0</v>
      </c>
      <c r="W83" s="93">
        <f t="shared" si="15"/>
        <v>0</v>
      </c>
      <c r="X83" s="93">
        <f t="shared" si="15"/>
        <v>0</v>
      </c>
      <c r="Y83" s="93">
        <f t="shared" si="15"/>
        <v>0</v>
      </c>
      <c r="Z83" s="93">
        <f t="shared" si="15"/>
        <v>0</v>
      </c>
      <c r="AA83" s="93">
        <f t="shared" si="15"/>
        <v>0</v>
      </c>
      <c r="AB83" s="93">
        <f t="shared" si="15"/>
        <v>0</v>
      </c>
      <c r="AC83" s="93">
        <f t="shared" si="15"/>
        <v>0</v>
      </c>
      <c r="AD83" s="93">
        <f t="shared" si="15"/>
        <v>0</v>
      </c>
      <c r="AE83" s="93">
        <f t="shared" si="15"/>
        <v>0</v>
      </c>
      <c r="AF83" s="93">
        <f t="shared" si="15"/>
        <v>0</v>
      </c>
      <c r="AG83" s="96"/>
      <c r="AH83" s="20">
        <f t="shared" si="10"/>
        <v>0</v>
      </c>
      <c r="AI83" s="19">
        <f t="shared" si="11"/>
        <v>0</v>
      </c>
    </row>
    <row r="84" spans="1:37" x14ac:dyDescent="0.25">
      <c r="A84" s="95" t="s">
        <v>155</v>
      </c>
      <c r="B84" s="93">
        <f t="shared" ref="B84:AF84" si="16">IF(B64&lt;0,B64*-1,0)</f>
        <v>0</v>
      </c>
      <c r="C84" s="93">
        <f t="shared" si="16"/>
        <v>0</v>
      </c>
      <c r="D84" s="93">
        <f t="shared" si="16"/>
        <v>0</v>
      </c>
      <c r="E84" s="93">
        <f t="shared" si="16"/>
        <v>0</v>
      </c>
      <c r="F84" s="93">
        <f t="shared" si="16"/>
        <v>0</v>
      </c>
      <c r="G84" s="93">
        <f t="shared" si="16"/>
        <v>0</v>
      </c>
      <c r="H84" s="93">
        <f t="shared" si="16"/>
        <v>0</v>
      </c>
      <c r="I84" s="93">
        <f t="shared" si="16"/>
        <v>0</v>
      </c>
      <c r="J84" s="93">
        <f t="shared" si="16"/>
        <v>0</v>
      </c>
      <c r="K84" s="93">
        <f t="shared" si="16"/>
        <v>0</v>
      </c>
      <c r="L84" s="93">
        <f t="shared" si="16"/>
        <v>0</v>
      </c>
      <c r="M84" s="93">
        <f t="shared" si="16"/>
        <v>0</v>
      </c>
      <c r="N84" s="93">
        <f t="shared" si="16"/>
        <v>0</v>
      </c>
      <c r="O84" s="93">
        <f t="shared" si="16"/>
        <v>0</v>
      </c>
      <c r="P84" s="93">
        <f t="shared" si="16"/>
        <v>0</v>
      </c>
      <c r="Q84" s="93">
        <f t="shared" si="16"/>
        <v>0</v>
      </c>
      <c r="R84" s="93">
        <f t="shared" si="16"/>
        <v>0</v>
      </c>
      <c r="S84" s="93">
        <f t="shared" si="16"/>
        <v>0</v>
      </c>
      <c r="T84" s="93">
        <f t="shared" si="16"/>
        <v>0</v>
      </c>
      <c r="U84" s="93">
        <f t="shared" si="16"/>
        <v>0</v>
      </c>
      <c r="V84" s="93">
        <f t="shared" si="16"/>
        <v>0</v>
      </c>
      <c r="W84" s="93">
        <f t="shared" si="16"/>
        <v>0</v>
      </c>
      <c r="X84" s="93">
        <f t="shared" si="16"/>
        <v>0</v>
      </c>
      <c r="Y84" s="93">
        <f t="shared" si="16"/>
        <v>0</v>
      </c>
      <c r="Z84" s="93">
        <f t="shared" si="16"/>
        <v>0</v>
      </c>
      <c r="AA84" s="93">
        <f t="shared" si="16"/>
        <v>0</v>
      </c>
      <c r="AB84" s="93">
        <f t="shared" si="16"/>
        <v>0</v>
      </c>
      <c r="AC84" s="93">
        <f t="shared" si="16"/>
        <v>0</v>
      </c>
      <c r="AD84" s="93">
        <f t="shared" si="16"/>
        <v>0</v>
      </c>
      <c r="AE84" s="93">
        <f t="shared" si="16"/>
        <v>0</v>
      </c>
      <c r="AF84" s="93">
        <f t="shared" si="16"/>
        <v>0</v>
      </c>
      <c r="AG84" s="94"/>
      <c r="AH84" s="20">
        <f t="shared" si="10"/>
        <v>0</v>
      </c>
      <c r="AI84" s="19">
        <f t="shared" si="11"/>
        <v>0</v>
      </c>
    </row>
    <row r="85" spans="1:37" x14ac:dyDescent="0.25">
      <c r="A85" s="91" t="s">
        <v>154</v>
      </c>
      <c r="B85" s="93">
        <f t="shared" ref="B85:AF85" si="17">IF(B67&lt;0,B67*-1,0)</f>
        <v>0</v>
      </c>
      <c r="C85" s="93">
        <f t="shared" si="17"/>
        <v>0</v>
      </c>
      <c r="D85" s="93">
        <f t="shared" si="17"/>
        <v>0</v>
      </c>
      <c r="E85" s="93">
        <f t="shared" si="17"/>
        <v>0</v>
      </c>
      <c r="F85" s="93">
        <f t="shared" si="17"/>
        <v>0</v>
      </c>
      <c r="G85" s="93">
        <f t="shared" si="17"/>
        <v>0</v>
      </c>
      <c r="H85" s="93">
        <f t="shared" si="17"/>
        <v>0</v>
      </c>
      <c r="I85" s="93">
        <f t="shared" si="17"/>
        <v>0</v>
      </c>
      <c r="J85" s="93">
        <f t="shared" si="17"/>
        <v>0</v>
      </c>
      <c r="K85" s="93">
        <f t="shared" si="17"/>
        <v>0</v>
      </c>
      <c r="L85" s="93">
        <f t="shared" si="17"/>
        <v>0</v>
      </c>
      <c r="M85" s="93">
        <f t="shared" si="17"/>
        <v>0</v>
      </c>
      <c r="N85" s="93">
        <f t="shared" si="17"/>
        <v>0</v>
      </c>
      <c r="O85" s="93">
        <f t="shared" si="17"/>
        <v>0</v>
      </c>
      <c r="P85" s="93">
        <f t="shared" si="17"/>
        <v>0</v>
      </c>
      <c r="Q85" s="93">
        <f t="shared" si="17"/>
        <v>0</v>
      </c>
      <c r="R85" s="93">
        <f t="shared" si="17"/>
        <v>0</v>
      </c>
      <c r="S85" s="93">
        <f t="shared" si="17"/>
        <v>0</v>
      </c>
      <c r="T85" s="93">
        <f t="shared" si="17"/>
        <v>0</v>
      </c>
      <c r="U85" s="93">
        <f t="shared" si="17"/>
        <v>0</v>
      </c>
      <c r="V85" s="93">
        <f t="shared" si="17"/>
        <v>0</v>
      </c>
      <c r="W85" s="93">
        <f t="shared" si="17"/>
        <v>0</v>
      </c>
      <c r="X85" s="93">
        <f t="shared" si="17"/>
        <v>0</v>
      </c>
      <c r="Y85" s="93">
        <f t="shared" si="17"/>
        <v>0</v>
      </c>
      <c r="Z85" s="93">
        <f t="shared" si="17"/>
        <v>0</v>
      </c>
      <c r="AA85" s="93">
        <f t="shared" si="17"/>
        <v>0</v>
      </c>
      <c r="AB85" s="93">
        <f t="shared" si="17"/>
        <v>0</v>
      </c>
      <c r="AC85" s="93">
        <f t="shared" si="17"/>
        <v>0</v>
      </c>
      <c r="AD85" s="93">
        <f t="shared" si="17"/>
        <v>0</v>
      </c>
      <c r="AE85" s="93">
        <f t="shared" si="17"/>
        <v>0</v>
      </c>
      <c r="AF85" s="93">
        <f t="shared" si="17"/>
        <v>0</v>
      </c>
      <c r="AG85" s="92"/>
      <c r="AH85" s="20">
        <f t="shared" si="10"/>
        <v>0</v>
      </c>
      <c r="AI85" s="19">
        <f t="shared" si="11"/>
        <v>0</v>
      </c>
    </row>
    <row r="86" spans="1:37" x14ac:dyDescent="0.25">
      <c r="A86" s="91" t="s">
        <v>153</v>
      </c>
      <c r="B86" s="93">
        <f t="shared" ref="B86:AF86" si="18">IF(B65&lt;0,B65*-1,0)</f>
        <v>413</v>
      </c>
      <c r="C86" s="93">
        <f t="shared" si="18"/>
        <v>426</v>
      </c>
      <c r="D86" s="93">
        <f t="shared" si="18"/>
        <v>410</v>
      </c>
      <c r="E86" s="93">
        <f t="shared" si="18"/>
        <v>408</v>
      </c>
      <c r="F86" s="93">
        <f t="shared" si="18"/>
        <v>415</v>
      </c>
      <c r="G86" s="93">
        <f t="shared" si="18"/>
        <v>426</v>
      </c>
      <c r="H86" s="93">
        <f t="shared" si="18"/>
        <v>419.5</v>
      </c>
      <c r="I86" s="93">
        <f t="shared" si="18"/>
        <v>448</v>
      </c>
      <c r="J86" s="93">
        <f t="shared" si="18"/>
        <v>446.4</v>
      </c>
      <c r="K86" s="93">
        <f t="shared" si="18"/>
        <v>416</v>
      </c>
      <c r="L86" s="93">
        <f t="shared" si="18"/>
        <v>405.2</v>
      </c>
      <c r="M86" s="93">
        <f t="shared" si="18"/>
        <v>426</v>
      </c>
      <c r="N86" s="93">
        <f t="shared" si="18"/>
        <v>422.8</v>
      </c>
      <c r="O86" s="93">
        <f t="shared" si="18"/>
        <v>389.8</v>
      </c>
      <c r="P86" s="93">
        <f t="shared" si="18"/>
        <v>402</v>
      </c>
      <c r="Q86" s="93">
        <f t="shared" si="18"/>
        <v>403.2</v>
      </c>
      <c r="R86" s="93">
        <f t="shared" si="18"/>
        <v>401</v>
      </c>
      <c r="S86" s="93">
        <f t="shared" si="18"/>
        <v>422</v>
      </c>
      <c r="T86" s="93">
        <f t="shared" si="18"/>
        <v>409</v>
      </c>
      <c r="U86" s="93">
        <f t="shared" si="18"/>
        <v>403</v>
      </c>
      <c r="V86" s="93">
        <f t="shared" si="18"/>
        <v>417</v>
      </c>
      <c r="W86" s="93">
        <f t="shared" si="18"/>
        <v>385</v>
      </c>
      <c r="X86" s="93">
        <f t="shared" si="18"/>
        <v>363</v>
      </c>
      <c r="Y86" s="93">
        <f t="shared" si="18"/>
        <v>375</v>
      </c>
      <c r="Z86" s="93">
        <f t="shared" si="18"/>
        <v>408</v>
      </c>
      <c r="AA86" s="93">
        <f t="shared" si="18"/>
        <v>406</v>
      </c>
      <c r="AB86" s="93">
        <f t="shared" si="18"/>
        <v>415</v>
      </c>
      <c r="AC86" s="93">
        <f t="shared" si="18"/>
        <v>384</v>
      </c>
      <c r="AD86" s="93">
        <f t="shared" si="18"/>
        <v>380</v>
      </c>
      <c r="AE86" s="93">
        <f t="shared" si="18"/>
        <v>407</v>
      </c>
      <c r="AF86" s="93">
        <f t="shared" si="18"/>
        <v>418</v>
      </c>
      <c r="AG86" s="92"/>
      <c r="AH86" s="20">
        <f t="shared" si="10"/>
        <v>448</v>
      </c>
      <c r="AI86" s="19">
        <f t="shared" si="11"/>
        <v>363</v>
      </c>
    </row>
    <row r="87" spans="1:37" x14ac:dyDescent="0.25">
      <c r="A87" s="91" t="s">
        <v>152</v>
      </c>
      <c r="B87" s="93">
        <f t="shared" ref="B87:AF87" si="19">IF(B63&lt;0,B63*-1,0)</f>
        <v>0</v>
      </c>
      <c r="C87" s="93">
        <f t="shared" si="19"/>
        <v>0</v>
      </c>
      <c r="D87" s="93">
        <f t="shared" si="19"/>
        <v>0</v>
      </c>
      <c r="E87" s="93">
        <f t="shared" si="19"/>
        <v>0</v>
      </c>
      <c r="F87" s="93">
        <f t="shared" si="19"/>
        <v>0</v>
      </c>
      <c r="G87" s="93">
        <f t="shared" si="19"/>
        <v>0</v>
      </c>
      <c r="H87" s="93">
        <f t="shared" si="19"/>
        <v>0</v>
      </c>
      <c r="I87" s="93">
        <f t="shared" si="19"/>
        <v>0</v>
      </c>
      <c r="J87" s="93">
        <f t="shared" si="19"/>
        <v>0</v>
      </c>
      <c r="K87" s="93">
        <f t="shared" si="19"/>
        <v>0</v>
      </c>
      <c r="L87" s="93">
        <f t="shared" si="19"/>
        <v>0</v>
      </c>
      <c r="M87" s="93">
        <f t="shared" si="19"/>
        <v>0</v>
      </c>
      <c r="N87" s="93">
        <f t="shared" si="19"/>
        <v>0</v>
      </c>
      <c r="O87" s="93">
        <f t="shared" si="19"/>
        <v>0</v>
      </c>
      <c r="P87" s="93">
        <f t="shared" si="19"/>
        <v>0</v>
      </c>
      <c r="Q87" s="93">
        <f t="shared" si="19"/>
        <v>0</v>
      </c>
      <c r="R87" s="93">
        <f t="shared" si="19"/>
        <v>0</v>
      </c>
      <c r="S87" s="93">
        <f t="shared" si="19"/>
        <v>0</v>
      </c>
      <c r="T87" s="93">
        <f t="shared" si="19"/>
        <v>0</v>
      </c>
      <c r="U87" s="93">
        <f t="shared" si="19"/>
        <v>0</v>
      </c>
      <c r="V87" s="93">
        <f t="shared" si="19"/>
        <v>0</v>
      </c>
      <c r="W87" s="93">
        <f t="shared" si="19"/>
        <v>0</v>
      </c>
      <c r="X87" s="93">
        <f t="shared" si="19"/>
        <v>0</v>
      </c>
      <c r="Y87" s="93">
        <f t="shared" si="19"/>
        <v>0</v>
      </c>
      <c r="Z87" s="93">
        <f t="shared" si="19"/>
        <v>0</v>
      </c>
      <c r="AA87" s="93">
        <f t="shared" si="19"/>
        <v>0</v>
      </c>
      <c r="AB87" s="93">
        <f t="shared" si="19"/>
        <v>0</v>
      </c>
      <c r="AC87" s="93">
        <f t="shared" si="19"/>
        <v>0</v>
      </c>
      <c r="AD87" s="93">
        <f t="shared" si="19"/>
        <v>0</v>
      </c>
      <c r="AE87" s="93">
        <f t="shared" si="19"/>
        <v>0</v>
      </c>
      <c r="AF87" s="93">
        <f t="shared" si="19"/>
        <v>0</v>
      </c>
      <c r="AG87" s="92"/>
      <c r="AH87" s="20">
        <f t="shared" si="10"/>
        <v>0</v>
      </c>
      <c r="AI87" s="19">
        <f t="shared" si="11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10"/>
        <v>0</v>
      </c>
      <c r="AI88" s="19">
        <f t="shared" si="11"/>
        <v>0</v>
      </c>
    </row>
    <row r="89" spans="1:37" ht="15.75" thickBot="1" x14ac:dyDescent="0.3">
      <c r="A89" s="88" t="s">
        <v>150</v>
      </c>
      <c r="B89" s="86">
        <f t="shared" ref="B89:AF89" si="20">SUM(B83:B88)</f>
        <v>413</v>
      </c>
      <c r="C89" s="86">
        <f t="shared" si="20"/>
        <v>426</v>
      </c>
      <c r="D89" s="86">
        <f t="shared" si="20"/>
        <v>410</v>
      </c>
      <c r="E89" s="86">
        <f t="shared" si="20"/>
        <v>408</v>
      </c>
      <c r="F89" s="86">
        <f t="shared" si="20"/>
        <v>415</v>
      </c>
      <c r="G89" s="86">
        <f t="shared" si="20"/>
        <v>426</v>
      </c>
      <c r="H89" s="86">
        <f t="shared" si="20"/>
        <v>419.5</v>
      </c>
      <c r="I89" s="86">
        <f t="shared" si="20"/>
        <v>448</v>
      </c>
      <c r="J89" s="86">
        <f t="shared" si="20"/>
        <v>446.4</v>
      </c>
      <c r="K89" s="86">
        <f t="shared" si="20"/>
        <v>416</v>
      </c>
      <c r="L89" s="86">
        <f t="shared" si="20"/>
        <v>405.2</v>
      </c>
      <c r="M89" s="86">
        <f t="shared" si="20"/>
        <v>426</v>
      </c>
      <c r="N89" s="86">
        <f t="shared" si="20"/>
        <v>422.8</v>
      </c>
      <c r="O89" s="86">
        <f t="shared" si="20"/>
        <v>389.8</v>
      </c>
      <c r="P89" s="86">
        <f t="shared" si="20"/>
        <v>402</v>
      </c>
      <c r="Q89" s="86">
        <f t="shared" si="20"/>
        <v>403.2</v>
      </c>
      <c r="R89" s="86">
        <f t="shared" si="20"/>
        <v>401</v>
      </c>
      <c r="S89" s="86">
        <f t="shared" si="20"/>
        <v>422</v>
      </c>
      <c r="T89" s="86">
        <f t="shared" si="20"/>
        <v>409</v>
      </c>
      <c r="U89" s="86">
        <f t="shared" si="20"/>
        <v>403</v>
      </c>
      <c r="V89" s="86">
        <f t="shared" si="20"/>
        <v>417</v>
      </c>
      <c r="W89" s="86">
        <f t="shared" si="20"/>
        <v>385</v>
      </c>
      <c r="X89" s="86">
        <f t="shared" si="20"/>
        <v>363</v>
      </c>
      <c r="Y89" s="86">
        <f t="shared" si="20"/>
        <v>375</v>
      </c>
      <c r="Z89" s="86">
        <f t="shared" si="20"/>
        <v>408</v>
      </c>
      <c r="AA89" s="86">
        <f t="shared" si="20"/>
        <v>406</v>
      </c>
      <c r="AB89" s="86">
        <f t="shared" si="20"/>
        <v>415</v>
      </c>
      <c r="AC89" s="86">
        <f t="shared" si="20"/>
        <v>384</v>
      </c>
      <c r="AD89" s="86">
        <f t="shared" si="20"/>
        <v>380</v>
      </c>
      <c r="AE89" s="86">
        <f t="shared" si="20"/>
        <v>407</v>
      </c>
      <c r="AF89" s="86">
        <f t="shared" si="20"/>
        <v>418</v>
      </c>
      <c r="AG89" s="85"/>
      <c r="AH89" s="20">
        <f t="shared" si="10"/>
        <v>448</v>
      </c>
      <c r="AI89" s="19">
        <f t="shared" si="11"/>
        <v>363</v>
      </c>
      <c r="AK89" s="41"/>
    </row>
    <row r="90" spans="1:37" ht="15.75" thickBot="1" x14ac:dyDescent="0.3">
      <c r="A90" s="87" t="s">
        <v>149</v>
      </c>
      <c r="B90" s="86">
        <f t="shared" ref="B90:AF90" si="21">B74-B89</f>
        <v>-413</v>
      </c>
      <c r="C90" s="86">
        <f t="shared" si="21"/>
        <v>-426</v>
      </c>
      <c r="D90" s="86">
        <f t="shared" si="21"/>
        <v>-410</v>
      </c>
      <c r="E90" s="86">
        <f t="shared" si="21"/>
        <v>-408</v>
      </c>
      <c r="F90" s="86">
        <f t="shared" si="21"/>
        <v>-415</v>
      </c>
      <c r="G90" s="86">
        <f t="shared" si="21"/>
        <v>-426</v>
      </c>
      <c r="H90" s="86">
        <f t="shared" si="21"/>
        <v>-419.5</v>
      </c>
      <c r="I90" s="86">
        <f t="shared" si="21"/>
        <v>-448</v>
      </c>
      <c r="J90" s="86">
        <f t="shared" si="21"/>
        <v>-446.4</v>
      </c>
      <c r="K90" s="86">
        <f t="shared" si="21"/>
        <v>-416</v>
      </c>
      <c r="L90" s="86">
        <f t="shared" si="21"/>
        <v>-405.2</v>
      </c>
      <c r="M90" s="86">
        <f t="shared" si="21"/>
        <v>-426</v>
      </c>
      <c r="N90" s="86">
        <f t="shared" si="21"/>
        <v>-422.8</v>
      </c>
      <c r="O90" s="86">
        <f t="shared" si="21"/>
        <v>-389.8</v>
      </c>
      <c r="P90" s="86">
        <f t="shared" si="21"/>
        <v>-402</v>
      </c>
      <c r="Q90" s="86">
        <f t="shared" si="21"/>
        <v>-403.2</v>
      </c>
      <c r="R90" s="86">
        <f t="shared" si="21"/>
        <v>-401</v>
      </c>
      <c r="S90" s="86">
        <f t="shared" si="21"/>
        <v>-422</v>
      </c>
      <c r="T90" s="86">
        <f t="shared" si="21"/>
        <v>-409</v>
      </c>
      <c r="U90" s="86">
        <f t="shared" si="21"/>
        <v>-403</v>
      </c>
      <c r="V90" s="86">
        <f t="shared" si="21"/>
        <v>-417</v>
      </c>
      <c r="W90" s="86">
        <f t="shared" si="21"/>
        <v>-385</v>
      </c>
      <c r="X90" s="86">
        <f t="shared" si="21"/>
        <v>-363</v>
      </c>
      <c r="Y90" s="86">
        <f t="shared" si="21"/>
        <v>-375</v>
      </c>
      <c r="Z90" s="86">
        <f t="shared" si="21"/>
        <v>-396.8</v>
      </c>
      <c r="AA90" s="86">
        <f t="shared" si="21"/>
        <v>-395.1</v>
      </c>
      <c r="AB90" s="86">
        <f t="shared" si="21"/>
        <v>-415</v>
      </c>
      <c r="AC90" s="86">
        <f t="shared" si="21"/>
        <v>-384</v>
      </c>
      <c r="AD90" s="86">
        <f t="shared" si="21"/>
        <v>-380</v>
      </c>
      <c r="AE90" s="86">
        <f t="shared" si="21"/>
        <v>-407</v>
      </c>
      <c r="AF90" s="86">
        <f t="shared" si="21"/>
        <v>-418</v>
      </c>
      <c r="AG90" s="85"/>
      <c r="AH90" s="20">
        <f t="shared" si="10"/>
        <v>-363</v>
      </c>
      <c r="AI90" s="19">
        <f t="shared" si="11"/>
        <v>-448</v>
      </c>
    </row>
    <row r="91" spans="1:37" x14ac:dyDescent="0.25">
      <c r="A91" s="47" t="s">
        <v>148</v>
      </c>
      <c r="B91" s="84">
        <v>49.994999999999997</v>
      </c>
      <c r="C91" s="84">
        <v>49.982999999999997</v>
      </c>
      <c r="D91" s="84">
        <v>49.895000000000003</v>
      </c>
      <c r="E91" s="84">
        <v>49.988</v>
      </c>
      <c r="F91" s="84">
        <v>50.036000000000001</v>
      </c>
      <c r="G91" s="84">
        <v>50.034999999999997</v>
      </c>
      <c r="H91" s="84">
        <v>49.963000000000001</v>
      </c>
      <c r="I91" s="84">
        <v>49.97</v>
      </c>
      <c r="J91" s="84">
        <v>49.895000000000003</v>
      </c>
      <c r="K91" s="84">
        <v>50.017000000000003</v>
      </c>
      <c r="L91" s="84">
        <v>49.94</v>
      </c>
      <c r="M91" s="84">
        <v>50.045000000000002</v>
      </c>
      <c r="N91" s="84">
        <v>50.026000000000003</v>
      </c>
      <c r="O91" s="84">
        <v>50.045000000000002</v>
      </c>
      <c r="P91" s="84">
        <v>49.982999999999997</v>
      </c>
      <c r="Q91" s="84">
        <v>49.933999999999997</v>
      </c>
      <c r="R91" s="84">
        <v>50.003999999999998</v>
      </c>
      <c r="S91" s="84">
        <v>49.984000000000002</v>
      </c>
      <c r="T91" s="84">
        <v>49.853000000000002</v>
      </c>
      <c r="U91" s="84">
        <v>50.027000000000001</v>
      </c>
      <c r="V91" s="84">
        <v>50.023000000000003</v>
      </c>
      <c r="W91" s="84">
        <v>49.988999999999997</v>
      </c>
      <c r="X91" s="84">
        <v>50.023000000000003</v>
      </c>
      <c r="Y91" s="84">
        <v>50.03</v>
      </c>
      <c r="Z91" s="84">
        <v>50.078000000000003</v>
      </c>
      <c r="AA91" s="84">
        <v>50.057000000000002</v>
      </c>
      <c r="AB91" s="84">
        <v>50.04</v>
      </c>
      <c r="AC91" s="84">
        <v>50.04</v>
      </c>
      <c r="AD91" s="84">
        <v>50.02</v>
      </c>
      <c r="AE91" s="84">
        <v>50.079000000000001</v>
      </c>
      <c r="AF91" s="84">
        <v>50</v>
      </c>
      <c r="AG91" s="83"/>
      <c r="AH91" s="20">
        <f t="shared" si="10"/>
        <v>50.079000000000001</v>
      </c>
      <c r="AI91" s="19">
        <f t="shared" si="11"/>
        <v>49.853000000000002</v>
      </c>
    </row>
    <row r="92" spans="1:37" x14ac:dyDescent="0.25">
      <c r="A92" s="44" t="s">
        <v>147</v>
      </c>
      <c r="B92" s="80">
        <v>126.2</v>
      </c>
      <c r="C92" s="80">
        <v>127.8</v>
      </c>
      <c r="D92" s="80">
        <v>129</v>
      </c>
      <c r="E92" s="80">
        <v>126.3</v>
      </c>
      <c r="F92" s="80">
        <v>127.1</v>
      </c>
      <c r="G92" s="80">
        <v>126.5</v>
      </c>
      <c r="H92" s="80">
        <v>127.3</v>
      </c>
      <c r="I92" s="80">
        <v>127.3</v>
      </c>
      <c r="J92" s="80">
        <v>127</v>
      </c>
      <c r="K92" s="80">
        <v>126.6</v>
      </c>
      <c r="L92" s="80">
        <v>125.5</v>
      </c>
      <c r="M92" s="80">
        <v>124.1</v>
      </c>
      <c r="N92" s="80">
        <v>123.7</v>
      </c>
      <c r="O92" s="80">
        <v>124.1</v>
      </c>
      <c r="P92" s="80">
        <v>125.3</v>
      </c>
      <c r="Q92" s="80">
        <v>124.9</v>
      </c>
      <c r="R92" s="80">
        <v>124.1</v>
      </c>
      <c r="S92" s="80">
        <v>124.3</v>
      </c>
      <c r="T92" s="80">
        <v>121.1</v>
      </c>
      <c r="U92" s="80">
        <v>123.7</v>
      </c>
      <c r="V92" s="80">
        <v>124.5</v>
      </c>
      <c r="W92" s="80">
        <v>123.9</v>
      </c>
      <c r="X92" s="80">
        <v>124.5</v>
      </c>
      <c r="Y92" s="80">
        <v>123.7</v>
      </c>
      <c r="Z92" s="80">
        <v>125.2</v>
      </c>
      <c r="AA92" s="80">
        <v>125.8</v>
      </c>
      <c r="AB92" s="80">
        <v>125.5</v>
      </c>
      <c r="AC92" s="80">
        <v>125.6</v>
      </c>
      <c r="AD92" s="80">
        <v>126.1</v>
      </c>
      <c r="AE92" s="80">
        <v>126.1</v>
      </c>
      <c r="AF92" s="80">
        <v>126.1</v>
      </c>
      <c r="AG92" s="79"/>
      <c r="AH92" s="20">
        <f t="shared" si="10"/>
        <v>129</v>
      </c>
      <c r="AI92" s="19">
        <f t="shared" si="11"/>
        <v>121.1</v>
      </c>
    </row>
    <row r="93" spans="1:37" x14ac:dyDescent="0.25">
      <c r="A93" s="44" t="s">
        <v>146</v>
      </c>
      <c r="B93" s="80">
        <v>131.1</v>
      </c>
      <c r="C93" s="80">
        <v>131.80000000000001</v>
      </c>
      <c r="D93" s="80">
        <v>131.9</v>
      </c>
      <c r="E93" s="80">
        <v>130.6</v>
      </c>
      <c r="F93" s="80">
        <v>131.4</v>
      </c>
      <c r="G93" s="80">
        <v>130.9</v>
      </c>
      <c r="H93" s="80">
        <v>131.1</v>
      </c>
      <c r="I93" s="80">
        <v>131.1</v>
      </c>
      <c r="J93" s="80">
        <v>130.1</v>
      </c>
      <c r="K93" s="80">
        <v>129.5</v>
      </c>
      <c r="L93" s="80">
        <v>128.5</v>
      </c>
      <c r="M93" s="80">
        <v>127.2</v>
      </c>
      <c r="N93" s="80">
        <v>127.5</v>
      </c>
      <c r="O93" s="80">
        <v>127.6</v>
      </c>
      <c r="P93" s="80">
        <v>128.19999999999999</v>
      </c>
      <c r="Q93" s="80">
        <v>128.4</v>
      </c>
      <c r="R93" s="80">
        <v>127.7</v>
      </c>
      <c r="S93" s="80">
        <v>128</v>
      </c>
      <c r="T93" s="80">
        <v>126</v>
      </c>
      <c r="U93" s="80">
        <v>128</v>
      </c>
      <c r="V93" s="80">
        <v>128.69999999999999</v>
      </c>
      <c r="W93" s="80">
        <v>127.7</v>
      </c>
      <c r="X93" s="80">
        <v>128.69999999999999</v>
      </c>
      <c r="Y93" s="80">
        <v>127</v>
      </c>
      <c r="Z93" s="80">
        <v>128.9</v>
      </c>
      <c r="AA93" s="80">
        <v>129.5</v>
      </c>
      <c r="AB93" s="80">
        <v>129.69999999999999</v>
      </c>
      <c r="AC93" s="80">
        <v>129.4</v>
      </c>
      <c r="AD93" s="80">
        <v>130.1</v>
      </c>
      <c r="AE93" s="80">
        <v>130.1</v>
      </c>
      <c r="AF93" s="80">
        <v>130.1</v>
      </c>
      <c r="AG93" s="79"/>
      <c r="AH93" s="20">
        <f t="shared" si="10"/>
        <v>131.9</v>
      </c>
      <c r="AI93" s="19">
        <f t="shared" si="11"/>
        <v>126</v>
      </c>
    </row>
    <row r="94" spans="1:37" x14ac:dyDescent="0.25">
      <c r="A94" s="44" t="s">
        <v>145</v>
      </c>
      <c r="B94" s="80">
        <v>131.19999999999999</v>
      </c>
      <c r="C94" s="80">
        <v>135.19999999999999</v>
      </c>
      <c r="D94" s="80">
        <v>131.69999999999999</v>
      </c>
      <c r="E94" s="80">
        <v>132</v>
      </c>
      <c r="F94" s="80">
        <v>131.4</v>
      </c>
      <c r="G94" s="80">
        <v>131.6</v>
      </c>
      <c r="H94" s="80">
        <v>130.80000000000001</v>
      </c>
      <c r="I94" s="80">
        <v>131.6</v>
      </c>
      <c r="J94" s="80">
        <v>130.9</v>
      </c>
      <c r="K94" s="80">
        <v>130.1</v>
      </c>
      <c r="L94" s="80">
        <v>128.80000000000001</v>
      </c>
      <c r="M94" s="80">
        <v>129.80000000000001</v>
      </c>
      <c r="N94" s="80">
        <v>128.4</v>
      </c>
      <c r="O94" s="80">
        <v>127.6</v>
      </c>
      <c r="P94" s="80">
        <v>127.9</v>
      </c>
      <c r="Q94" s="80">
        <v>129.9</v>
      </c>
      <c r="R94" s="80">
        <v>130.80000000000001</v>
      </c>
      <c r="S94" s="80">
        <v>128.1</v>
      </c>
      <c r="T94" s="80">
        <v>126.8</v>
      </c>
      <c r="U94" s="80">
        <v>130</v>
      </c>
      <c r="V94" s="80">
        <v>129.5</v>
      </c>
      <c r="W94" s="80">
        <v>128.6</v>
      </c>
      <c r="X94" s="80">
        <v>129.5</v>
      </c>
      <c r="Y94" s="80">
        <v>128.30000000000001</v>
      </c>
      <c r="Z94" s="80">
        <v>129.80000000000001</v>
      </c>
      <c r="AA94" s="80">
        <v>129.6</v>
      </c>
      <c r="AB94" s="80">
        <v>128.19999999999999</v>
      </c>
      <c r="AC94" s="80">
        <v>128.5</v>
      </c>
      <c r="AD94" s="80">
        <v>130.1</v>
      </c>
      <c r="AE94" s="80">
        <v>130.1</v>
      </c>
      <c r="AF94" s="80">
        <v>130.1</v>
      </c>
      <c r="AG94" s="79"/>
      <c r="AH94" s="20">
        <f t="shared" si="10"/>
        <v>135.19999999999999</v>
      </c>
      <c r="AI94" s="19">
        <f t="shared" si="11"/>
        <v>126.8</v>
      </c>
    </row>
    <row r="95" spans="1:37" x14ac:dyDescent="0.25">
      <c r="A95" s="82" t="s">
        <v>144</v>
      </c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79"/>
      <c r="AH95" s="20">
        <f t="shared" si="10"/>
        <v>0</v>
      </c>
      <c r="AI95" s="19">
        <f t="shared" si="11"/>
        <v>0</v>
      </c>
    </row>
    <row r="96" spans="1:37" x14ac:dyDescent="0.25">
      <c r="A96" s="82" t="s">
        <v>143</v>
      </c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81"/>
      <c r="AH96" s="20">
        <f t="shared" si="10"/>
        <v>0</v>
      </c>
      <c r="AI96" s="19">
        <f t="shared" si="11"/>
        <v>0</v>
      </c>
    </row>
    <row r="97" spans="1:37" x14ac:dyDescent="0.25">
      <c r="A97" s="44" t="s">
        <v>142</v>
      </c>
      <c r="B97" s="80">
        <v>134.30000000000001</v>
      </c>
      <c r="C97" s="80">
        <v>133.9</v>
      </c>
      <c r="D97" s="80">
        <v>133.19999999999999</v>
      </c>
      <c r="E97" s="80">
        <v>133.1</v>
      </c>
      <c r="F97" s="80">
        <v>135.1</v>
      </c>
      <c r="G97" s="80">
        <v>134.4</v>
      </c>
      <c r="H97" s="80">
        <v>134.69999999999999</v>
      </c>
      <c r="I97" s="80">
        <v>134.5</v>
      </c>
      <c r="J97" s="80">
        <v>134.1</v>
      </c>
      <c r="K97" s="80">
        <v>131.4</v>
      </c>
      <c r="L97" s="80">
        <v>129.80000000000001</v>
      </c>
      <c r="M97" s="80">
        <v>133</v>
      </c>
      <c r="N97" s="80">
        <v>131.30000000000001</v>
      </c>
      <c r="O97" s="80">
        <v>131.80000000000001</v>
      </c>
      <c r="P97" s="80">
        <v>135.80000000000001</v>
      </c>
      <c r="Q97" s="80">
        <v>135.6</v>
      </c>
      <c r="R97" s="80">
        <v>131.80000000000001</v>
      </c>
      <c r="S97" s="80">
        <v>131.9</v>
      </c>
      <c r="T97" s="80">
        <v>133.6</v>
      </c>
      <c r="U97" s="80">
        <v>130.69999999999999</v>
      </c>
      <c r="V97" s="80">
        <v>135.4</v>
      </c>
      <c r="W97" s="80">
        <v>130.69999999999999</v>
      </c>
      <c r="X97" s="80">
        <v>135.4</v>
      </c>
      <c r="Y97" s="80">
        <v>130</v>
      </c>
      <c r="Z97" s="80">
        <v>132</v>
      </c>
      <c r="AA97" s="80">
        <v>131.69999999999999</v>
      </c>
      <c r="AB97" s="80">
        <v>131.6</v>
      </c>
      <c r="AC97" s="80">
        <v>134.19999999999999</v>
      </c>
      <c r="AD97" s="80">
        <v>134.5</v>
      </c>
      <c r="AE97" s="80">
        <v>134.5</v>
      </c>
      <c r="AF97" s="80">
        <v>134.5</v>
      </c>
      <c r="AG97" s="79"/>
      <c r="AH97" s="20">
        <f t="shared" si="10"/>
        <v>135.80000000000001</v>
      </c>
      <c r="AI97" s="19">
        <f t="shared" si="11"/>
        <v>129.80000000000001</v>
      </c>
    </row>
    <row r="98" spans="1:37" ht="15.75" thickBot="1" x14ac:dyDescent="0.3">
      <c r="A98" s="44" t="s">
        <v>141</v>
      </c>
      <c r="B98" s="77">
        <v>66.5</v>
      </c>
      <c r="C98" s="77">
        <v>66.900000000000006</v>
      </c>
      <c r="D98" s="77">
        <v>66.8</v>
      </c>
      <c r="E98" s="77">
        <v>66.2</v>
      </c>
      <c r="F98" s="77">
        <v>66.5</v>
      </c>
      <c r="G98" s="77">
        <v>66.2</v>
      </c>
      <c r="H98" s="77">
        <v>66.3</v>
      </c>
      <c r="I98" s="77">
        <v>66.2</v>
      </c>
      <c r="J98" s="77">
        <v>65.5</v>
      </c>
      <c r="K98" s="77">
        <v>65.2</v>
      </c>
      <c r="L98" s="77">
        <v>64.7</v>
      </c>
      <c r="M98" s="77">
        <v>64</v>
      </c>
      <c r="N98" s="77">
        <v>64.5</v>
      </c>
      <c r="O98" s="77">
        <v>64.3</v>
      </c>
      <c r="P98" s="77">
        <v>64.5</v>
      </c>
      <c r="Q98" s="77">
        <v>64.7</v>
      </c>
      <c r="R98" s="77">
        <v>64.400000000000006</v>
      </c>
      <c r="S98" s="77">
        <v>64.599999999999994</v>
      </c>
      <c r="T98" s="77">
        <v>63.5</v>
      </c>
      <c r="U98" s="77">
        <v>64.5</v>
      </c>
      <c r="V98" s="77">
        <v>64.900000000000006</v>
      </c>
      <c r="W98" s="77">
        <v>64.5</v>
      </c>
      <c r="X98" s="77">
        <v>64.900000000000006</v>
      </c>
      <c r="Y98" s="77">
        <v>64.099999999999994</v>
      </c>
      <c r="Z98" s="77">
        <v>65.3</v>
      </c>
      <c r="AA98" s="77">
        <v>65.599999999999994</v>
      </c>
      <c r="AB98" s="77">
        <v>65.3</v>
      </c>
      <c r="AC98" s="77">
        <v>65.5</v>
      </c>
      <c r="AD98" s="77">
        <v>66</v>
      </c>
      <c r="AE98" s="77">
        <v>66</v>
      </c>
      <c r="AF98" s="77">
        <v>66</v>
      </c>
      <c r="AG98" s="76"/>
      <c r="AH98" s="20">
        <f t="shared" si="10"/>
        <v>66.900000000000006</v>
      </c>
      <c r="AI98" s="19">
        <f t="shared" si="11"/>
        <v>63.5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10"/>
        <v>0</v>
      </c>
      <c r="AI99" s="19">
        <f t="shared" si="11"/>
        <v>0</v>
      </c>
    </row>
    <row r="100" spans="1:37" ht="15.75" thickBot="1" x14ac:dyDescent="0.3">
      <c r="A100" s="75" t="s">
        <v>140</v>
      </c>
      <c r="B100" s="74">
        <f t="shared" ref="B100:AF100" si="22">SUM(B15,B20,B22:B23,B48,B50:B51,B53,B55,B101:B105,B127,B133,B139,B148,B150,B162,B169,B172:B173,B180,B182,B184,B188:B190,B192:B194,B199,B205:B206,B208:B210,B218,B223)</f>
        <v>34.29999999999999</v>
      </c>
      <c r="C100" s="74">
        <f t="shared" si="22"/>
        <v>27.84</v>
      </c>
      <c r="D100" s="74">
        <f t="shared" si="22"/>
        <v>23.140000000000025</v>
      </c>
      <c r="E100" s="74">
        <f t="shared" si="22"/>
        <v>22.440000000000008</v>
      </c>
      <c r="F100" s="74">
        <f t="shared" si="22"/>
        <v>28.839999999999979</v>
      </c>
      <c r="G100" s="74">
        <f t="shared" si="22"/>
        <v>32.539999999999971</v>
      </c>
      <c r="H100" s="74">
        <f t="shared" si="22"/>
        <v>51.739999999999981</v>
      </c>
      <c r="I100" s="74">
        <f t="shared" si="22"/>
        <v>57.239999999999988</v>
      </c>
      <c r="J100" s="74">
        <f t="shared" si="22"/>
        <v>92.740000000000009</v>
      </c>
      <c r="K100" s="74">
        <f t="shared" si="22"/>
        <v>102.44</v>
      </c>
      <c r="L100" s="74">
        <f t="shared" si="22"/>
        <v>120.34000000000002</v>
      </c>
      <c r="M100" s="74">
        <f t="shared" si="22"/>
        <v>144.14000000000001</v>
      </c>
      <c r="N100" s="74">
        <f t="shared" si="22"/>
        <v>137.13999999999999</v>
      </c>
      <c r="O100" s="74">
        <f t="shared" si="22"/>
        <v>139.04</v>
      </c>
      <c r="P100" s="74">
        <f t="shared" si="22"/>
        <v>131.34</v>
      </c>
      <c r="Q100" s="74">
        <f t="shared" si="22"/>
        <v>122.1</v>
      </c>
      <c r="R100" s="74">
        <f t="shared" si="22"/>
        <v>118.79999999999998</v>
      </c>
      <c r="S100" s="74">
        <f t="shared" si="22"/>
        <v>110.09999999999998</v>
      </c>
      <c r="T100" s="74">
        <f t="shared" si="22"/>
        <v>119.70000000000002</v>
      </c>
      <c r="U100" s="74">
        <f t="shared" si="22"/>
        <v>126.1</v>
      </c>
      <c r="V100" s="74">
        <f t="shared" si="22"/>
        <v>137.70000000000002</v>
      </c>
      <c r="W100" s="74">
        <f t="shared" si="22"/>
        <v>188.9</v>
      </c>
      <c r="X100" s="74">
        <f t="shared" si="22"/>
        <v>203.6</v>
      </c>
      <c r="Y100" s="74">
        <f>SUM(AC15,AC20,Y22:Y23,Y48,Y50:Y51,Y53,Y55,Y101:Y105,Y127,Y133,Y139,Y148,Y150,Y162,Y169,Y172:Y173,Y180,Y182,Y184,Y188:Y190,Y192:Y194,Y199,Y205:Y206,Y208:Y210,Y218,Y223)</f>
        <v>194.7</v>
      </c>
      <c r="Z100" s="74">
        <f t="shared" si="22"/>
        <v>193.8</v>
      </c>
      <c r="AA100" s="74">
        <f t="shared" si="22"/>
        <v>182.5</v>
      </c>
      <c r="AB100" s="74">
        <f t="shared" si="22"/>
        <v>186.3</v>
      </c>
      <c r="AC100" s="74" t="e">
        <f>SUM(#REF!,#REF!,AC23:AC23,AC48,AC50:AC51,AC53,AC55,AC101:AC105,AC127,AC133,AC139,AC148,AC150,AC162,AC169,AC172:AC173,AC180,AC182,AC184,AC188:AC190,AC192:AC194,AC199,AC205:AC206,AC208:AC210,AC218,AC223)</f>
        <v>#REF!</v>
      </c>
      <c r="AD100" s="74">
        <f t="shared" si="22"/>
        <v>69.3</v>
      </c>
      <c r="AE100" s="74">
        <f t="shared" si="22"/>
        <v>62.600000000000016</v>
      </c>
      <c r="AF100" s="74">
        <f t="shared" si="22"/>
        <v>24.399999999999977</v>
      </c>
      <c r="AG100" s="73"/>
      <c r="AH100" s="20" t="e">
        <f t="shared" si="10"/>
        <v>#REF!</v>
      </c>
      <c r="AI100" s="19" t="e">
        <f t="shared" si="11"/>
        <v>#REF!</v>
      </c>
    </row>
    <row r="101" spans="1:37" x14ac:dyDescent="0.25">
      <c r="A101" s="47" t="s">
        <v>139</v>
      </c>
      <c r="B101" s="72">
        <v>25.6</v>
      </c>
      <c r="C101" s="72">
        <v>17.8</v>
      </c>
      <c r="D101" s="72">
        <v>21.6</v>
      </c>
      <c r="E101" s="72">
        <v>24.9</v>
      </c>
      <c r="F101" s="72">
        <v>27.2</v>
      </c>
      <c r="G101" s="72">
        <v>28.5</v>
      </c>
      <c r="H101" s="72">
        <v>30.6</v>
      </c>
      <c r="I101" s="72">
        <v>29.6</v>
      </c>
      <c r="J101" s="72">
        <v>32.5</v>
      </c>
      <c r="K101" s="72">
        <v>26.7</v>
      </c>
      <c r="L101" s="72">
        <v>30.9</v>
      </c>
      <c r="M101" s="72">
        <v>30</v>
      </c>
      <c r="N101" s="72">
        <v>28.7</v>
      </c>
      <c r="O101" s="72">
        <v>33.6</v>
      </c>
      <c r="P101" s="72">
        <v>30.5</v>
      </c>
      <c r="Q101" s="72">
        <v>34.299999999999997</v>
      </c>
      <c r="R101" s="72">
        <v>33.299999999999997</v>
      </c>
      <c r="S101" s="72">
        <v>30.6</v>
      </c>
      <c r="T101" s="72">
        <v>26.6</v>
      </c>
      <c r="U101" s="72">
        <v>28</v>
      </c>
      <c r="V101" s="72">
        <v>32.200000000000003</v>
      </c>
      <c r="W101" s="72">
        <v>35</v>
      </c>
      <c r="X101" s="72">
        <v>36.799999999999997</v>
      </c>
      <c r="Y101" s="72">
        <v>41</v>
      </c>
      <c r="Z101" s="72">
        <v>37.299999999999997</v>
      </c>
      <c r="AA101" s="72">
        <v>33</v>
      </c>
      <c r="AB101" s="72">
        <v>35.799999999999997</v>
      </c>
      <c r="AC101" s="72">
        <v>33.799999999999997</v>
      </c>
      <c r="AD101" s="72">
        <v>22.6</v>
      </c>
      <c r="AE101" s="72">
        <v>22.8</v>
      </c>
      <c r="AF101" s="72">
        <v>15.6</v>
      </c>
      <c r="AG101" s="70">
        <v>75</v>
      </c>
      <c r="AH101" s="20">
        <f t="shared" si="10"/>
        <v>41</v>
      </c>
      <c r="AI101" s="19">
        <f t="shared" si="11"/>
        <v>15.6</v>
      </c>
    </row>
    <row r="102" spans="1:37" x14ac:dyDescent="0.25">
      <c r="A102" s="44" t="s">
        <v>138</v>
      </c>
      <c r="B102" s="71">
        <v>43.6</v>
      </c>
      <c r="C102" s="71">
        <v>35.5</v>
      </c>
      <c r="D102" s="71">
        <v>39.700000000000003</v>
      </c>
      <c r="E102" s="71">
        <v>46.5</v>
      </c>
      <c r="F102" s="71">
        <v>49</v>
      </c>
      <c r="G102" s="71">
        <v>50.8</v>
      </c>
      <c r="H102" s="71">
        <v>48.3</v>
      </c>
      <c r="I102" s="71">
        <v>46</v>
      </c>
      <c r="J102" s="71">
        <v>48</v>
      </c>
      <c r="K102" s="71">
        <v>41.3</v>
      </c>
      <c r="L102" s="71">
        <v>45.7</v>
      </c>
      <c r="M102" s="71">
        <v>46.8</v>
      </c>
      <c r="N102" s="71">
        <v>44.1</v>
      </c>
      <c r="O102" s="71">
        <v>51.1</v>
      </c>
      <c r="P102" s="71">
        <v>47.8</v>
      </c>
      <c r="Q102" s="71">
        <v>53.8</v>
      </c>
      <c r="R102" s="71">
        <v>51.6</v>
      </c>
      <c r="S102" s="71">
        <v>48.2</v>
      </c>
      <c r="T102" s="71">
        <v>42.8</v>
      </c>
      <c r="U102" s="71">
        <v>44</v>
      </c>
      <c r="V102" s="71">
        <v>50.6</v>
      </c>
      <c r="W102" s="71">
        <v>56</v>
      </c>
      <c r="X102" s="71">
        <v>57.5</v>
      </c>
      <c r="Y102" s="71">
        <v>58</v>
      </c>
      <c r="Z102" s="71">
        <v>60.8</v>
      </c>
      <c r="AA102" s="71">
        <v>61.8</v>
      </c>
      <c r="AB102" s="71">
        <v>62.8</v>
      </c>
      <c r="AC102" s="71">
        <v>53.3</v>
      </c>
      <c r="AD102" s="71">
        <v>38.6</v>
      </c>
      <c r="AE102" s="71">
        <v>39.9</v>
      </c>
      <c r="AF102" s="71">
        <v>32.200000000000003</v>
      </c>
      <c r="AG102" s="70">
        <v>240</v>
      </c>
      <c r="AH102" s="20">
        <f t="shared" si="10"/>
        <v>62.8</v>
      </c>
      <c r="AI102" s="19">
        <f t="shared" si="11"/>
        <v>32.200000000000003</v>
      </c>
    </row>
    <row r="103" spans="1:37" x14ac:dyDescent="0.25">
      <c r="A103" s="44" t="s">
        <v>137</v>
      </c>
      <c r="B103" s="71">
        <v>-119</v>
      </c>
      <c r="C103" s="71">
        <v>-112.3</v>
      </c>
      <c r="D103" s="71">
        <v>-120</v>
      </c>
      <c r="E103" s="71">
        <f>-63.1-66.4</f>
        <v>-129.5</v>
      </c>
      <c r="F103" s="71">
        <f>-62.1-66.2</f>
        <v>-128.30000000000001</v>
      </c>
      <c r="G103" s="71">
        <f>-61.7-65.7</f>
        <v>-127.4</v>
      </c>
      <c r="H103" s="71">
        <f>-53.3-57.3</f>
        <v>-110.6</v>
      </c>
      <c r="I103" s="71">
        <f>-51.7-55</f>
        <v>-106.7</v>
      </c>
      <c r="J103" s="71">
        <f>-39.8-42.3</f>
        <v>-82.1</v>
      </c>
      <c r="K103" s="71">
        <f>-30-32.4</f>
        <v>-62.4</v>
      </c>
      <c r="L103" s="71">
        <f>-26.2-28.1</f>
        <v>-54.3</v>
      </c>
      <c r="M103" s="71">
        <f>-32-35</f>
        <v>-67</v>
      </c>
      <c r="N103" s="71">
        <f>-34-37</f>
        <v>-71</v>
      </c>
      <c r="O103" s="71">
        <f>-41-43</f>
        <v>-84</v>
      </c>
      <c r="P103" s="71">
        <v>-83.9</v>
      </c>
      <c r="Q103" s="71">
        <f>-41-46</f>
        <v>-87</v>
      </c>
      <c r="R103" s="71">
        <f>-43-47</f>
        <v>-90</v>
      </c>
      <c r="S103" s="71">
        <f>-48-51.2</f>
        <v>-99.2</v>
      </c>
      <c r="T103" s="71">
        <f>-56-59</f>
        <v>-115</v>
      </c>
      <c r="U103" s="71">
        <f>-50-54</f>
        <v>-104</v>
      </c>
      <c r="V103" s="71">
        <f>-50.2-54</f>
        <v>-104.2</v>
      </c>
      <c r="W103" s="71">
        <v>-90</v>
      </c>
      <c r="X103" s="71">
        <f>-42.6-46</f>
        <v>-88.6</v>
      </c>
      <c r="Y103" s="71">
        <v>-87</v>
      </c>
      <c r="Z103" s="71">
        <f>-47.6-50.7</f>
        <v>-98.300000000000011</v>
      </c>
      <c r="AA103" s="71">
        <f t="shared" ref="AA103:AB103" si="23">-47.6-50.7</f>
        <v>-98.300000000000011</v>
      </c>
      <c r="AB103" s="71">
        <f t="shared" si="23"/>
        <v>-98.300000000000011</v>
      </c>
      <c r="AC103" s="71">
        <f>-43.8-47</f>
        <v>-90.8</v>
      </c>
      <c r="AD103" s="71">
        <f>-55.5-53.7</f>
        <v>-109.2</v>
      </c>
      <c r="AE103" s="71">
        <v>-114</v>
      </c>
      <c r="AF103" s="71">
        <v>-120</v>
      </c>
      <c r="AG103" s="70">
        <v>240</v>
      </c>
      <c r="AH103" s="20">
        <f t="shared" si="10"/>
        <v>-54.3</v>
      </c>
      <c r="AI103" s="19">
        <f t="shared" si="11"/>
        <v>-129.5</v>
      </c>
    </row>
    <row r="104" spans="1:37" x14ac:dyDescent="0.25">
      <c r="A104" s="44" t="s">
        <v>136</v>
      </c>
      <c r="B104" s="71">
        <v>-1.4</v>
      </c>
      <c r="C104" s="71">
        <v>0.6</v>
      </c>
      <c r="D104" s="71">
        <v>-4.4000000000000004</v>
      </c>
      <c r="E104" s="71">
        <v>-5.9</v>
      </c>
      <c r="F104" s="71">
        <v>-5.5</v>
      </c>
      <c r="G104" s="71">
        <v>-5.4</v>
      </c>
      <c r="H104" s="71">
        <v>-2.5</v>
      </c>
      <c r="I104" s="71">
        <v>-2.6</v>
      </c>
      <c r="J104" s="71">
        <v>3.4</v>
      </c>
      <c r="K104" s="71">
        <v>5.9</v>
      </c>
      <c r="L104" s="71">
        <v>7.1</v>
      </c>
      <c r="M104" s="71">
        <v>8.4</v>
      </c>
      <c r="N104" s="71">
        <v>9.4</v>
      </c>
      <c r="O104" s="71">
        <v>12.4</v>
      </c>
      <c r="P104" s="71">
        <v>11</v>
      </c>
      <c r="Q104" s="71">
        <v>8.1</v>
      </c>
      <c r="R104" s="71">
        <v>11</v>
      </c>
      <c r="S104" s="71">
        <v>7.6</v>
      </c>
      <c r="T104" s="71">
        <v>8.3000000000000007</v>
      </c>
      <c r="U104" s="71">
        <v>6.6</v>
      </c>
      <c r="V104" s="71">
        <v>8.6</v>
      </c>
      <c r="W104" s="71">
        <v>13</v>
      </c>
      <c r="X104" s="71">
        <v>13</v>
      </c>
      <c r="Y104" s="71">
        <v>11</v>
      </c>
      <c r="Z104" s="71">
        <v>9.9</v>
      </c>
      <c r="AA104" s="71">
        <v>9.9</v>
      </c>
      <c r="AB104" s="71">
        <v>9.9</v>
      </c>
      <c r="AC104" s="71">
        <v>9.4</v>
      </c>
      <c r="AD104" s="71">
        <v>7.4</v>
      </c>
      <c r="AE104" s="71">
        <v>4.9000000000000004</v>
      </c>
      <c r="AF104" s="71">
        <v>2</v>
      </c>
      <c r="AG104" s="70">
        <v>60</v>
      </c>
      <c r="AH104" s="20">
        <f t="shared" si="10"/>
        <v>13</v>
      </c>
      <c r="AI104" s="19">
        <f t="shared" si="11"/>
        <v>-5.9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0</v>
      </c>
      <c r="S105" s="68">
        <v>0</v>
      </c>
      <c r="T105" s="68">
        <v>34.1</v>
      </c>
      <c r="U105" s="68">
        <v>28.6</v>
      </c>
      <c r="V105" s="68">
        <v>27.6</v>
      </c>
      <c r="W105" s="68">
        <v>52</v>
      </c>
      <c r="X105" s="68">
        <v>52</v>
      </c>
      <c r="Y105" s="71">
        <v>46.7</v>
      </c>
      <c r="Z105" s="68">
        <v>36.1</v>
      </c>
      <c r="AA105" s="68">
        <v>36.1</v>
      </c>
      <c r="AB105" s="68">
        <v>36.1</v>
      </c>
      <c r="AC105" s="68">
        <v>0</v>
      </c>
      <c r="AD105" s="68">
        <v>0</v>
      </c>
      <c r="AE105" s="68">
        <v>0</v>
      </c>
      <c r="AF105" s="68">
        <v>0</v>
      </c>
      <c r="AG105" s="69">
        <v>120</v>
      </c>
      <c r="AH105" s="20">
        <f t="shared" si="10"/>
        <v>52</v>
      </c>
      <c r="AI105" s="19">
        <f t="shared" si="11"/>
        <v>0</v>
      </c>
    </row>
    <row r="106" spans="1:37" x14ac:dyDescent="0.25">
      <c r="A106" s="40" t="s">
        <v>134</v>
      </c>
      <c r="B106" s="68">
        <v>20.3</v>
      </c>
      <c r="C106" s="68">
        <v>20.3</v>
      </c>
      <c r="D106" s="68">
        <v>9.5</v>
      </c>
      <c r="E106" s="68">
        <v>8.6</v>
      </c>
      <c r="F106" s="68">
        <v>0</v>
      </c>
      <c r="G106" s="68">
        <v>4.5</v>
      </c>
      <c r="H106" s="68">
        <v>11.6</v>
      </c>
      <c r="I106" s="68">
        <v>6.2</v>
      </c>
      <c r="J106" s="68">
        <v>19.399999999999999</v>
      </c>
      <c r="K106" s="68">
        <v>34.4</v>
      </c>
      <c r="L106" s="68">
        <v>37.5</v>
      </c>
      <c r="M106" s="68">
        <v>42.4</v>
      </c>
      <c r="N106" s="68">
        <v>37.1</v>
      </c>
      <c r="O106" s="68">
        <v>40.6</v>
      </c>
      <c r="P106" s="68">
        <v>44</v>
      </c>
      <c r="Q106" s="68">
        <v>42.5</v>
      </c>
      <c r="R106" s="68">
        <v>48.6</v>
      </c>
      <c r="S106" s="68">
        <v>41</v>
      </c>
      <c r="T106" s="68">
        <v>60</v>
      </c>
      <c r="U106" s="68">
        <v>58</v>
      </c>
      <c r="V106" s="68">
        <v>22.2</v>
      </c>
      <c r="W106" s="68">
        <v>39</v>
      </c>
      <c r="X106" s="68">
        <v>39</v>
      </c>
      <c r="Y106" s="68">
        <v>34</v>
      </c>
      <c r="Z106" s="68">
        <v>35.1</v>
      </c>
      <c r="AA106" s="68">
        <v>35.1</v>
      </c>
      <c r="AB106" s="68">
        <v>35.1</v>
      </c>
      <c r="AC106" s="68">
        <v>38</v>
      </c>
      <c r="AD106" s="68">
        <v>32.299999999999997</v>
      </c>
      <c r="AE106" s="68">
        <v>26.6</v>
      </c>
      <c r="AF106" s="68">
        <v>22.3</v>
      </c>
      <c r="AG106" s="69"/>
      <c r="AH106" s="20">
        <f t="shared" si="10"/>
        <v>60</v>
      </c>
      <c r="AI106" s="19">
        <f t="shared" si="11"/>
        <v>0</v>
      </c>
    </row>
    <row r="107" spans="1:37" x14ac:dyDescent="0.25">
      <c r="A107" s="40" t="s">
        <v>133</v>
      </c>
      <c r="B107" s="68">
        <v>14.8</v>
      </c>
      <c r="C107" s="68">
        <v>12.7</v>
      </c>
      <c r="D107" s="68">
        <v>-2.4</v>
      </c>
      <c r="E107" s="68">
        <v>1</v>
      </c>
      <c r="F107" s="68">
        <v>-4.4000000000000004</v>
      </c>
      <c r="G107" s="68">
        <v>-11.9</v>
      </c>
      <c r="H107" s="68">
        <v>2</v>
      </c>
      <c r="I107" s="68">
        <v>2.6</v>
      </c>
      <c r="J107" s="68">
        <v>-9.8000000000000007</v>
      </c>
      <c r="K107" s="68">
        <v>20.5</v>
      </c>
      <c r="L107" s="68">
        <v>3.9</v>
      </c>
      <c r="M107" s="68">
        <v>-4.5</v>
      </c>
      <c r="N107" s="68">
        <v>-7.1</v>
      </c>
      <c r="O107" s="68">
        <v>-17</v>
      </c>
      <c r="P107" s="68">
        <v>-17.899999999999999</v>
      </c>
      <c r="Q107" s="68">
        <v>-36.6</v>
      </c>
      <c r="R107" s="68">
        <v>-29.5</v>
      </c>
      <c r="S107" s="68">
        <v>-29.3</v>
      </c>
      <c r="T107" s="68">
        <v>-12.8</v>
      </c>
      <c r="U107" s="68">
        <v>-11</v>
      </c>
      <c r="V107" s="68">
        <v>-29.6</v>
      </c>
      <c r="W107" s="68">
        <v>-8</v>
      </c>
      <c r="X107" s="68">
        <v>-8</v>
      </c>
      <c r="Y107" s="68">
        <v>-4</v>
      </c>
      <c r="Z107" s="68">
        <v>-4.2</v>
      </c>
      <c r="AA107" s="68">
        <v>-4.2</v>
      </c>
      <c r="AB107" s="68">
        <v>-4.2</v>
      </c>
      <c r="AC107" s="68">
        <v>-8.6999999999999993</v>
      </c>
      <c r="AD107" s="68">
        <v>-1.5</v>
      </c>
      <c r="AE107" s="68">
        <v>-13</v>
      </c>
      <c r="AF107" s="68">
        <v>-2</v>
      </c>
      <c r="AG107" s="48"/>
      <c r="AH107" s="20">
        <f t="shared" si="10"/>
        <v>20.5</v>
      </c>
      <c r="AI107" s="19">
        <f t="shared" si="11"/>
        <v>-36.6</v>
      </c>
    </row>
    <row r="108" spans="1:37" x14ac:dyDescent="0.25">
      <c r="A108" s="67" t="s">
        <v>132</v>
      </c>
      <c r="B108" s="66">
        <v>111</v>
      </c>
      <c r="C108" s="66">
        <v>114.5</v>
      </c>
      <c r="D108" s="66">
        <v>100</v>
      </c>
      <c r="E108" s="66">
        <v>95.6</v>
      </c>
      <c r="F108" s="66">
        <v>95.1</v>
      </c>
      <c r="G108" s="66">
        <v>98.5</v>
      </c>
      <c r="H108" s="66">
        <v>104.7</v>
      </c>
      <c r="I108" s="66">
        <v>106.7</v>
      </c>
      <c r="J108" s="66">
        <v>101.4</v>
      </c>
      <c r="K108" s="66">
        <v>113.3</v>
      </c>
      <c r="L108" s="66">
        <v>109.5</v>
      </c>
      <c r="M108" s="66">
        <v>78.5</v>
      </c>
      <c r="N108" s="66">
        <v>110.6</v>
      </c>
      <c r="O108" s="66">
        <v>89</v>
      </c>
      <c r="P108" s="66">
        <v>86.6</v>
      </c>
      <c r="Q108" s="66">
        <v>92.4</v>
      </c>
      <c r="R108" s="66">
        <v>93.6</v>
      </c>
      <c r="S108" s="66">
        <v>113</v>
      </c>
      <c r="T108" s="66">
        <v>104.2</v>
      </c>
      <c r="U108" s="66">
        <v>101.5</v>
      </c>
      <c r="V108" s="66">
        <v>99</v>
      </c>
      <c r="W108" s="66">
        <v>107</v>
      </c>
      <c r="X108" s="66">
        <v>107</v>
      </c>
      <c r="Y108" s="68">
        <v>12</v>
      </c>
      <c r="Z108" s="66">
        <v>119</v>
      </c>
      <c r="AA108" s="66">
        <v>119</v>
      </c>
      <c r="AB108" s="66">
        <v>119</v>
      </c>
      <c r="AC108" s="66">
        <v>116.3</v>
      </c>
      <c r="AD108" s="66">
        <v>103.6</v>
      </c>
      <c r="AE108" s="66">
        <v>85.4</v>
      </c>
      <c r="AF108" s="66">
        <v>83</v>
      </c>
      <c r="AG108" s="48"/>
      <c r="AH108" s="20">
        <f t="shared" si="10"/>
        <v>119</v>
      </c>
      <c r="AI108" s="19">
        <f t="shared" si="11"/>
        <v>12</v>
      </c>
    </row>
    <row r="109" spans="1:37" ht="15.75" thickBot="1" x14ac:dyDescent="0.3">
      <c r="A109" s="67" t="s">
        <v>131</v>
      </c>
      <c r="B109" s="66">
        <v>80.2</v>
      </c>
      <c r="C109" s="66">
        <v>100</v>
      </c>
      <c r="D109" s="66">
        <v>83.3</v>
      </c>
      <c r="E109" s="66">
        <v>91</v>
      </c>
      <c r="F109" s="66">
        <v>93.6</v>
      </c>
      <c r="G109" s="66">
        <v>89.3</v>
      </c>
      <c r="H109" s="66">
        <v>80.3</v>
      </c>
      <c r="I109" s="66">
        <v>74</v>
      </c>
      <c r="J109" s="66">
        <v>68</v>
      </c>
      <c r="K109" s="66">
        <v>42.4</v>
      </c>
      <c r="L109" s="66">
        <v>41.1</v>
      </c>
      <c r="M109" s="66">
        <v>45.6</v>
      </c>
      <c r="N109" s="66">
        <v>52</v>
      </c>
      <c r="O109" s="66">
        <v>61.2</v>
      </c>
      <c r="P109" s="66">
        <v>60</v>
      </c>
      <c r="Q109" s="66">
        <v>67.900000000000006</v>
      </c>
      <c r="R109" s="66">
        <v>66.400000000000006</v>
      </c>
      <c r="S109" s="66">
        <v>72.400000000000006</v>
      </c>
      <c r="T109" s="66">
        <v>77.2</v>
      </c>
      <c r="U109" s="66">
        <v>72</v>
      </c>
      <c r="V109" s="66">
        <v>76</v>
      </c>
      <c r="W109" s="66">
        <v>66</v>
      </c>
      <c r="X109" s="66">
        <v>66</v>
      </c>
      <c r="Y109" s="66">
        <v>68</v>
      </c>
      <c r="Z109" s="66">
        <v>71.5</v>
      </c>
      <c r="AA109" s="66">
        <v>71.5</v>
      </c>
      <c r="AB109" s="66">
        <v>71.5</v>
      </c>
      <c r="AC109" s="66">
        <v>68.5</v>
      </c>
      <c r="AD109" s="66">
        <v>74.31</v>
      </c>
      <c r="AE109" s="66">
        <v>81.900000000000006</v>
      </c>
      <c r="AF109" s="66">
        <v>79.8</v>
      </c>
      <c r="AG109" s="48"/>
      <c r="AH109" s="20">
        <f t="shared" si="10"/>
        <v>100</v>
      </c>
      <c r="AI109" s="19">
        <f t="shared" si="11"/>
        <v>41.1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165" t="s">
        <v>285</v>
      </c>
      <c r="G110" s="165" t="s">
        <v>285</v>
      </c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4">SUM(B111:B215)</f>
        <v>0</v>
      </c>
      <c r="C216" s="36">
        <f t="shared" si="24"/>
        <v>0</v>
      </c>
      <c r="D216" s="36">
        <f t="shared" si="24"/>
        <v>0</v>
      </c>
      <c r="E216" s="36">
        <f t="shared" si="24"/>
        <v>0</v>
      </c>
      <c r="F216" s="36">
        <f t="shared" si="24"/>
        <v>0</v>
      </c>
      <c r="G216" s="36">
        <f t="shared" si="24"/>
        <v>0</v>
      </c>
      <c r="H216" s="36">
        <f t="shared" si="24"/>
        <v>0</v>
      </c>
      <c r="I216" s="36">
        <f t="shared" si="24"/>
        <v>0</v>
      </c>
      <c r="J216" s="36">
        <f t="shared" si="24"/>
        <v>0</v>
      </c>
      <c r="K216" s="36">
        <f t="shared" si="24"/>
        <v>0</v>
      </c>
      <c r="L216" s="36">
        <f t="shared" si="24"/>
        <v>0</v>
      </c>
      <c r="M216" s="36">
        <f t="shared" si="24"/>
        <v>0</v>
      </c>
      <c r="N216" s="36">
        <f t="shared" si="24"/>
        <v>0</v>
      </c>
      <c r="O216" s="36">
        <f t="shared" si="24"/>
        <v>0</v>
      </c>
      <c r="P216" s="36">
        <f t="shared" si="24"/>
        <v>0</v>
      </c>
      <c r="Q216" s="36">
        <f t="shared" si="24"/>
        <v>0</v>
      </c>
      <c r="R216" s="36">
        <f t="shared" si="24"/>
        <v>0</v>
      </c>
      <c r="S216" s="36">
        <f t="shared" si="24"/>
        <v>0</v>
      </c>
      <c r="T216" s="36">
        <f t="shared" si="24"/>
        <v>0</v>
      </c>
      <c r="U216" s="36">
        <f t="shared" si="24"/>
        <v>0</v>
      </c>
      <c r="V216" s="36">
        <f t="shared" si="24"/>
        <v>0</v>
      </c>
      <c r="W216" s="36">
        <f t="shared" si="24"/>
        <v>0</v>
      </c>
      <c r="X216" s="36">
        <f t="shared" si="24"/>
        <v>0</v>
      </c>
      <c r="Y216" s="36">
        <f t="shared" si="24"/>
        <v>0</v>
      </c>
      <c r="Z216" s="36">
        <f t="shared" si="24"/>
        <v>0</v>
      </c>
      <c r="AA216" s="36">
        <f t="shared" si="24"/>
        <v>0</v>
      </c>
      <c r="AB216" s="36">
        <f t="shared" si="24"/>
        <v>0</v>
      </c>
      <c r="AC216" s="36">
        <f t="shared" si="24"/>
        <v>0</v>
      </c>
      <c r="AD216" s="36">
        <f t="shared" si="24"/>
        <v>0</v>
      </c>
      <c r="AE216" s="36">
        <f t="shared" si="24"/>
        <v>0</v>
      </c>
      <c r="AF216" s="51">
        <f t="shared" si="24"/>
        <v>0</v>
      </c>
      <c r="AG216" s="50">
        <f t="shared" si="24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5">AF218</f>
        <v>0</v>
      </c>
      <c r="C218" s="46">
        <v>0.3</v>
      </c>
      <c r="D218" s="46">
        <f t="shared" ref="D218:P223" si="26">C218</f>
        <v>0.3</v>
      </c>
      <c r="E218" s="46">
        <f t="shared" si="26"/>
        <v>0.3</v>
      </c>
      <c r="F218" s="46">
        <f t="shared" si="26"/>
        <v>0.3</v>
      </c>
      <c r="G218" s="46">
        <f t="shared" si="26"/>
        <v>0.3</v>
      </c>
      <c r="H218" s="46">
        <f t="shared" si="26"/>
        <v>0.3</v>
      </c>
      <c r="I218" s="46">
        <f t="shared" si="26"/>
        <v>0.3</v>
      </c>
      <c r="J218" s="46">
        <f t="shared" si="26"/>
        <v>0.3</v>
      </c>
      <c r="K218" s="46">
        <f t="shared" si="26"/>
        <v>0.3</v>
      </c>
      <c r="L218" s="46">
        <f t="shared" si="26"/>
        <v>0.3</v>
      </c>
      <c r="M218" s="46">
        <f t="shared" si="26"/>
        <v>0.3</v>
      </c>
      <c r="N218" s="46">
        <f t="shared" si="26"/>
        <v>0.3</v>
      </c>
      <c r="O218" s="46">
        <f t="shared" si="26"/>
        <v>0.3</v>
      </c>
      <c r="P218" s="46">
        <f t="shared" si="26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5"/>
        <v>0</v>
      </c>
      <c r="C219" s="43">
        <v>0.4</v>
      </c>
      <c r="D219" s="43">
        <f t="shared" si="26"/>
        <v>0.4</v>
      </c>
      <c r="E219" s="43">
        <f t="shared" si="26"/>
        <v>0.4</v>
      </c>
      <c r="F219" s="43">
        <f t="shared" si="26"/>
        <v>0.4</v>
      </c>
      <c r="G219" s="43">
        <f t="shared" si="26"/>
        <v>0.4</v>
      </c>
      <c r="H219" s="43">
        <f t="shared" si="26"/>
        <v>0.4</v>
      </c>
      <c r="I219" s="43">
        <f t="shared" si="26"/>
        <v>0.4</v>
      </c>
      <c r="J219" s="43">
        <f t="shared" si="26"/>
        <v>0.4</v>
      </c>
      <c r="K219" s="43">
        <f t="shared" si="26"/>
        <v>0.4</v>
      </c>
      <c r="L219" s="43">
        <f t="shared" si="26"/>
        <v>0.4</v>
      </c>
      <c r="M219" s="43">
        <f t="shared" si="26"/>
        <v>0.4</v>
      </c>
      <c r="N219" s="43">
        <f t="shared" si="26"/>
        <v>0.4</v>
      </c>
      <c r="O219" s="43">
        <f t="shared" si="26"/>
        <v>0.4</v>
      </c>
      <c r="P219" s="43">
        <f t="shared" si="26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5"/>
        <v>0</v>
      </c>
      <c r="C220" s="43">
        <v>1.5</v>
      </c>
      <c r="D220" s="43">
        <f t="shared" si="26"/>
        <v>1.5</v>
      </c>
      <c r="E220" s="43">
        <f t="shared" si="26"/>
        <v>1.5</v>
      </c>
      <c r="F220" s="43">
        <f t="shared" si="26"/>
        <v>1.5</v>
      </c>
      <c r="G220" s="43">
        <f t="shared" si="26"/>
        <v>1.5</v>
      </c>
      <c r="H220" s="43">
        <f t="shared" si="26"/>
        <v>1.5</v>
      </c>
      <c r="I220" s="43">
        <f t="shared" si="26"/>
        <v>1.5</v>
      </c>
      <c r="J220" s="43">
        <f t="shared" si="26"/>
        <v>1.5</v>
      </c>
      <c r="K220" s="43">
        <f t="shared" si="26"/>
        <v>1.5</v>
      </c>
      <c r="L220" s="43">
        <f t="shared" si="26"/>
        <v>1.5</v>
      </c>
      <c r="M220" s="43">
        <f t="shared" si="26"/>
        <v>1.5</v>
      </c>
      <c r="N220" s="43">
        <f t="shared" si="26"/>
        <v>1.5</v>
      </c>
      <c r="O220" s="43">
        <f t="shared" si="26"/>
        <v>1.5</v>
      </c>
      <c r="P220" s="43">
        <f t="shared" si="26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5"/>
        <v>0</v>
      </c>
      <c r="C221" s="43">
        <v>0.3</v>
      </c>
      <c r="D221" s="43">
        <f t="shared" si="26"/>
        <v>0.3</v>
      </c>
      <c r="E221" s="43">
        <f t="shared" si="26"/>
        <v>0.3</v>
      </c>
      <c r="F221" s="43">
        <f t="shared" si="26"/>
        <v>0.3</v>
      </c>
      <c r="G221" s="43">
        <f t="shared" si="26"/>
        <v>0.3</v>
      </c>
      <c r="H221" s="43">
        <f t="shared" si="26"/>
        <v>0.3</v>
      </c>
      <c r="I221" s="43">
        <f t="shared" si="26"/>
        <v>0.3</v>
      </c>
      <c r="J221" s="43">
        <f t="shared" si="26"/>
        <v>0.3</v>
      </c>
      <c r="K221" s="43">
        <f t="shared" si="26"/>
        <v>0.3</v>
      </c>
      <c r="L221" s="43">
        <f t="shared" si="26"/>
        <v>0.3</v>
      </c>
      <c r="M221" s="43">
        <f t="shared" si="26"/>
        <v>0.3</v>
      </c>
      <c r="N221" s="43">
        <f t="shared" si="26"/>
        <v>0.3</v>
      </c>
      <c r="O221" s="43">
        <f t="shared" si="26"/>
        <v>0.3</v>
      </c>
      <c r="P221" s="43">
        <f t="shared" si="26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5"/>
        <v>0</v>
      </c>
      <c r="C222" s="43">
        <v>0.4</v>
      </c>
      <c r="D222" s="43">
        <f t="shared" si="26"/>
        <v>0.4</v>
      </c>
      <c r="E222" s="43">
        <f t="shared" si="26"/>
        <v>0.4</v>
      </c>
      <c r="F222" s="43">
        <f t="shared" si="26"/>
        <v>0.4</v>
      </c>
      <c r="G222" s="43">
        <f t="shared" si="26"/>
        <v>0.4</v>
      </c>
      <c r="H222" s="43">
        <f t="shared" si="26"/>
        <v>0.4</v>
      </c>
      <c r="I222" s="43">
        <f t="shared" si="26"/>
        <v>0.4</v>
      </c>
      <c r="J222" s="43">
        <f t="shared" si="26"/>
        <v>0.4</v>
      </c>
      <c r="K222" s="43">
        <f t="shared" si="26"/>
        <v>0.4</v>
      </c>
      <c r="L222" s="43">
        <f t="shared" si="26"/>
        <v>0.4</v>
      </c>
      <c r="M222" s="43">
        <f t="shared" si="26"/>
        <v>0.4</v>
      </c>
      <c r="N222" s="43">
        <f t="shared" si="26"/>
        <v>0.4</v>
      </c>
      <c r="O222" s="43">
        <f t="shared" si="26"/>
        <v>0.4</v>
      </c>
      <c r="P222" s="43">
        <f t="shared" si="26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5"/>
        <v>0</v>
      </c>
      <c r="C223" s="39">
        <v>0.64</v>
      </c>
      <c r="D223" s="39">
        <f t="shared" si="26"/>
        <v>0.64</v>
      </c>
      <c r="E223" s="39">
        <f t="shared" si="26"/>
        <v>0.64</v>
      </c>
      <c r="F223" s="39">
        <f t="shared" si="26"/>
        <v>0.64</v>
      </c>
      <c r="G223" s="39">
        <f t="shared" si="26"/>
        <v>0.64</v>
      </c>
      <c r="H223" s="39">
        <f t="shared" si="26"/>
        <v>0.64</v>
      </c>
      <c r="I223" s="39">
        <f t="shared" si="26"/>
        <v>0.64</v>
      </c>
      <c r="J223" s="39">
        <f t="shared" si="26"/>
        <v>0.64</v>
      </c>
      <c r="K223" s="39">
        <f t="shared" si="26"/>
        <v>0.64</v>
      </c>
      <c r="L223" s="39">
        <f t="shared" si="26"/>
        <v>0.64</v>
      </c>
      <c r="M223" s="39">
        <f t="shared" si="26"/>
        <v>0.64</v>
      </c>
      <c r="N223" s="39">
        <f t="shared" si="26"/>
        <v>0.64</v>
      </c>
      <c r="O223" s="39">
        <f t="shared" si="26"/>
        <v>0.64</v>
      </c>
      <c r="P223" s="39">
        <f t="shared" si="26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7">SUM(B218:B223)</f>
        <v>0</v>
      </c>
      <c r="C224" s="36">
        <f t="shared" si="27"/>
        <v>3.54</v>
      </c>
      <c r="D224" s="36">
        <f t="shared" si="27"/>
        <v>3.54</v>
      </c>
      <c r="E224" s="36">
        <f t="shared" si="27"/>
        <v>3.54</v>
      </c>
      <c r="F224" s="36">
        <f t="shared" si="27"/>
        <v>3.54</v>
      </c>
      <c r="G224" s="36">
        <f t="shared" si="27"/>
        <v>3.54</v>
      </c>
      <c r="H224" s="36">
        <f t="shared" si="27"/>
        <v>3.54</v>
      </c>
      <c r="I224" s="36">
        <f t="shared" si="27"/>
        <v>3.54</v>
      </c>
      <c r="J224" s="36">
        <f t="shared" si="27"/>
        <v>3.54</v>
      </c>
      <c r="K224" s="36">
        <f t="shared" si="27"/>
        <v>3.54</v>
      </c>
      <c r="L224" s="36">
        <f t="shared" si="27"/>
        <v>3.54</v>
      </c>
      <c r="M224" s="36">
        <f t="shared" si="27"/>
        <v>3.54</v>
      </c>
      <c r="N224" s="36">
        <f t="shared" si="27"/>
        <v>3.54</v>
      </c>
      <c r="O224" s="36">
        <f t="shared" si="27"/>
        <v>3.54</v>
      </c>
      <c r="P224" s="36">
        <f t="shared" si="27"/>
        <v>3.54</v>
      </c>
      <c r="Q224" s="36">
        <f t="shared" si="27"/>
        <v>0</v>
      </c>
      <c r="R224" s="36">
        <f t="shared" si="27"/>
        <v>0</v>
      </c>
      <c r="S224" s="36">
        <f t="shared" si="27"/>
        <v>0</v>
      </c>
      <c r="T224" s="36">
        <f t="shared" si="27"/>
        <v>0</v>
      </c>
      <c r="U224" s="36">
        <f t="shared" si="27"/>
        <v>0</v>
      </c>
      <c r="V224" s="36">
        <f t="shared" si="27"/>
        <v>0</v>
      </c>
      <c r="W224" s="36">
        <f t="shared" si="27"/>
        <v>0</v>
      </c>
      <c r="X224" s="36">
        <f t="shared" si="27"/>
        <v>0</v>
      </c>
      <c r="Y224" s="36">
        <f t="shared" si="27"/>
        <v>0</v>
      </c>
      <c r="Z224" s="36">
        <f t="shared" si="27"/>
        <v>0</v>
      </c>
      <c r="AA224" s="36">
        <f t="shared" si="27"/>
        <v>0</v>
      </c>
      <c r="AB224" s="36">
        <f t="shared" si="27"/>
        <v>0</v>
      </c>
      <c r="AC224" s="36">
        <f t="shared" si="27"/>
        <v>0</v>
      </c>
      <c r="AD224" s="36">
        <f t="shared" si="27"/>
        <v>0</v>
      </c>
      <c r="AE224" s="36">
        <f t="shared" si="27"/>
        <v>0</v>
      </c>
      <c r="AF224" s="36">
        <f t="shared" si="27"/>
        <v>0</v>
      </c>
      <c r="AG224" s="35">
        <f t="shared" si="27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1512.0400000000002</v>
      </c>
      <c r="C233" s="16">
        <f>INDEX(G9:N9,1,MATCH(MAX(G81:N81),G81:N81,0))</f>
        <v>0.33333333333333331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23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2079/06/23)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2079/06/23)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8">B81</f>
        <v>1476.04</v>
      </c>
      <c r="U238" s="9">
        <f t="shared" si="28"/>
        <v>1454.1399999999999</v>
      </c>
      <c r="V238" s="9">
        <f t="shared" si="28"/>
        <v>1369.54</v>
      </c>
      <c r="W238" s="9">
        <f t="shared" si="28"/>
        <v>1436.44</v>
      </c>
      <c r="X238" s="9">
        <f t="shared" si="28"/>
        <v>1434.8400000000001</v>
      </c>
      <c r="Y238" s="9">
        <f t="shared" si="28"/>
        <v>1430.3400000000001</v>
      </c>
      <c r="Z238" s="9">
        <f t="shared" si="28"/>
        <v>1428.7400000000002</v>
      </c>
      <c r="AA238" s="9">
        <f t="shared" si="28"/>
        <v>1433.7400000000002</v>
      </c>
      <c r="AB238" s="9">
        <f t="shared" si="28"/>
        <v>1442.7400000000002</v>
      </c>
      <c r="AC238" s="9">
        <f t="shared" si="28"/>
        <v>1446.24</v>
      </c>
      <c r="AD238" s="9">
        <f t="shared" si="28"/>
        <v>1444.6399999999999</v>
      </c>
      <c r="AE238" s="9">
        <f t="shared" si="28"/>
        <v>1512.0400000000002</v>
      </c>
      <c r="AF238" s="9">
        <f t="shared" si="28"/>
        <v>1504.94</v>
      </c>
      <c r="AG238" s="9">
        <f t="shared" si="28"/>
        <v>1512.2400000000002</v>
      </c>
      <c r="AH238" s="9">
        <f t="shared" si="28"/>
        <v>1529.8400000000001</v>
      </c>
      <c r="AI238" s="9">
        <f t="shared" si="28"/>
        <v>1529.84</v>
      </c>
      <c r="AJ238" s="9">
        <f t="shared" si="28"/>
        <v>1523.24</v>
      </c>
      <c r="AK238" s="9">
        <f t="shared" si="28"/>
        <v>1540.74</v>
      </c>
      <c r="AL238" s="9">
        <f t="shared" si="28"/>
        <v>1522.74</v>
      </c>
      <c r="AM238" s="9">
        <f t="shared" si="28"/>
        <v>1488.9399999999998</v>
      </c>
      <c r="AN238" s="9">
        <f t="shared" si="28"/>
        <v>1507.9399999999998</v>
      </c>
      <c r="AO238" s="9">
        <f t="shared" si="28"/>
        <v>1519.9399999999998</v>
      </c>
      <c r="AP238" s="9">
        <f t="shared" si="28"/>
        <v>1584.6399999999999</v>
      </c>
      <c r="AQ238" s="9">
        <f t="shared" si="28"/>
        <v>1677.04</v>
      </c>
      <c r="AR238" s="9">
        <f t="shared" si="28"/>
        <v>1648.84</v>
      </c>
      <c r="AS238" s="9">
        <f t="shared" si="28"/>
        <v>1627.54</v>
      </c>
      <c r="AT238" s="9">
        <f t="shared" si="28"/>
        <v>1616.94</v>
      </c>
      <c r="AU238" s="9">
        <f t="shared" si="28"/>
        <v>1524.8400000000001</v>
      </c>
      <c r="AV238" s="9">
        <f t="shared" si="28"/>
        <v>1527.74</v>
      </c>
      <c r="AW238" s="9">
        <f t="shared" si="28"/>
        <v>1502.4399999999998</v>
      </c>
      <c r="AX238" s="9">
        <f t="shared" si="28"/>
        <v>1453.7399999999998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9">C223</f>
        <v>0.64</v>
      </c>
      <c r="C259" s="4">
        <f t="shared" si="29"/>
        <v>0.64</v>
      </c>
      <c r="D259" s="4">
        <f t="shared" si="29"/>
        <v>0.64</v>
      </c>
      <c r="E259" s="4">
        <f t="shared" si="29"/>
        <v>0.64</v>
      </c>
      <c r="F259" s="4">
        <f t="shared" si="29"/>
        <v>0.64</v>
      </c>
      <c r="G259" s="4">
        <f t="shared" si="29"/>
        <v>0.64</v>
      </c>
      <c r="H259" s="4">
        <f t="shared" si="29"/>
        <v>0.64</v>
      </c>
      <c r="I259" s="4">
        <f t="shared" si="29"/>
        <v>0.64</v>
      </c>
      <c r="J259" s="4">
        <f t="shared" si="29"/>
        <v>0.64</v>
      </c>
      <c r="K259" s="4">
        <f t="shared" si="29"/>
        <v>0.64</v>
      </c>
      <c r="L259" s="4">
        <f t="shared" si="29"/>
        <v>0.64</v>
      </c>
      <c r="M259" s="4">
        <f t="shared" si="29"/>
        <v>0.64</v>
      </c>
      <c r="N259" s="4">
        <f t="shared" si="29"/>
        <v>0.64</v>
      </c>
      <c r="O259" s="4">
        <f t="shared" si="29"/>
        <v>0.64</v>
      </c>
      <c r="P259" s="4">
        <f t="shared" si="29"/>
        <v>0</v>
      </c>
      <c r="Q259" s="4">
        <f t="shared" si="29"/>
        <v>0</v>
      </c>
      <c r="R259" s="4">
        <f t="shared" si="29"/>
        <v>0</v>
      </c>
      <c r="S259" s="4">
        <f t="shared" si="29"/>
        <v>0</v>
      </c>
      <c r="T259" s="4">
        <f t="shared" si="29"/>
        <v>0</v>
      </c>
      <c r="U259" s="4">
        <f t="shared" si="29"/>
        <v>0</v>
      </c>
      <c r="V259" s="4">
        <f t="shared" si="29"/>
        <v>0</v>
      </c>
      <c r="W259" s="4">
        <f t="shared" si="29"/>
        <v>0</v>
      </c>
      <c r="X259" s="4">
        <f t="shared" si="29"/>
        <v>0</v>
      </c>
      <c r="Y259" s="4">
        <f t="shared" si="29"/>
        <v>0</v>
      </c>
      <c r="Z259" s="4">
        <f t="shared" si="29"/>
        <v>0</v>
      </c>
      <c r="AA259" s="4">
        <f t="shared" si="29"/>
        <v>0</v>
      </c>
      <c r="AB259" s="4">
        <f t="shared" si="29"/>
        <v>0</v>
      </c>
      <c r="AC259" s="4">
        <f t="shared" si="29"/>
        <v>0</v>
      </c>
      <c r="AD259" s="4">
        <f t="shared" si="29"/>
        <v>0</v>
      </c>
      <c r="AE259" s="4">
        <f t="shared" si="29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30">IF(B227&lt;100,"",B227-520)</f>
        <v/>
      </c>
      <c r="C260" s="3" t="str">
        <f t="shared" si="30"/>
        <v/>
      </c>
      <c r="D260" s="3" t="str">
        <f t="shared" si="30"/>
        <v/>
      </c>
      <c r="E260" s="3" t="str">
        <f t="shared" si="30"/>
        <v/>
      </c>
      <c r="F260" s="3" t="str">
        <f t="shared" si="30"/>
        <v/>
      </c>
      <c r="G260" s="3" t="str">
        <f t="shared" si="30"/>
        <v/>
      </c>
      <c r="H260" s="3" t="str">
        <f t="shared" si="30"/>
        <v/>
      </c>
      <c r="I260" s="3" t="str">
        <f t="shared" si="30"/>
        <v/>
      </c>
      <c r="J260" s="3" t="str">
        <f t="shared" si="30"/>
        <v/>
      </c>
      <c r="K260" s="3" t="str">
        <f t="shared" si="30"/>
        <v/>
      </c>
      <c r="L260" s="3" t="str">
        <f t="shared" si="30"/>
        <v/>
      </c>
      <c r="M260" s="3" t="str">
        <f t="shared" si="30"/>
        <v/>
      </c>
      <c r="N260" s="3" t="str">
        <f t="shared" si="30"/>
        <v/>
      </c>
      <c r="O260" s="3" t="str">
        <f t="shared" si="30"/>
        <v/>
      </c>
      <c r="P260" s="3" t="str">
        <f t="shared" si="30"/>
        <v/>
      </c>
      <c r="Q260" s="3" t="str">
        <f t="shared" si="30"/>
        <v/>
      </c>
      <c r="R260" s="3" t="str">
        <f t="shared" si="30"/>
        <v/>
      </c>
      <c r="S260" s="3" t="str">
        <f t="shared" si="30"/>
        <v/>
      </c>
      <c r="T260" s="3" t="str">
        <f t="shared" si="30"/>
        <v/>
      </c>
      <c r="U260" s="3" t="str">
        <f t="shared" si="30"/>
        <v/>
      </c>
      <c r="V260" s="3" t="str">
        <f t="shared" si="30"/>
        <v/>
      </c>
      <c r="W260" s="3" t="str">
        <f t="shared" si="30"/>
        <v/>
      </c>
      <c r="X260" s="3" t="str">
        <f t="shared" si="30"/>
        <v/>
      </c>
      <c r="Y260" s="3" t="str">
        <f t="shared" si="30"/>
        <v/>
      </c>
      <c r="Z260" s="3" t="str">
        <f t="shared" si="30"/>
        <v/>
      </c>
      <c r="AA260" s="3" t="str">
        <f t="shared" si="30"/>
        <v/>
      </c>
      <c r="AB260" s="3" t="str">
        <f t="shared" si="30"/>
        <v/>
      </c>
      <c r="AC260" s="3" t="str">
        <f t="shared" si="30"/>
        <v/>
      </c>
      <c r="AD260" s="3" t="str">
        <f t="shared" si="30"/>
        <v/>
      </c>
      <c r="AE260" s="3" t="str">
        <f t="shared" si="30"/>
        <v/>
      </c>
      <c r="AF260" s="3" t="str">
        <f t="shared" si="30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31">IF(B228&lt;100,"",B228-620)</f>
        <v/>
      </c>
      <c r="C261" s="3" t="str">
        <f t="shared" si="31"/>
        <v/>
      </c>
      <c r="D261" s="3" t="str">
        <f t="shared" si="31"/>
        <v/>
      </c>
      <c r="E261" s="3" t="str">
        <f t="shared" si="31"/>
        <v/>
      </c>
      <c r="F261" s="3" t="str">
        <f t="shared" si="31"/>
        <v/>
      </c>
      <c r="G261" s="3" t="str">
        <f t="shared" si="31"/>
        <v/>
      </c>
      <c r="H261" s="3" t="str">
        <f t="shared" si="31"/>
        <v/>
      </c>
      <c r="I261" s="3" t="str">
        <f t="shared" si="31"/>
        <v/>
      </c>
      <c r="J261" s="3" t="str">
        <f t="shared" si="31"/>
        <v/>
      </c>
      <c r="K261" s="3" t="str">
        <f t="shared" si="31"/>
        <v/>
      </c>
      <c r="L261" s="3" t="str">
        <f t="shared" si="31"/>
        <v/>
      </c>
      <c r="M261" s="3" t="str">
        <f t="shared" si="31"/>
        <v/>
      </c>
      <c r="N261" s="3" t="str">
        <f t="shared" si="31"/>
        <v/>
      </c>
      <c r="O261" s="3" t="str">
        <f t="shared" si="31"/>
        <v/>
      </c>
      <c r="P261" s="3" t="str">
        <f t="shared" si="31"/>
        <v/>
      </c>
      <c r="Q261" s="3" t="str">
        <f t="shared" si="31"/>
        <v/>
      </c>
      <c r="R261" s="3" t="str">
        <f t="shared" si="31"/>
        <v/>
      </c>
      <c r="S261" s="3" t="str">
        <f t="shared" si="31"/>
        <v/>
      </c>
      <c r="T261" s="3" t="str">
        <f t="shared" si="31"/>
        <v/>
      </c>
      <c r="U261" s="3" t="str">
        <f t="shared" si="31"/>
        <v/>
      </c>
      <c r="V261" s="3" t="str">
        <f t="shared" si="31"/>
        <v/>
      </c>
      <c r="W261" s="3" t="str">
        <f t="shared" si="31"/>
        <v/>
      </c>
      <c r="X261" s="3" t="str">
        <f t="shared" si="31"/>
        <v/>
      </c>
      <c r="Y261" s="3" t="str">
        <f t="shared" si="31"/>
        <v/>
      </c>
      <c r="Z261" s="3" t="str">
        <f t="shared" si="31"/>
        <v/>
      </c>
      <c r="AA261" s="3" t="str">
        <f t="shared" si="31"/>
        <v/>
      </c>
      <c r="AB261" s="3" t="str">
        <f t="shared" si="31"/>
        <v/>
      </c>
      <c r="AC261" s="3" t="str">
        <f t="shared" si="31"/>
        <v/>
      </c>
      <c r="AD261" s="3" t="str">
        <f t="shared" si="31"/>
        <v/>
      </c>
      <c r="AE261" s="3" t="str">
        <f t="shared" si="31"/>
        <v/>
      </c>
      <c r="AF261" s="3" t="str">
        <f t="shared" si="31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2">IF(B229&lt;100,"",B229-330)</f>
        <v/>
      </c>
      <c r="C262" s="3" t="str">
        <f t="shared" si="32"/>
        <v/>
      </c>
      <c r="D262" s="3" t="str">
        <f t="shared" si="32"/>
        <v/>
      </c>
      <c r="E262" s="3" t="str">
        <f t="shared" si="32"/>
        <v/>
      </c>
      <c r="F262" s="3" t="str">
        <f t="shared" si="32"/>
        <v/>
      </c>
      <c r="G262" s="3" t="str">
        <f t="shared" si="32"/>
        <v/>
      </c>
      <c r="H262" s="3" t="str">
        <f t="shared" si="32"/>
        <v/>
      </c>
      <c r="I262" s="3" t="str">
        <f t="shared" si="32"/>
        <v/>
      </c>
      <c r="J262" s="3" t="str">
        <f t="shared" si="32"/>
        <v/>
      </c>
      <c r="K262" s="3" t="str">
        <f t="shared" si="32"/>
        <v/>
      </c>
      <c r="L262" s="3" t="str">
        <f t="shared" si="32"/>
        <v/>
      </c>
      <c r="M262" s="3" t="str">
        <f t="shared" si="32"/>
        <v/>
      </c>
      <c r="N262" s="3" t="str">
        <f t="shared" si="32"/>
        <v/>
      </c>
      <c r="O262" s="3" t="str">
        <f t="shared" si="32"/>
        <v/>
      </c>
      <c r="P262" s="3" t="str">
        <f t="shared" si="32"/>
        <v/>
      </c>
      <c r="Q262" s="3" t="str">
        <f t="shared" si="32"/>
        <v/>
      </c>
      <c r="R262" s="3" t="str">
        <f t="shared" si="32"/>
        <v/>
      </c>
      <c r="S262" s="3" t="str">
        <f t="shared" si="32"/>
        <v/>
      </c>
      <c r="T262" s="3" t="str">
        <f t="shared" si="32"/>
        <v/>
      </c>
      <c r="U262" s="3" t="str">
        <f t="shared" si="32"/>
        <v/>
      </c>
      <c r="V262" s="3" t="str">
        <f t="shared" si="32"/>
        <v/>
      </c>
      <c r="W262" s="3" t="str">
        <f t="shared" si="32"/>
        <v/>
      </c>
      <c r="X262" s="3" t="str">
        <f t="shared" si="32"/>
        <v/>
      </c>
      <c r="Y262" s="3" t="str">
        <f t="shared" si="32"/>
        <v/>
      </c>
      <c r="Z262" s="3" t="str">
        <f t="shared" si="32"/>
        <v/>
      </c>
      <c r="AA262" s="3" t="str">
        <f t="shared" si="32"/>
        <v/>
      </c>
      <c r="AB262" s="3" t="str">
        <f t="shared" si="32"/>
        <v/>
      </c>
      <c r="AC262" s="3" t="str">
        <f t="shared" si="32"/>
        <v/>
      </c>
      <c r="AD262" s="3" t="str">
        <f t="shared" si="32"/>
        <v/>
      </c>
      <c r="AE262" s="3" t="str">
        <f t="shared" si="32"/>
        <v/>
      </c>
      <c r="AF262" s="3" t="str">
        <f t="shared" si="32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3">IF(B230&lt;100,"",B230-1500)</f>
        <v/>
      </c>
      <c r="C263" s="3" t="str">
        <f t="shared" si="33"/>
        <v/>
      </c>
      <c r="D263" s="3" t="str">
        <f t="shared" si="33"/>
        <v/>
      </c>
      <c r="E263" s="3" t="str">
        <f t="shared" si="33"/>
        <v/>
      </c>
      <c r="F263" s="3" t="str">
        <f t="shared" si="33"/>
        <v/>
      </c>
      <c r="G263" s="3" t="str">
        <f t="shared" si="33"/>
        <v/>
      </c>
      <c r="H263" s="3" t="str">
        <f t="shared" si="33"/>
        <v/>
      </c>
      <c r="I263" s="3" t="str">
        <f t="shared" si="33"/>
        <v/>
      </c>
      <c r="J263" s="3" t="str">
        <f t="shared" si="33"/>
        <v/>
      </c>
      <c r="K263" s="3" t="str">
        <f t="shared" si="33"/>
        <v/>
      </c>
      <c r="L263" s="3" t="str">
        <f t="shared" si="33"/>
        <v/>
      </c>
      <c r="M263" s="3" t="str">
        <f t="shared" si="33"/>
        <v/>
      </c>
      <c r="N263" s="3" t="str">
        <f t="shared" si="33"/>
        <v/>
      </c>
      <c r="O263" s="3" t="str">
        <f t="shared" si="33"/>
        <v/>
      </c>
      <c r="P263" s="3" t="str">
        <f t="shared" si="33"/>
        <v/>
      </c>
      <c r="Q263" s="3" t="str">
        <f t="shared" si="33"/>
        <v/>
      </c>
      <c r="R263" s="3" t="str">
        <f t="shared" si="33"/>
        <v/>
      </c>
      <c r="S263" s="3" t="str">
        <f t="shared" si="33"/>
        <v/>
      </c>
      <c r="T263" s="3" t="str">
        <f t="shared" si="33"/>
        <v/>
      </c>
      <c r="U263" s="3" t="str">
        <f t="shared" si="33"/>
        <v/>
      </c>
      <c r="V263" s="3" t="str">
        <f t="shared" si="33"/>
        <v/>
      </c>
      <c r="W263" s="3" t="str">
        <f t="shared" si="33"/>
        <v/>
      </c>
      <c r="X263" s="3" t="str">
        <f t="shared" si="33"/>
        <v/>
      </c>
      <c r="Y263" s="3" t="str">
        <f t="shared" si="33"/>
        <v/>
      </c>
      <c r="Z263" s="3" t="str">
        <f t="shared" si="33"/>
        <v/>
      </c>
      <c r="AA263" s="3" t="str">
        <f t="shared" si="33"/>
        <v/>
      </c>
      <c r="AB263" s="3" t="str">
        <f t="shared" si="33"/>
        <v/>
      </c>
      <c r="AC263" s="3" t="str">
        <f t="shared" si="33"/>
        <v/>
      </c>
      <c r="AD263" s="3" t="str">
        <f t="shared" si="33"/>
        <v/>
      </c>
      <c r="AE263" s="3" t="str">
        <f t="shared" si="33"/>
        <v/>
      </c>
      <c r="AF263" s="3" t="str">
        <f t="shared" si="33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77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76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AE11:AF11 B16:X16 B20:X22 R15:X15 Z11:AB22 AE16:AF16 B23:AF23 C103:AF108">
    <cfRule type="expression" dxfId="3638" priority="272">
      <formula>B$9&gt;=20/24</formula>
    </cfRule>
    <cfRule type="expression" dxfId="3637" priority="273">
      <formula>AND(B$9&gt;=14/24,B$9&lt;20/24)</formula>
    </cfRule>
    <cfRule type="expression" dxfId="3636" priority="274">
      <formula>AND(B$9&gt;=8/24,B$9&lt;14/24)</formula>
    </cfRule>
    <cfRule type="expression" dxfId="3635" priority="275">
      <formula>B$9&lt;8/24</formula>
    </cfRule>
  </conditionalFormatting>
  <conditionalFormatting sqref="AL4:AL6">
    <cfRule type="iconSet" priority="271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3634" priority="267">
      <formula>S$9&gt;=20/24</formula>
    </cfRule>
    <cfRule type="expression" dxfId="3633" priority="268">
      <formula>AND(S$9&gt;=14/24,S$9&lt;20/24)</formula>
    </cfRule>
    <cfRule type="expression" dxfId="3632" priority="269">
      <formula>AND(S$9&gt;=8/24,S$9&lt;14/24)</formula>
    </cfRule>
    <cfRule type="expression" dxfId="3631" priority="270">
      <formula>S$9&lt;8/24</formula>
    </cfRule>
  </conditionalFormatting>
  <conditionalFormatting sqref="AG57 B12:Q16 B23:AC23 R11:X16 B20:X22 B17:X18 Z11:AC22 AD11:AD23 B37:AF37 AE18:AF23 AE11:AF16 S39:AF39">
    <cfRule type="expression" dxfId="3630" priority="266">
      <formula>B11&gt;$AG11</formula>
    </cfRule>
  </conditionalFormatting>
  <conditionalFormatting sqref="A91:A101 A11:A14 A51:A78 A87:A89 A194:A224 A38:A49 A110:A181 A34:A35 A83:A85 A80:A81 A103:A105 A31:A32 A18:A29 A16">
    <cfRule type="expression" dxfId="3629" priority="265">
      <formula>$AH11=0</formula>
    </cfRule>
  </conditionalFormatting>
  <conditionalFormatting sqref="A106">
    <cfRule type="expression" dxfId="3628" priority="264">
      <formula>$AH106=0</formula>
    </cfRule>
  </conditionalFormatting>
  <conditionalFormatting sqref="AL35">
    <cfRule type="iconSet" priority="263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627" priority="262">
      <formula>$AH37=0</formula>
    </cfRule>
  </conditionalFormatting>
  <conditionalFormatting sqref="A90">
    <cfRule type="expression" dxfId="3626" priority="261">
      <formula>$AH90=0</formula>
    </cfRule>
  </conditionalFormatting>
  <conditionalFormatting sqref="A15">
    <cfRule type="expression" dxfId="3625" priority="260">
      <formula>$AH15=0</formula>
    </cfRule>
  </conditionalFormatting>
  <conditionalFormatting sqref="A188:A193">
    <cfRule type="expression" dxfId="3624" priority="259">
      <formula>$AH188=0</formula>
    </cfRule>
  </conditionalFormatting>
  <conditionalFormatting sqref="A182:A187">
    <cfRule type="expression" dxfId="3623" priority="258">
      <formula>$AH182=0</formula>
    </cfRule>
  </conditionalFormatting>
  <conditionalFormatting sqref="A50">
    <cfRule type="expression" dxfId="3622" priority="257">
      <formula>$AH50=0</formula>
    </cfRule>
  </conditionalFormatting>
  <conditionalFormatting sqref="A86">
    <cfRule type="expression" dxfId="3621" priority="256">
      <formula>$AH86=0</formula>
    </cfRule>
  </conditionalFormatting>
  <conditionalFormatting sqref="C91:W91 Y91:AF91">
    <cfRule type="expression" dxfId="3620" priority="252">
      <formula>C$9&gt;=20/24</formula>
    </cfRule>
    <cfRule type="expression" dxfId="3619" priority="253">
      <formula>AND(C$9&gt;=14/24,C$9&lt;20/24)</formula>
    </cfRule>
    <cfRule type="expression" dxfId="3618" priority="254">
      <formula>AND(C$9&gt;=8/24,C$9&lt;14/24)</formula>
    </cfRule>
    <cfRule type="expression" dxfId="3617" priority="255">
      <formula>C$9&lt;8/24</formula>
    </cfRule>
  </conditionalFormatting>
  <conditionalFormatting sqref="AL36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616" priority="278">
      <formula>C$9&gt;=20/24</formula>
    </cfRule>
    <cfRule type="expression" dxfId="3615" priority="279">
      <formula>AND(C$9&gt;=14/24,C$9&lt;20/24)</formula>
    </cfRule>
    <cfRule type="expression" dxfId="3614" priority="280">
      <formula>AND(C$9&gt;=8/24,C$9&lt;14/24)</formula>
    </cfRule>
    <cfRule type="expression" dxfId="3613" priority="281">
      <formula>C$9&lt;8/24</formula>
    </cfRule>
  </conditionalFormatting>
  <conditionalFormatting sqref="A225">
    <cfRule type="expression" dxfId="3612" priority="282">
      <formula>$AH225=0</formula>
    </cfRule>
  </conditionalFormatting>
  <conditionalFormatting sqref="AG237">
    <cfRule type="expression" dxfId="3611" priority="283">
      <formula>B$9&gt;=20/24</formula>
    </cfRule>
    <cfRule type="expression" dxfId="3610" priority="284">
      <formula>AND(B$9&gt;=14/24,B$9&lt;20/24)</formula>
    </cfRule>
    <cfRule type="expression" dxfId="3609" priority="285">
      <formula>AND(B$9&gt;=8/24,B$9&lt;14/24)</formula>
    </cfRule>
    <cfRule type="expression" dxfId="3608" priority="286">
      <formula>B$9&lt;8/24</formula>
    </cfRule>
  </conditionalFormatting>
  <conditionalFormatting sqref="S8">
    <cfRule type="expression" dxfId="3607" priority="247">
      <formula>U$9&gt;=20/24</formula>
    </cfRule>
    <cfRule type="expression" dxfId="3606" priority="248">
      <formula>AND(U$9&gt;=14/24,U$9&lt;20/24)</formula>
    </cfRule>
    <cfRule type="expression" dxfId="3605" priority="249">
      <formula>AND(U$9&gt;=8/24,U$9&lt;14/24)</formula>
    </cfRule>
    <cfRule type="expression" dxfId="3604" priority="250">
      <formula>U$9&lt;8/24</formula>
    </cfRule>
  </conditionalFormatting>
  <conditionalFormatting sqref="AB8">
    <cfRule type="expression" dxfId="3603" priority="243">
      <formula>AD$9&gt;=20/24</formula>
    </cfRule>
    <cfRule type="expression" dxfId="3602" priority="244">
      <formula>AND(AD$9&gt;=14/24,AD$9&lt;20/24)</formula>
    </cfRule>
    <cfRule type="expression" dxfId="3601" priority="245">
      <formula>AND(AD$9&gt;=8/24,AD$9&lt;14/24)</formula>
    </cfRule>
    <cfRule type="expression" dxfId="3600" priority="246">
      <formula>AD$9&lt;8/24</formula>
    </cfRule>
  </conditionalFormatting>
  <conditionalFormatting sqref="AH237:AX237">
    <cfRule type="expression" dxfId="3599" priority="287">
      <formula>AG$9&gt;=20/24</formula>
    </cfRule>
    <cfRule type="expression" dxfId="3598" priority="288">
      <formula>AND(AG$9&gt;=14/24,AG$9&lt;20/24)</formula>
    </cfRule>
    <cfRule type="expression" dxfId="3597" priority="289">
      <formula>AND(AG$9&gt;=8/24,AG$9&lt;14/24)</formula>
    </cfRule>
    <cfRule type="expression" dxfId="3596" priority="290">
      <formula>AG$9&lt;8/24</formula>
    </cfRule>
  </conditionalFormatting>
  <conditionalFormatting sqref="T237">
    <cfRule type="expression" dxfId="3595" priority="291">
      <formula>AX$9&gt;=20/24</formula>
    </cfRule>
    <cfRule type="expression" dxfId="3594" priority="292">
      <formula>AND(AX$9&gt;=14/24,AX$9&lt;20/24)</formula>
    </cfRule>
    <cfRule type="expression" dxfId="3593" priority="293">
      <formula>AND(AX$9&gt;=8/24,AX$9&lt;14/24)</formula>
    </cfRule>
    <cfRule type="expression" dxfId="3592" priority="294">
      <formula>AX$9&lt;8/24</formula>
    </cfRule>
  </conditionalFormatting>
  <conditionalFormatting sqref="A107:A108">
    <cfRule type="expression" dxfId="3591" priority="242">
      <formula>$AH107=0</formula>
    </cfRule>
  </conditionalFormatting>
  <conditionalFormatting sqref="M48:M49 E46:M47 N49:X49 Y46:AF47 Y63:AF63 AC38:AF38 E63:R63">
    <cfRule type="expression" dxfId="3590" priority="238">
      <formula>E$9&gt;=20/24</formula>
    </cfRule>
    <cfRule type="expression" dxfId="3589" priority="239">
      <formula>AND(E$9&gt;=14/24,E$9&lt;20/24)</formula>
    </cfRule>
    <cfRule type="expression" dxfId="3588" priority="240">
      <formula>AND(E$9&gt;=8/24,E$9&lt;14/24)</formula>
    </cfRule>
    <cfRule type="expression" dxfId="3587" priority="241">
      <formula>E$9&lt;8/24</formula>
    </cfRule>
  </conditionalFormatting>
  <conditionalFormatting sqref="E45:L45 Y45:AF45">
    <cfRule type="expression" dxfId="3586" priority="234">
      <formula>E$9&gt;=20/24</formula>
    </cfRule>
    <cfRule type="expression" dxfId="3585" priority="235">
      <formula>AND(E$9&gt;=14/24,E$9&lt;20/24)</formula>
    </cfRule>
    <cfRule type="expression" dxfId="3584" priority="236">
      <formula>AND(E$9&gt;=8/24,E$9&lt;14/24)</formula>
    </cfRule>
    <cfRule type="expression" dxfId="3583" priority="237">
      <formula>E$9&lt;8/24</formula>
    </cfRule>
  </conditionalFormatting>
  <conditionalFormatting sqref="M48:M49 K46:M47 K45:L45 E45:J47 N49:X49 Y45:AF47 AC38:AF38">
    <cfRule type="expression" dxfId="3582" priority="233">
      <formula>E38&gt;$AG38</formula>
    </cfRule>
  </conditionalFormatting>
  <conditionalFormatting sqref="C88:AF88 C78:AF78 L39:R39 R11:X14 D75:AF77 D92:W98 T38:AB38 AE12:AF14 S59:AF61 Y64:AF73 Y29:AF29 Y31:AF34 Y25:AF27 Y92:AF98 E64:R65">
    <cfRule type="expression" dxfId="3581" priority="229">
      <formula>C$9&gt;=20/24</formula>
    </cfRule>
    <cfRule type="expression" dxfId="3580" priority="230">
      <formula>AND(C$9&gt;=14/24,C$9&lt;20/24)</formula>
    </cfRule>
    <cfRule type="expression" dxfId="3579" priority="231">
      <formula>AND(C$9&gt;=8/24,C$9&lt;14/24)</formula>
    </cfRule>
    <cfRule type="expression" dxfId="3578" priority="232">
      <formula>C$9&lt;8/24</formula>
    </cfRule>
  </conditionalFormatting>
  <conditionalFormatting sqref="Y35:AF35">
    <cfRule type="expression" dxfId="3577" priority="225">
      <formula>Y$9&gt;=20/24</formula>
    </cfRule>
    <cfRule type="expression" dxfId="3576" priority="226">
      <formula>AND(Y$9&gt;=14/24,Y$9&lt;20/24)</formula>
    </cfRule>
    <cfRule type="expression" dxfId="3575" priority="227">
      <formula>AND(Y$9&gt;=8/24,Y$9&lt;14/24)</formula>
    </cfRule>
    <cfRule type="expression" dxfId="3574" priority="228">
      <formula>Y$9&lt;8/24</formula>
    </cfRule>
  </conditionalFormatting>
  <conditionalFormatting sqref="AE48:AF48 C57:AF57 L39:R39 E48:L48 R11:X11 T38:AB38 S59:AF61 Y31:AF35 Y25:AF29">
    <cfRule type="expression" dxfId="3573" priority="224">
      <formula>C11&gt;$AG11</formula>
    </cfRule>
  </conditionalFormatting>
  <conditionalFormatting sqref="Y37:AF37">
    <cfRule type="expression" dxfId="3572" priority="220">
      <formula>Y$9&gt;=20/24</formula>
    </cfRule>
    <cfRule type="expression" dxfId="3571" priority="221">
      <formula>AND(Y$9&gt;=14/24,Y$9&lt;20/24)</formula>
    </cfRule>
    <cfRule type="expression" dxfId="3570" priority="222">
      <formula>AND(Y$9&gt;=8/24,Y$9&lt;14/24)</formula>
    </cfRule>
    <cfRule type="expression" dxfId="3569" priority="223">
      <formula>Y$9&lt;8/24</formula>
    </cfRule>
  </conditionalFormatting>
  <conditionalFormatting sqref="AE15:AF15">
    <cfRule type="expression" dxfId="3568" priority="216">
      <formula>AE$9&gt;=20/24</formula>
    </cfRule>
    <cfRule type="expression" dxfId="3567" priority="217">
      <formula>AND(AE$9&gt;=14/24,AE$9&lt;20/24)</formula>
    </cfRule>
    <cfRule type="expression" dxfId="3566" priority="218">
      <formula>AND(AE$9&gt;=8/24,AE$9&lt;14/24)</formula>
    </cfRule>
    <cfRule type="expression" dxfId="3565" priority="219">
      <formula>AE$9&lt;8/24</formula>
    </cfRule>
  </conditionalFormatting>
  <conditionalFormatting sqref="Y36:AF36">
    <cfRule type="expression" dxfId="3564" priority="212">
      <formula>Y$9&gt;=20/24</formula>
    </cfRule>
    <cfRule type="expression" dxfId="3563" priority="213">
      <formula>AND(Y$9&gt;=14/24,Y$9&lt;20/24)</formula>
    </cfRule>
    <cfRule type="expression" dxfId="3562" priority="214">
      <formula>AND(Y$9&gt;=8/24,Y$9&lt;14/24)</formula>
    </cfRule>
    <cfRule type="expression" dxfId="3561" priority="215">
      <formula>Y$9&lt;8/24</formula>
    </cfRule>
  </conditionalFormatting>
  <conditionalFormatting sqref="Y36:AF36">
    <cfRule type="expression" dxfId="3560" priority="211">
      <formula>Y36&gt;$AG36</formula>
    </cfRule>
  </conditionalFormatting>
  <conditionalFormatting sqref="Y48:AD49 AE49:AF49">
    <cfRule type="expression" dxfId="3559" priority="207">
      <formula>Y$9&gt;=20/24</formula>
    </cfRule>
    <cfRule type="expression" dxfId="3558" priority="208">
      <formula>AND(Y$9&gt;=14/24,Y$9&lt;20/24)</formula>
    </cfRule>
    <cfRule type="expression" dxfId="3557" priority="209">
      <formula>AND(Y$9&gt;=8/24,Y$9&lt;14/24)</formula>
    </cfRule>
    <cfRule type="expression" dxfId="3556" priority="210">
      <formula>Y$9&lt;8/24</formula>
    </cfRule>
  </conditionalFormatting>
  <conditionalFormatting sqref="Y48:AD49 AE49:AF49">
    <cfRule type="expression" dxfId="3555" priority="206">
      <formula>Y48&gt;$AG48</formula>
    </cfRule>
  </conditionalFormatting>
  <conditionalFormatting sqref="M45:O45 N46:O48 P45:X48 Y50:AF51">
    <cfRule type="expression" dxfId="3554" priority="202">
      <formula>M$9&gt;=20/24</formula>
    </cfRule>
    <cfRule type="expression" dxfId="3553" priority="203">
      <formula>AND(M$9&gt;=14/24,M$9&lt;20/24)</formula>
    </cfRule>
    <cfRule type="expression" dxfId="3552" priority="204">
      <formula>AND(M$9&gt;=8/24,M$9&lt;14/24)</formula>
    </cfRule>
    <cfRule type="expression" dxfId="3551" priority="205">
      <formula>M$9&lt;8/24</formula>
    </cfRule>
  </conditionalFormatting>
  <conditionalFormatting sqref="M45:O45 N46:O48 P45:X48 Y50:AF51">
    <cfRule type="expression" dxfId="3550" priority="201">
      <formula>M45&gt;$AG45</formula>
    </cfRule>
  </conditionalFormatting>
  <conditionalFormatting sqref="Y28:AF28">
    <cfRule type="expression" dxfId="3549" priority="197">
      <formula>Y$9&gt;=20/24</formula>
    </cfRule>
    <cfRule type="expression" dxfId="3548" priority="198">
      <formula>AND(Y$9&gt;=14/24,Y$9&lt;20/24)</formula>
    </cfRule>
    <cfRule type="expression" dxfId="3547" priority="199">
      <formula>AND(Y$9&gt;=8/24,Y$9&lt;14/24)</formula>
    </cfRule>
    <cfRule type="expression" dxfId="3546" priority="200">
      <formula>Y$9&lt;8/24</formula>
    </cfRule>
  </conditionalFormatting>
  <conditionalFormatting sqref="D31:X31 Y24:AF24">
    <cfRule type="expression" dxfId="3545" priority="193">
      <formula>D$9&gt;=20/24</formula>
    </cfRule>
    <cfRule type="expression" dxfId="3544" priority="194">
      <formula>AND(D$9&gt;=14/24,D$9&lt;20/24)</formula>
    </cfRule>
    <cfRule type="expression" dxfId="3543" priority="195">
      <formula>AND(D$9&gt;=8/24,D$9&lt;14/24)</formula>
    </cfRule>
    <cfRule type="expression" dxfId="3542" priority="196">
      <formula>D$9&lt;8/24</formula>
    </cfRule>
  </conditionalFormatting>
  <conditionalFormatting sqref="D31:X31 Y24:AF24">
    <cfRule type="expression" dxfId="3541" priority="192">
      <formula>D24&gt;$AG24</formula>
    </cfRule>
  </conditionalFormatting>
  <conditionalFormatting sqref="B101 B80:AF80 B89:AF89 B103:B108 B11:Q11">
    <cfRule type="expression" dxfId="3540" priority="174">
      <formula>B$9&gt;=20/24</formula>
    </cfRule>
    <cfRule type="expression" dxfId="3539" priority="175">
      <formula>AND(B$9&gt;=14/24,B$9&lt;20/24)</formula>
    </cfRule>
    <cfRule type="expression" dxfId="3538" priority="176">
      <formula>AND(B$9&gt;=8/24,B$9&lt;14/24)</formula>
    </cfRule>
    <cfRule type="expression" dxfId="3537" priority="177">
      <formula>B$9&lt;8/24</formula>
    </cfRule>
  </conditionalFormatting>
  <conditionalFormatting sqref="B39:K39">
    <cfRule type="expression" dxfId="3536" priority="170">
      <formula>B$9&gt;=20/24</formula>
    </cfRule>
    <cfRule type="expression" dxfId="3535" priority="171">
      <formula>AND(B$9&gt;=14/24,B$9&lt;20/24)</formula>
    </cfRule>
    <cfRule type="expression" dxfId="3534" priority="172">
      <formula>AND(B$9&gt;=8/24,B$9&lt;14/24)</formula>
    </cfRule>
    <cfRule type="expression" dxfId="3533" priority="173">
      <formula>B$9&lt;8/24</formula>
    </cfRule>
  </conditionalFormatting>
  <conditionalFormatting sqref="B39:K39 B11:Q11">
    <cfRule type="expression" dxfId="3532" priority="169">
      <formula>B11&gt;$AG11</formula>
    </cfRule>
  </conditionalFormatting>
  <conditionalFormatting sqref="B91">
    <cfRule type="expression" dxfId="3531" priority="165">
      <formula>B$9&gt;=20/24</formula>
    </cfRule>
    <cfRule type="expression" dxfId="3530" priority="166">
      <formula>AND(B$9&gt;=14/24,B$9&lt;20/24)</formula>
    </cfRule>
    <cfRule type="expression" dxfId="3529" priority="167">
      <formula>AND(B$9&gt;=8/24,B$9&lt;14/24)</formula>
    </cfRule>
    <cfRule type="expression" dxfId="3528" priority="168">
      <formula>B$9&lt;8/24</formula>
    </cfRule>
  </conditionalFormatting>
  <conditionalFormatting sqref="B63:D63 B38:S38 B46:D47">
    <cfRule type="expression" dxfId="3527" priority="161">
      <formula>B$9&gt;=20/24</formula>
    </cfRule>
    <cfRule type="expression" dxfId="3526" priority="162">
      <formula>AND(B$9&gt;=14/24,B$9&lt;20/24)</formula>
    </cfRule>
    <cfRule type="expression" dxfId="3525" priority="163">
      <formula>AND(B$9&gt;=8/24,B$9&lt;14/24)</formula>
    </cfRule>
    <cfRule type="expression" dxfId="3524" priority="164">
      <formula>B$9&lt;8/24</formula>
    </cfRule>
  </conditionalFormatting>
  <conditionalFormatting sqref="B45:D45">
    <cfRule type="expression" dxfId="3523" priority="157">
      <formula>B$9&gt;=20/24</formula>
    </cfRule>
    <cfRule type="expression" dxfId="3522" priority="158">
      <formula>AND(B$9&gt;=14/24,B$9&lt;20/24)</formula>
    </cfRule>
    <cfRule type="expression" dxfId="3521" priority="159">
      <formula>AND(B$9&gt;=8/24,B$9&lt;14/24)</formula>
    </cfRule>
    <cfRule type="expression" dxfId="3520" priority="160">
      <formula>B$9&lt;8/24</formula>
    </cfRule>
  </conditionalFormatting>
  <conditionalFormatting sqref="B38:S38 B45:D47">
    <cfRule type="expression" dxfId="3519" priority="156">
      <formula>B38&gt;$AG38</formula>
    </cfRule>
  </conditionalFormatting>
  <conditionalFormatting sqref="B75:B79 B81:AF81 B88 D62:AG62 C79:AG79 B90:AF90 B92:C98 B64:D73 B31:C34 B59:C62 C75:C77 B12:Q14 D59:R61 B25:X27 B29:X29 D32:X34 B18:X18 E66:R73">
    <cfRule type="expression" dxfId="3518" priority="152">
      <formula>B$9&gt;=20/24</formula>
    </cfRule>
    <cfRule type="expression" dxfId="3517" priority="153">
      <formula>AND(B$9&gt;=14/24,B$9&lt;20/24)</formula>
    </cfRule>
    <cfRule type="expression" dxfId="3516" priority="154">
      <formula>AND(B$9&gt;=8/24,B$9&lt;14/24)</formula>
    </cfRule>
    <cfRule type="expression" dxfId="3515" priority="155">
      <formula>B$9&lt;8/24</formula>
    </cfRule>
  </conditionalFormatting>
  <conditionalFormatting sqref="B35:X35">
    <cfRule type="expression" dxfId="3514" priority="148">
      <formula>B$9&gt;=20/24</formula>
    </cfRule>
    <cfRule type="expression" dxfId="3513" priority="149">
      <formula>AND(B$9&gt;=14/24,B$9&lt;20/24)</formula>
    </cfRule>
    <cfRule type="expression" dxfId="3512" priority="150">
      <formula>AND(B$9&gt;=8/24,B$9&lt;14/24)</formula>
    </cfRule>
    <cfRule type="expression" dxfId="3511" priority="151">
      <formula>B$9&lt;8/24</formula>
    </cfRule>
  </conditionalFormatting>
  <conditionalFormatting sqref="B57:B62 B40:AG40 C58:AG58 D62:AG62 B31:C35 B48:D49 C59:C62 E49:L49 D59:R61 B25:X29 D32:X35">
    <cfRule type="expression" dxfId="3510" priority="147">
      <formula>B25&gt;$AG25</formula>
    </cfRule>
  </conditionalFormatting>
  <conditionalFormatting sqref="B37:X37">
    <cfRule type="expression" dxfId="3509" priority="143">
      <formula>B$9&gt;=20/24</formula>
    </cfRule>
    <cfRule type="expression" dxfId="3508" priority="144">
      <formula>AND(B$9&gt;=14/24,B$9&lt;20/24)</formula>
    </cfRule>
    <cfRule type="expression" dxfId="3507" priority="145">
      <formula>AND(B$9&gt;=8/24,B$9&lt;14/24)</formula>
    </cfRule>
    <cfRule type="expression" dxfId="3506" priority="146">
      <formula>B$9&lt;8/24</formula>
    </cfRule>
  </conditionalFormatting>
  <conditionalFormatting sqref="B15:Q15">
    <cfRule type="expression" dxfId="3505" priority="139">
      <formula>B$9&gt;=20/24</formula>
    </cfRule>
    <cfRule type="expression" dxfId="3504" priority="140">
      <formula>AND(B$9&gt;=14/24,B$9&lt;20/24)</formula>
    </cfRule>
    <cfRule type="expression" dxfId="3503" priority="141">
      <formula>AND(B$9&gt;=8/24,B$9&lt;14/24)</formula>
    </cfRule>
    <cfRule type="expression" dxfId="3502" priority="142">
      <formula>B$9&lt;8/24</formula>
    </cfRule>
  </conditionalFormatting>
  <conditionalFormatting sqref="B36:X36">
    <cfRule type="expression" dxfId="3501" priority="135">
      <formula>B$9&gt;=20/24</formula>
    </cfRule>
    <cfRule type="expression" dxfId="3500" priority="136">
      <formula>AND(B$9&gt;=14/24,B$9&lt;20/24)</formula>
    </cfRule>
    <cfRule type="expression" dxfId="3499" priority="137">
      <formula>AND(B$9&gt;=8/24,B$9&lt;14/24)</formula>
    </cfRule>
    <cfRule type="expression" dxfId="3498" priority="138">
      <formula>B$9&lt;8/24</formula>
    </cfRule>
  </conditionalFormatting>
  <conditionalFormatting sqref="B36:X36">
    <cfRule type="expression" dxfId="3497" priority="134">
      <formula>B36&gt;$AG36</formula>
    </cfRule>
  </conditionalFormatting>
  <conditionalFormatting sqref="B50:X56">
    <cfRule type="expression" dxfId="3496" priority="130">
      <formula>B$9&gt;=20/24</formula>
    </cfRule>
    <cfRule type="expression" dxfId="3495" priority="131">
      <formula>AND(B$9&gt;=14/24,B$9&lt;20/24)</formula>
    </cfRule>
    <cfRule type="expression" dxfId="3494" priority="132">
      <formula>AND(B$9&gt;=8/24,B$9&lt;14/24)</formula>
    </cfRule>
    <cfRule type="expression" dxfId="3493" priority="133">
      <formula>B$9&lt;8/24</formula>
    </cfRule>
  </conditionalFormatting>
  <conditionalFormatting sqref="B50:X56">
    <cfRule type="expression" dxfId="3492" priority="129">
      <formula>B50&gt;$AG50</formula>
    </cfRule>
  </conditionalFormatting>
  <conditionalFormatting sqref="B28:X28">
    <cfRule type="expression" dxfId="3491" priority="125">
      <formula>B$9&gt;=20/24</formula>
    </cfRule>
    <cfRule type="expression" dxfId="3490" priority="126">
      <formula>AND(B$9&gt;=14/24,B$9&lt;20/24)</formula>
    </cfRule>
    <cfRule type="expression" dxfId="3489" priority="127">
      <formula>AND(B$9&gt;=8/24,B$9&lt;14/24)</formula>
    </cfRule>
    <cfRule type="expression" dxfId="3488" priority="128">
      <formula>B$9&lt;8/24</formula>
    </cfRule>
  </conditionalFormatting>
  <conditionalFormatting sqref="B19:X19 B24:X24">
    <cfRule type="expression" dxfId="3487" priority="121">
      <formula>B$9&gt;=20/24</formula>
    </cfRule>
    <cfRule type="expression" dxfId="3486" priority="122">
      <formula>AND(B$9&gt;=14/24,B$9&lt;20/24)</formula>
    </cfRule>
    <cfRule type="expression" dxfId="3485" priority="123">
      <formula>AND(B$9&gt;=8/24,B$9&lt;14/24)</formula>
    </cfRule>
    <cfRule type="expression" dxfId="3484" priority="124">
      <formula>B$9&lt;8/24</formula>
    </cfRule>
  </conditionalFormatting>
  <conditionalFormatting sqref="B19:X19 B24:X24">
    <cfRule type="expression" dxfId="3483" priority="120">
      <formula>B19&gt;$AG19</formula>
    </cfRule>
  </conditionalFormatting>
  <conditionalFormatting sqref="A36">
    <cfRule type="expression" dxfId="3482" priority="119">
      <formula>$AH36=0</formula>
    </cfRule>
  </conditionalFormatting>
  <conditionalFormatting sqref="B74:AF74">
    <cfRule type="expression" dxfId="3481" priority="115">
      <formula>B$9&gt;=20/24</formula>
    </cfRule>
    <cfRule type="expression" dxfId="3480" priority="116">
      <formula>AND(B$9&gt;=14/24,B$9&lt;20/24)</formula>
    </cfRule>
    <cfRule type="expression" dxfId="3479" priority="117">
      <formula>AND(B$9&gt;=8/24,B$9&lt;14/24)</formula>
    </cfRule>
    <cfRule type="expression" dxfId="3478" priority="118">
      <formula>B$9&lt;8/24</formula>
    </cfRule>
  </conditionalFormatting>
  <conditionalFormatting sqref="B83:AF87">
    <cfRule type="expression" dxfId="3477" priority="111">
      <formula>B$9&gt;=20/24</formula>
    </cfRule>
    <cfRule type="expression" dxfId="3476" priority="112">
      <formula>AND(B$9&gt;=14/24,B$9&lt;20/24)</formula>
    </cfRule>
    <cfRule type="expression" dxfId="3475" priority="113">
      <formula>AND(B$9&gt;=8/24,B$9&lt;14/24)</formula>
    </cfRule>
    <cfRule type="expression" dxfId="3474" priority="114">
      <formula>B$9&lt;8/24</formula>
    </cfRule>
  </conditionalFormatting>
  <conditionalFormatting sqref="AL37 AL34 AL18:AL29 AL7:AL16 AL31:AL32">
    <cfRule type="iconSet" priority="295">
      <iconSet iconSet="3TrafficLights2" reverse="1">
        <cfvo type="percent" val="0"/>
        <cfvo type="num" val="1"/>
        <cfvo type="num" val="1"/>
      </iconSet>
    </cfRule>
  </conditionalFormatting>
  <conditionalFormatting sqref="C41:AF43">
    <cfRule type="expression" dxfId="3473" priority="107">
      <formula>C$9&gt;=20/24</formula>
    </cfRule>
    <cfRule type="expression" dxfId="3472" priority="108">
      <formula>AND(C$9&gt;=14/24,C$9&lt;20/24)</formula>
    </cfRule>
    <cfRule type="expression" dxfId="3471" priority="109">
      <formula>AND(C$9&gt;=8/24,C$9&lt;14/24)</formula>
    </cfRule>
    <cfRule type="expression" dxfId="3470" priority="110">
      <formula>C$9&lt;8/24</formula>
    </cfRule>
  </conditionalFormatting>
  <conditionalFormatting sqref="C41:AF43">
    <cfRule type="expression" dxfId="3469" priority="106">
      <formula>C41&gt;$AG41</formula>
    </cfRule>
  </conditionalFormatting>
  <conditionalFormatting sqref="B41:B44 C44:AG44">
    <cfRule type="expression" dxfId="3468" priority="102">
      <formula>B$9&gt;=20/24</formula>
    </cfRule>
    <cfRule type="expression" dxfId="3467" priority="103">
      <formula>AND(B$9&gt;=14/24,B$9&lt;20/24)</formula>
    </cfRule>
    <cfRule type="expression" dxfId="3466" priority="104">
      <formula>AND(B$9&gt;=8/24,B$9&lt;14/24)</formula>
    </cfRule>
    <cfRule type="expression" dxfId="3465" priority="105">
      <formula>B$9&lt;8/24</formula>
    </cfRule>
  </conditionalFormatting>
  <conditionalFormatting sqref="B41:B44 C44:AG44">
    <cfRule type="expression" dxfId="3464" priority="101">
      <formula>B41&gt;$AG41</formula>
    </cfRule>
  </conditionalFormatting>
  <conditionalFormatting sqref="C99:AF99">
    <cfRule type="expression" dxfId="3463" priority="97">
      <formula>C$9&gt;=20/24</formula>
    </cfRule>
    <cfRule type="expression" dxfId="3462" priority="98">
      <formula>AND(C$9&gt;=14/24,C$9&lt;20/24)</formula>
    </cfRule>
    <cfRule type="expression" dxfId="3461" priority="99">
      <formula>AND(C$9&gt;=8/24,C$9&lt;14/24)</formula>
    </cfRule>
    <cfRule type="expression" dxfId="3460" priority="100">
      <formula>C$9&lt;8/24</formula>
    </cfRule>
  </conditionalFormatting>
  <conditionalFormatting sqref="B99">
    <cfRule type="expression" dxfId="3459" priority="93">
      <formula>B$9&gt;=20/24</formula>
    </cfRule>
    <cfRule type="expression" dxfId="3458" priority="94">
      <formula>AND(B$9&gt;=14/24,B$9&lt;20/24)</formula>
    </cfRule>
    <cfRule type="expression" dxfId="3457" priority="95">
      <formula>AND(B$9&gt;=8/24,B$9&lt;14/24)</formula>
    </cfRule>
    <cfRule type="expression" dxfId="3456" priority="96">
      <formula>B$9&lt;8/24</formula>
    </cfRule>
  </conditionalFormatting>
  <conditionalFormatting sqref="AL33">
    <cfRule type="iconSet" priority="92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3455" priority="87">
      <formula>$AH33=0</formula>
    </cfRule>
  </conditionalFormatting>
  <conditionalFormatting sqref="A82">
    <cfRule type="expression" dxfId="3454" priority="85">
      <formula>$AH82=0</formula>
    </cfRule>
  </conditionalFormatting>
  <conditionalFormatting sqref="A79">
    <cfRule type="expression" dxfId="3453" priority="86">
      <formula>$AH79=0</formula>
    </cfRule>
  </conditionalFormatting>
  <conditionalFormatting sqref="A109">
    <cfRule type="expression" dxfId="3452" priority="76">
      <formula>$AH109=0</formula>
    </cfRule>
  </conditionalFormatting>
  <conditionalFormatting sqref="C102:AF102">
    <cfRule type="expression" dxfId="3451" priority="72">
      <formula>C$9&gt;=20/24</formula>
    </cfRule>
    <cfRule type="expression" dxfId="3450" priority="73">
      <formula>AND(C$9&gt;=14/24,C$9&lt;20/24)</formula>
    </cfRule>
    <cfRule type="expression" dxfId="3449" priority="74">
      <formula>AND(C$9&gt;=8/24,C$9&lt;14/24)</formula>
    </cfRule>
    <cfRule type="expression" dxfId="3448" priority="75">
      <formula>C$9&lt;8/24</formula>
    </cfRule>
  </conditionalFormatting>
  <conditionalFormatting sqref="A102">
    <cfRule type="expression" dxfId="3447" priority="71">
      <formula>$AH102=0</formula>
    </cfRule>
  </conditionalFormatting>
  <conditionalFormatting sqref="B102">
    <cfRule type="expression" dxfId="3446" priority="67">
      <formula>B$9&gt;=20/24</formula>
    </cfRule>
    <cfRule type="expression" dxfId="3445" priority="68">
      <formula>AND(B$9&gt;=14/24,B$9&lt;20/24)</formula>
    </cfRule>
    <cfRule type="expression" dxfId="3444" priority="69">
      <formula>AND(B$9&gt;=8/24,B$9&lt;14/24)</formula>
    </cfRule>
    <cfRule type="expression" dxfId="3443" priority="70">
      <formula>B$9&lt;8/24</formula>
    </cfRule>
  </conditionalFormatting>
  <conditionalFormatting sqref="Y52:AF56">
    <cfRule type="expression" dxfId="3442" priority="63">
      <formula>Y$9&gt;=20/24</formula>
    </cfRule>
    <cfRule type="expression" dxfId="3441" priority="64">
      <formula>AND(Y$9&gt;=14/24,Y$9&lt;20/24)</formula>
    </cfRule>
    <cfRule type="expression" dxfId="3440" priority="65">
      <formula>AND(Y$9&gt;=8/24,Y$9&lt;14/24)</formula>
    </cfRule>
    <cfRule type="expression" dxfId="3439" priority="66">
      <formula>Y$9&lt;8/24</formula>
    </cfRule>
  </conditionalFormatting>
  <conditionalFormatting sqref="Y52:AF56">
    <cfRule type="expression" dxfId="3438" priority="62">
      <formula>Y52&gt;$AG52</formula>
    </cfRule>
  </conditionalFormatting>
  <conditionalFormatting sqref="AE17:AF17">
    <cfRule type="expression" dxfId="3437" priority="60">
      <formula>AE17&gt;$AG17</formula>
    </cfRule>
  </conditionalFormatting>
  <conditionalFormatting sqref="A17">
    <cfRule type="expression" dxfId="3436" priority="59">
      <formula>$AH17=0</formula>
    </cfRule>
  </conditionalFormatting>
  <conditionalFormatting sqref="AE17:AF17">
    <cfRule type="expression" dxfId="3435" priority="55">
      <formula>AE$9&gt;=20/24</formula>
    </cfRule>
    <cfRule type="expression" dxfId="3434" priority="56">
      <formula>AND(AE$9&gt;=14/24,AE$9&lt;20/24)</formula>
    </cfRule>
    <cfRule type="expression" dxfId="3433" priority="57">
      <formula>AND(AE$9&gt;=8/24,AE$9&lt;14/24)</formula>
    </cfRule>
    <cfRule type="expression" dxfId="3432" priority="58">
      <formula>AE$9&lt;8/24</formula>
    </cfRule>
  </conditionalFormatting>
  <conditionalFormatting sqref="B17:X17">
    <cfRule type="expression" dxfId="3431" priority="51">
      <formula>B$9&gt;=20/24</formula>
    </cfRule>
    <cfRule type="expression" dxfId="3430" priority="52">
      <formula>AND(B$9&gt;=14/24,B$9&lt;20/24)</formula>
    </cfRule>
    <cfRule type="expression" dxfId="3429" priority="53">
      <formula>AND(B$9&gt;=8/24,B$9&lt;14/24)</formula>
    </cfRule>
    <cfRule type="expression" dxfId="3428" priority="54">
      <formula>B$9&lt;8/24</formula>
    </cfRule>
  </conditionalFormatting>
  <conditionalFormatting sqref="AL17">
    <cfRule type="iconSet" priority="61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3427" priority="49">
      <formula>$AH30=0</formula>
    </cfRule>
  </conditionalFormatting>
  <conditionalFormatting sqref="Y30:AF30">
    <cfRule type="expression" dxfId="3426" priority="45">
      <formula>Y$9&gt;=20/24</formula>
    </cfRule>
    <cfRule type="expression" dxfId="3425" priority="46">
      <formula>AND(Y$9&gt;=14/24,Y$9&lt;20/24)</formula>
    </cfRule>
    <cfRule type="expression" dxfId="3424" priority="47">
      <formula>AND(Y$9&gt;=8/24,Y$9&lt;14/24)</formula>
    </cfRule>
    <cfRule type="expression" dxfId="3423" priority="48">
      <formula>Y$9&lt;8/24</formula>
    </cfRule>
  </conditionalFormatting>
  <conditionalFormatting sqref="Y30:AF30">
    <cfRule type="expression" dxfId="3422" priority="44">
      <formula>Y30&gt;$AG30</formula>
    </cfRule>
  </conditionalFormatting>
  <conditionalFormatting sqref="D30:X30">
    <cfRule type="expression" dxfId="3421" priority="40">
      <formula>D$9&gt;=20/24</formula>
    </cfRule>
    <cfRule type="expression" dxfId="3420" priority="41">
      <formula>AND(D$9&gt;=14/24,D$9&lt;20/24)</formula>
    </cfRule>
    <cfRule type="expression" dxfId="3419" priority="42">
      <formula>AND(D$9&gt;=8/24,D$9&lt;14/24)</formula>
    </cfRule>
    <cfRule type="expression" dxfId="3418" priority="43">
      <formula>D$9&lt;8/24</formula>
    </cfRule>
  </conditionalFormatting>
  <conditionalFormatting sqref="D30:X30">
    <cfRule type="expression" dxfId="3417" priority="39">
      <formula>D30&gt;$AG30</formula>
    </cfRule>
  </conditionalFormatting>
  <conditionalFormatting sqref="B30:C30">
    <cfRule type="expression" dxfId="3416" priority="35">
      <formula>B$9&gt;=20/24</formula>
    </cfRule>
    <cfRule type="expression" dxfId="3415" priority="36">
      <formula>AND(B$9&gt;=14/24,B$9&lt;20/24)</formula>
    </cfRule>
    <cfRule type="expression" dxfId="3414" priority="37">
      <formula>AND(B$9&gt;=8/24,B$9&lt;14/24)</formula>
    </cfRule>
    <cfRule type="expression" dxfId="3413" priority="38">
      <formula>B$9&lt;8/24</formula>
    </cfRule>
  </conditionalFormatting>
  <conditionalFormatting sqref="B30:C30">
    <cfRule type="expression" dxfId="3412" priority="34">
      <formula>B30&gt;$AG30</formula>
    </cfRule>
  </conditionalFormatting>
  <conditionalFormatting sqref="AL30">
    <cfRule type="iconSet" priority="50">
      <iconSet iconSet="3TrafficLights2" reverse="1">
        <cfvo type="percent" val="0"/>
        <cfvo type="num" val="1"/>
        <cfvo type="num" val="1"/>
      </iconSet>
    </cfRule>
  </conditionalFormatting>
  <conditionalFormatting sqref="S63:X63">
    <cfRule type="expression" dxfId="3411" priority="30">
      <formula>S$9&gt;=20/24</formula>
    </cfRule>
    <cfRule type="expression" dxfId="3410" priority="31">
      <formula>AND(S$9&gt;=14/24,S$9&lt;20/24)</formula>
    </cfRule>
    <cfRule type="expression" dxfId="3409" priority="32">
      <formula>AND(S$9&gt;=8/24,S$9&lt;14/24)</formula>
    </cfRule>
    <cfRule type="expression" dxfId="3408" priority="33">
      <formula>S$9&lt;8/24</formula>
    </cfRule>
  </conditionalFormatting>
  <conditionalFormatting sqref="S64:X65">
    <cfRule type="expression" dxfId="3407" priority="26">
      <formula>S$9&gt;=20/24</formula>
    </cfRule>
    <cfRule type="expression" dxfId="3406" priority="27">
      <formula>AND(S$9&gt;=14/24,S$9&lt;20/24)</formula>
    </cfRule>
    <cfRule type="expression" dxfId="3405" priority="28">
      <formula>AND(S$9&gt;=8/24,S$9&lt;14/24)</formula>
    </cfRule>
    <cfRule type="expression" dxfId="3404" priority="29">
      <formula>S$9&lt;8/24</formula>
    </cfRule>
  </conditionalFormatting>
  <conditionalFormatting sqref="S66:X73">
    <cfRule type="expression" dxfId="3403" priority="22">
      <formula>S$9&gt;=20/24</formula>
    </cfRule>
    <cfRule type="expression" dxfId="3402" priority="23">
      <formula>AND(S$9&gt;=14/24,S$9&lt;20/24)</formula>
    </cfRule>
    <cfRule type="expression" dxfId="3401" priority="24">
      <formula>AND(S$9&gt;=8/24,S$9&lt;14/24)</formula>
    </cfRule>
    <cfRule type="expression" dxfId="3400" priority="25">
      <formula>S$9&lt;8/24</formula>
    </cfRule>
  </conditionalFormatting>
  <conditionalFormatting sqref="X91">
    <cfRule type="expression" dxfId="3399" priority="18">
      <formula>X$9&gt;=20/24</formula>
    </cfRule>
    <cfRule type="expression" dxfId="3398" priority="19">
      <formula>AND(X$9&gt;=14/24,X$9&lt;20/24)</formula>
    </cfRule>
    <cfRule type="expression" dxfId="3397" priority="20">
      <formula>AND(X$9&gt;=8/24,X$9&lt;14/24)</formula>
    </cfRule>
    <cfRule type="expression" dxfId="3396" priority="21">
      <formula>X$9&lt;8/24</formula>
    </cfRule>
  </conditionalFormatting>
  <conditionalFormatting sqref="X92:X98">
    <cfRule type="expression" dxfId="3395" priority="14">
      <formula>X$9&gt;=20/24</formula>
    </cfRule>
    <cfRule type="expression" dxfId="3394" priority="15">
      <formula>AND(X$9&gt;=14/24,X$9&lt;20/24)</formula>
    </cfRule>
    <cfRule type="expression" dxfId="3393" priority="16">
      <formula>AND(X$9&gt;=8/24,X$9&lt;14/24)</formula>
    </cfRule>
    <cfRule type="expression" dxfId="3392" priority="17">
      <formula>X$9&lt;8/24</formula>
    </cfRule>
  </conditionalFormatting>
  <conditionalFormatting sqref="AC11:AD22 AE18:AF22">
    <cfRule type="expression" dxfId="3391" priority="577">
      <formula>Y$9&gt;=20/24</formula>
    </cfRule>
    <cfRule type="expression" dxfId="3390" priority="578">
      <formula>AND(Y$9&gt;=14/24,Y$9&lt;20/24)</formula>
    </cfRule>
    <cfRule type="expression" dxfId="3389" priority="579">
      <formula>AND(Y$9&gt;=8/24,Y$9&lt;14/24)</formula>
    </cfRule>
    <cfRule type="expression" dxfId="3388" priority="580">
      <formula>Y$9&lt;8/24</formula>
    </cfRule>
  </conditionalFormatting>
  <conditionalFormatting sqref="Y11:Y22">
    <cfRule type="expression" dxfId="3387" priority="10">
      <formula>Y$9&gt;=20/24</formula>
    </cfRule>
    <cfRule type="expression" dxfId="3386" priority="11">
      <formula>AND(Y$9&gt;=14/24,Y$9&lt;20/24)</formula>
    </cfRule>
    <cfRule type="expression" dxfId="3385" priority="12">
      <formula>AND(Y$9&gt;=8/24,Y$9&lt;14/24)</formula>
    </cfRule>
    <cfRule type="expression" dxfId="3384" priority="13">
      <formula>Y$9&lt;8/24</formula>
    </cfRule>
  </conditionalFormatting>
  <conditionalFormatting sqref="Y11:Y22">
    <cfRule type="expression" dxfId="3383" priority="9">
      <formula>Y11&gt;$AG11</formula>
    </cfRule>
  </conditionalFormatting>
  <conditionalFormatting sqref="AC11:AD22 AE18:AF22">
    <cfRule type="expression" dxfId="3382" priority="5">
      <formula>AC$9&gt;=20/24</formula>
    </cfRule>
    <cfRule type="expression" dxfId="3381" priority="6">
      <formula>AND(AC$9&gt;=14/24,AC$9&lt;20/24)</formula>
    </cfRule>
    <cfRule type="expression" dxfId="3380" priority="7">
      <formula>AND(AC$9&gt;=8/24,AC$9&lt;14/24)</formula>
    </cfRule>
    <cfRule type="expression" dxfId="3379" priority="8">
      <formula>AC$9&lt;8/24</formula>
    </cfRule>
  </conditionalFormatting>
  <conditionalFormatting sqref="Y103">
    <cfRule type="expression" dxfId="3378" priority="1">
      <formula>Y$9&gt;=20/24</formula>
    </cfRule>
    <cfRule type="expression" dxfId="3377" priority="2">
      <formula>AND(Y$9&gt;=14/24,Y$9&lt;20/24)</formula>
    </cfRule>
    <cfRule type="expression" dxfId="3376" priority="3">
      <formula>AND(Y$9&gt;=8/24,Y$9&lt;14/24)</formula>
    </cfRule>
    <cfRule type="expression" dxfId="3375" priority="4">
      <formula>Y$9&lt;8/24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8" id="{BE3F3F5E-F5B1-4446-9AB8-717A1533AD86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89" id="{C598D0C6-EC19-41F5-BD60-79367A5E9FF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0" id="{BCD2A1C6-E749-43A9-81E2-571248B9317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1" id="{D7CFD20B-2517-453C-AF64-0800F5EEF33B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81" id="{090FE9C5-9341-4BF6-BE7B-11FA1E4DF7F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82" id="{EF22AE78-A4B2-4D69-9F55-737D8D49712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3" id="{5479E847-A5AF-433C-B742-E5A6F319040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4" id="{04F3D4E2-FC32-4177-929C-9981C3CA4D6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77" id="{7821F46E-4CC3-4181-A611-643EE654D3B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8" id="{56726221-14F5-4859-AE37-24424F6C8628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79" id="{E21F995A-7F73-45AC-8366-6C6CDD9B602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0" id="{CCA325BE-F772-41C8-B6EF-E337EA0EBDC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J270"/>
  <sheetViews>
    <sheetView zoomScale="90" zoomScaleNormal="90" workbookViewId="0">
      <pane xSplit="1" ySplit="10" topLeftCell="B23" activePane="bottomRight" state="frozen"/>
      <selection activeCell="AF88" sqref="AF88"/>
      <selection pane="topRight" activeCell="AF88" sqref="AF88"/>
      <selection pane="bottomLeft" activeCell="AF88" sqref="AF88"/>
      <selection pane="bottomRight" activeCell="J48" sqref="E48:J4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2079/06/24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31</v>
      </c>
      <c r="N5" s="148">
        <f t="shared" si="0"/>
        <v>10.4</v>
      </c>
      <c r="O5" s="148">
        <f t="shared" si="0"/>
        <v>15</v>
      </c>
      <c r="P5" s="148">
        <f t="shared" si="0"/>
        <v>21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11</v>
      </c>
      <c r="X5" s="148">
        <f t="shared" si="0"/>
        <v>13</v>
      </c>
      <c r="Y5" s="148">
        <f t="shared" si="0"/>
        <v>11.8</v>
      </c>
      <c r="Z5" s="148">
        <f t="shared" si="0"/>
        <v>10</v>
      </c>
      <c r="AA5" s="148">
        <f t="shared" si="0"/>
        <v>10</v>
      </c>
      <c r="AB5" s="148">
        <f t="shared" si="0"/>
        <v>10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B74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1535MW at 9:00hr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Load=1359</v>
      </c>
      <c r="B7" s="137">
        <f t="shared" ref="B7:AF7" si="1">B81</f>
        <v>1462.7399999999998</v>
      </c>
      <c r="C7" s="137">
        <f t="shared" si="1"/>
        <v>1463.74</v>
      </c>
      <c r="D7" s="137">
        <f t="shared" si="1"/>
        <v>1463.74</v>
      </c>
      <c r="E7" s="137">
        <f t="shared" si="1"/>
        <v>1409.74</v>
      </c>
      <c r="F7" s="137">
        <f t="shared" si="1"/>
        <v>1389.6399999999999</v>
      </c>
      <c r="G7" s="137">
        <f t="shared" si="1"/>
        <v>1370.94</v>
      </c>
      <c r="H7" s="137">
        <f t="shared" si="1"/>
        <v>1370.94</v>
      </c>
      <c r="I7" s="137">
        <f t="shared" si="1"/>
        <v>1370.94</v>
      </c>
      <c r="J7" s="137">
        <f t="shared" si="1"/>
        <v>1358.94</v>
      </c>
      <c r="K7" s="137">
        <f t="shared" si="1"/>
        <v>1435.44</v>
      </c>
      <c r="L7" s="137">
        <f t="shared" si="1"/>
        <v>1461.5400000000002</v>
      </c>
      <c r="M7" s="137">
        <f t="shared" si="1"/>
        <v>1525.6399999999999</v>
      </c>
      <c r="N7" s="137">
        <f t="shared" si="1"/>
        <v>1534.6399999999999</v>
      </c>
      <c r="O7" s="137">
        <f t="shared" si="1"/>
        <v>1504.04</v>
      </c>
      <c r="P7" s="137">
        <f t="shared" si="1"/>
        <v>1525.1399999999999</v>
      </c>
      <c r="Q7" s="137">
        <f t="shared" si="1"/>
        <v>1531.1399999999999</v>
      </c>
      <c r="R7" s="137">
        <f t="shared" si="1"/>
        <v>1510.1399999999999</v>
      </c>
      <c r="S7" s="137">
        <f t="shared" si="1"/>
        <v>1539.1399999999999</v>
      </c>
      <c r="T7" s="137">
        <f t="shared" si="1"/>
        <v>1515.04</v>
      </c>
      <c r="U7" s="137">
        <f t="shared" si="1"/>
        <v>1516.2400000000002</v>
      </c>
      <c r="V7" s="137">
        <f t="shared" si="1"/>
        <v>1527.2400000000002</v>
      </c>
      <c r="W7" s="137">
        <f t="shared" si="1"/>
        <v>1574.04</v>
      </c>
      <c r="X7" s="137">
        <f t="shared" si="1"/>
        <v>1664.74</v>
      </c>
      <c r="Y7" s="137">
        <f t="shared" si="1"/>
        <v>1676.8400000000001</v>
      </c>
      <c r="Z7" s="137">
        <f t="shared" si="1"/>
        <v>1675.64</v>
      </c>
      <c r="AA7" s="137">
        <f t="shared" si="1"/>
        <v>1673.14</v>
      </c>
      <c r="AB7" s="137">
        <f t="shared" si="1"/>
        <v>1677.14</v>
      </c>
      <c r="AC7" s="137">
        <f t="shared" si="1"/>
        <v>1628.84</v>
      </c>
      <c r="AD7" s="137">
        <f t="shared" si="1"/>
        <v>1576.6399999999999</v>
      </c>
      <c r="AE7" s="137">
        <f t="shared" si="1"/>
        <v>1495.6399999999999</v>
      </c>
      <c r="AF7" s="137">
        <f t="shared" si="1"/>
        <v>1477.04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40.6</v>
      </c>
      <c r="C11" s="105">
        <v>40.6</v>
      </c>
      <c r="D11" s="105">
        <v>40.6</v>
      </c>
      <c r="E11" s="105">
        <v>40.6</v>
      </c>
      <c r="F11" s="105">
        <v>40.6</v>
      </c>
      <c r="G11" s="105">
        <v>40.6</v>
      </c>
      <c r="H11" s="105">
        <v>40.6</v>
      </c>
      <c r="I11" s="105">
        <v>40.6</v>
      </c>
      <c r="J11" s="105">
        <v>40.6</v>
      </c>
      <c r="K11" s="105">
        <v>40.6</v>
      </c>
      <c r="L11" s="105">
        <v>40.6</v>
      </c>
      <c r="M11" s="105">
        <v>53.3</v>
      </c>
      <c r="N11" s="105">
        <v>53.3</v>
      </c>
      <c r="O11" s="105">
        <v>53.3</v>
      </c>
      <c r="P11" s="105">
        <v>53.3</v>
      </c>
      <c r="Q11" s="105">
        <v>53.3</v>
      </c>
      <c r="R11" s="105">
        <v>53.3</v>
      </c>
      <c r="S11" s="105">
        <v>53.3</v>
      </c>
      <c r="T11" s="105">
        <v>40.200000000000003</v>
      </c>
      <c r="U11" s="105">
        <v>40.200000000000003</v>
      </c>
      <c r="V11" s="105">
        <v>40.200000000000003</v>
      </c>
      <c r="W11" s="128">
        <v>53.3</v>
      </c>
      <c r="X11" s="128">
        <v>53.3</v>
      </c>
      <c r="Y11" s="128">
        <v>53.3</v>
      </c>
      <c r="Z11" s="128">
        <v>53.3</v>
      </c>
      <c r="AA11" s="128">
        <v>53.2</v>
      </c>
      <c r="AB11" s="128">
        <v>53.2</v>
      </c>
      <c r="AC11" s="128">
        <v>53.2</v>
      </c>
      <c r="AD11" s="128">
        <v>53.2</v>
      </c>
      <c r="AE11" s="128">
        <v>53.3</v>
      </c>
      <c r="AF11" s="128">
        <v>27.5</v>
      </c>
      <c r="AG11" s="127">
        <v>52.4</v>
      </c>
      <c r="AH11" s="20">
        <f>MAX(B11:AF11)</f>
        <v>53.3</v>
      </c>
      <c r="AI11" s="19">
        <f>MIN(B11:AF11)</f>
        <v>27.5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</v>
      </c>
      <c r="C12" s="105">
        <v>50</v>
      </c>
      <c r="D12" s="105">
        <v>50</v>
      </c>
      <c r="E12" s="105">
        <v>50</v>
      </c>
      <c r="F12" s="105">
        <v>50</v>
      </c>
      <c r="G12" s="105">
        <v>50.6</v>
      </c>
      <c r="H12" s="105">
        <v>50.6</v>
      </c>
      <c r="I12" s="105">
        <v>50.6</v>
      </c>
      <c r="J12" s="105">
        <v>50.6</v>
      </c>
      <c r="K12" s="105">
        <v>50.6</v>
      </c>
      <c r="L12" s="105">
        <v>50.6</v>
      </c>
      <c r="M12" s="105">
        <v>50.6</v>
      </c>
      <c r="N12" s="105">
        <v>50.6</v>
      </c>
      <c r="O12" s="105">
        <v>50.6</v>
      </c>
      <c r="P12" s="105">
        <v>50.6</v>
      </c>
      <c r="Q12" s="105">
        <v>50.6</v>
      </c>
      <c r="R12" s="105">
        <v>50.6</v>
      </c>
      <c r="S12" s="105">
        <v>50.6</v>
      </c>
      <c r="T12" s="105">
        <v>50.6</v>
      </c>
      <c r="U12" s="105">
        <v>50.6</v>
      </c>
      <c r="V12" s="105">
        <v>50.6</v>
      </c>
      <c r="W12" s="105">
        <v>50.5</v>
      </c>
      <c r="X12" s="105">
        <v>50.5</v>
      </c>
      <c r="Y12" s="105">
        <v>50.5</v>
      </c>
      <c r="Z12" s="105">
        <v>50.5</v>
      </c>
      <c r="AA12" s="105">
        <v>50.4</v>
      </c>
      <c r="AB12" s="105">
        <v>50.4</v>
      </c>
      <c r="AC12" s="105">
        <v>50.4</v>
      </c>
      <c r="AD12" s="105">
        <v>50.6</v>
      </c>
      <c r="AE12" s="105">
        <v>50.6</v>
      </c>
      <c r="AF12" s="105">
        <v>50.6</v>
      </c>
      <c r="AG12" s="126">
        <v>50</v>
      </c>
      <c r="AH12" s="20">
        <f t="shared" ref="AH12:AH75" si="2">MAX(B12:AF12)</f>
        <v>50.6</v>
      </c>
      <c r="AI12" s="19">
        <f t="shared" ref="AI12:AI75" si="3">MIN(B12:AF12)</f>
        <v>50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46</v>
      </c>
      <c r="C13" s="105">
        <v>46</v>
      </c>
      <c r="D13" s="105">
        <v>46</v>
      </c>
      <c r="E13" s="105">
        <v>46</v>
      </c>
      <c r="F13" s="105">
        <v>46</v>
      </c>
      <c r="G13" s="105">
        <v>46</v>
      </c>
      <c r="H13" s="105">
        <v>46</v>
      </c>
      <c r="I13" s="105">
        <v>46</v>
      </c>
      <c r="J13" s="105">
        <v>46</v>
      </c>
      <c r="K13" s="105">
        <v>46</v>
      </c>
      <c r="L13" s="105">
        <v>46</v>
      </c>
      <c r="M13" s="105">
        <v>46</v>
      </c>
      <c r="N13" s="105">
        <v>46</v>
      </c>
      <c r="O13" s="105">
        <v>46</v>
      </c>
      <c r="P13" s="105">
        <v>46</v>
      </c>
      <c r="Q13" s="105">
        <v>46</v>
      </c>
      <c r="R13" s="105">
        <v>46</v>
      </c>
      <c r="S13" s="105">
        <v>46</v>
      </c>
      <c r="T13" s="105">
        <v>46</v>
      </c>
      <c r="U13" s="105">
        <v>46</v>
      </c>
      <c r="V13" s="105">
        <v>46</v>
      </c>
      <c r="W13" s="105">
        <v>46</v>
      </c>
      <c r="X13" s="105">
        <v>46</v>
      </c>
      <c r="Y13" s="105">
        <v>46</v>
      </c>
      <c r="Z13" s="105">
        <v>46</v>
      </c>
      <c r="AA13" s="105">
        <v>46</v>
      </c>
      <c r="AB13" s="105">
        <v>46</v>
      </c>
      <c r="AC13" s="105">
        <v>46</v>
      </c>
      <c r="AD13" s="105">
        <v>46</v>
      </c>
      <c r="AE13" s="105">
        <v>46</v>
      </c>
      <c r="AF13" s="105">
        <v>36</v>
      </c>
      <c r="AG13" s="126">
        <v>45</v>
      </c>
      <c r="AH13" s="20">
        <f t="shared" si="2"/>
        <v>46</v>
      </c>
      <c r="AI13" s="19">
        <f t="shared" si="3"/>
        <v>36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25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24</v>
      </c>
      <c r="T14" s="105">
        <v>24</v>
      </c>
      <c r="U14" s="105">
        <v>24</v>
      </c>
      <c r="V14" s="105">
        <v>24</v>
      </c>
      <c r="W14" s="105">
        <v>24</v>
      </c>
      <c r="X14" s="105">
        <v>40</v>
      </c>
      <c r="Y14" s="105">
        <v>40</v>
      </c>
      <c r="Z14" s="105">
        <v>40</v>
      </c>
      <c r="AA14" s="105">
        <v>40</v>
      </c>
      <c r="AB14" s="105">
        <v>40</v>
      </c>
      <c r="AC14" s="105">
        <v>32</v>
      </c>
      <c r="AD14" s="105">
        <v>28</v>
      </c>
      <c r="AE14" s="105">
        <v>28</v>
      </c>
      <c r="AF14" s="105">
        <v>28</v>
      </c>
      <c r="AG14" s="126">
        <v>42</v>
      </c>
      <c r="AH14" s="20">
        <f t="shared" si="2"/>
        <v>40</v>
      </c>
      <c r="AI14" s="19">
        <f t="shared" si="3"/>
        <v>0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10.8</v>
      </c>
      <c r="M15" s="105">
        <v>10</v>
      </c>
      <c r="N15" s="105">
        <v>10</v>
      </c>
      <c r="O15" s="105">
        <v>0</v>
      </c>
      <c r="P15" s="105">
        <v>0</v>
      </c>
      <c r="Q15" s="105">
        <v>0</v>
      </c>
      <c r="R15" s="105">
        <v>0</v>
      </c>
      <c r="S15" s="105">
        <v>0</v>
      </c>
      <c r="T15" s="105">
        <v>0</v>
      </c>
      <c r="U15" s="105">
        <v>0</v>
      </c>
      <c r="V15" s="105">
        <v>0</v>
      </c>
      <c r="W15" s="105">
        <v>0</v>
      </c>
      <c r="X15" s="105">
        <v>24.9</v>
      </c>
      <c r="Y15" s="105">
        <v>30</v>
      </c>
      <c r="Z15" s="105">
        <v>30</v>
      </c>
      <c r="AA15" s="105">
        <v>30</v>
      </c>
      <c r="AB15" s="105">
        <v>30</v>
      </c>
      <c r="AC15" s="105">
        <v>20</v>
      </c>
      <c r="AD15" s="105">
        <v>10</v>
      </c>
      <c r="AE15" s="105">
        <v>0</v>
      </c>
      <c r="AF15" s="105">
        <v>0</v>
      </c>
      <c r="AG15" s="96">
        <v>30</v>
      </c>
      <c r="AH15" s="20">
        <f t="shared" si="2"/>
        <v>30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24</v>
      </c>
      <c r="C16" s="105">
        <v>24</v>
      </c>
      <c r="D16" s="105">
        <v>24</v>
      </c>
      <c r="E16" s="105">
        <v>24</v>
      </c>
      <c r="F16" s="105">
        <v>24</v>
      </c>
      <c r="G16" s="105">
        <v>24.7</v>
      </c>
      <c r="H16" s="105">
        <v>24.7</v>
      </c>
      <c r="I16" s="105">
        <v>24.7</v>
      </c>
      <c r="J16" s="105">
        <v>24.7</v>
      </c>
      <c r="K16" s="105">
        <v>24.7</v>
      </c>
      <c r="L16" s="105">
        <v>24.7</v>
      </c>
      <c r="M16" s="105">
        <v>33.200000000000003</v>
      </c>
      <c r="N16" s="105">
        <v>33.200000000000003</v>
      </c>
      <c r="O16" s="105">
        <v>33.200000000000003</v>
      </c>
      <c r="P16" s="105">
        <v>33.200000000000003</v>
      </c>
      <c r="Q16" s="105">
        <v>33.200000000000003</v>
      </c>
      <c r="R16" s="105">
        <v>33.200000000000003</v>
      </c>
      <c r="S16" s="105">
        <v>33.200000000000003</v>
      </c>
      <c r="T16" s="105">
        <v>33.200000000000003</v>
      </c>
      <c r="U16" s="105">
        <v>33.200000000000003</v>
      </c>
      <c r="V16" s="105">
        <v>33.200000000000003</v>
      </c>
      <c r="W16" s="105">
        <v>53.4</v>
      </c>
      <c r="X16" s="105">
        <v>53.4</v>
      </c>
      <c r="Y16" s="105">
        <v>53.4</v>
      </c>
      <c r="Z16" s="105">
        <v>53.4</v>
      </c>
      <c r="AA16" s="105">
        <v>53.4</v>
      </c>
      <c r="AB16" s="105">
        <v>53.4</v>
      </c>
      <c r="AC16" s="105">
        <v>24</v>
      </c>
      <c r="AD16" s="105">
        <v>24</v>
      </c>
      <c r="AE16" s="105">
        <v>10.9</v>
      </c>
      <c r="AF16" s="105">
        <v>10</v>
      </c>
      <c r="AG16" s="126">
        <v>24.2</v>
      </c>
      <c r="AH16" s="20">
        <f t="shared" si="2"/>
        <v>53.4</v>
      </c>
      <c r="AI16" s="19">
        <f t="shared" si="3"/>
        <v>10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0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5">
        <v>0</v>
      </c>
      <c r="O17" s="105">
        <v>0</v>
      </c>
      <c r="P17" s="105">
        <v>0</v>
      </c>
      <c r="Q17" s="105">
        <v>0</v>
      </c>
      <c r="R17" s="105">
        <v>0</v>
      </c>
      <c r="S17" s="105">
        <v>0</v>
      </c>
      <c r="T17" s="105">
        <v>0</v>
      </c>
      <c r="U17" s="105">
        <v>0</v>
      </c>
      <c r="V17" s="105">
        <v>0</v>
      </c>
      <c r="W17" s="105">
        <v>0</v>
      </c>
      <c r="X17" s="105">
        <v>20</v>
      </c>
      <c r="Y17" s="105">
        <v>20</v>
      </c>
      <c r="Z17" s="105">
        <v>20</v>
      </c>
      <c r="AA17" s="105">
        <v>20</v>
      </c>
      <c r="AB17" s="105">
        <v>20</v>
      </c>
      <c r="AC17" s="105">
        <v>20</v>
      </c>
      <c r="AD17" s="105">
        <v>10</v>
      </c>
      <c r="AE17" s="105">
        <v>0</v>
      </c>
      <c r="AF17" s="105">
        <v>0</v>
      </c>
      <c r="AG17" s="96">
        <v>30</v>
      </c>
      <c r="AH17" s="20">
        <f t="shared" si="2"/>
        <v>20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25.2</v>
      </c>
      <c r="C18" s="105">
        <v>7</v>
      </c>
      <c r="D18" s="105">
        <v>7</v>
      </c>
      <c r="E18" s="105">
        <v>7</v>
      </c>
      <c r="F18" s="105">
        <v>7</v>
      </c>
      <c r="G18" s="105">
        <v>7</v>
      </c>
      <c r="H18" s="105">
        <v>7</v>
      </c>
      <c r="I18" s="105">
        <v>7</v>
      </c>
      <c r="J18" s="105">
        <v>7</v>
      </c>
      <c r="K18" s="105">
        <v>7</v>
      </c>
      <c r="L18" s="105">
        <v>10.3</v>
      </c>
      <c r="M18" s="105">
        <v>10.5</v>
      </c>
      <c r="N18" s="105">
        <v>10.5</v>
      </c>
      <c r="O18" s="105">
        <v>10.5</v>
      </c>
      <c r="P18" s="105">
        <v>10.5</v>
      </c>
      <c r="Q18" s="105">
        <v>10.5</v>
      </c>
      <c r="R18" s="105">
        <v>10.5</v>
      </c>
      <c r="S18" s="105">
        <v>10.5</v>
      </c>
      <c r="T18" s="105">
        <v>10.5</v>
      </c>
      <c r="U18" s="105">
        <v>10.5</v>
      </c>
      <c r="V18" s="105">
        <v>10.5</v>
      </c>
      <c r="W18" s="105">
        <v>25.5</v>
      </c>
      <c r="X18" s="105">
        <v>25.5</v>
      </c>
      <c r="Y18" s="105">
        <v>25.5</v>
      </c>
      <c r="Z18" s="105">
        <v>25.5</v>
      </c>
      <c r="AA18" s="105">
        <v>25.5</v>
      </c>
      <c r="AB18" s="105">
        <v>25.5</v>
      </c>
      <c r="AC18" s="105">
        <v>25.5</v>
      </c>
      <c r="AD18" s="105">
        <v>25.5</v>
      </c>
      <c r="AE18" s="105">
        <v>20</v>
      </c>
      <c r="AF18" s="105">
        <v>20</v>
      </c>
      <c r="AG18" s="126">
        <v>25</v>
      </c>
      <c r="AH18" s="20">
        <f t="shared" si="2"/>
        <v>25.5</v>
      </c>
      <c r="AI18" s="19">
        <f t="shared" si="3"/>
        <v>7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0</v>
      </c>
      <c r="C19" s="105">
        <v>20</v>
      </c>
      <c r="D19" s="105">
        <v>20</v>
      </c>
      <c r="E19" s="105">
        <v>20</v>
      </c>
      <c r="F19" s="105">
        <v>20</v>
      </c>
      <c r="G19" s="105">
        <v>0</v>
      </c>
      <c r="H19" s="105">
        <v>0</v>
      </c>
      <c r="I19" s="105">
        <v>0</v>
      </c>
      <c r="J19" s="105">
        <v>0</v>
      </c>
      <c r="K19" s="105">
        <v>20</v>
      </c>
      <c r="L19" s="105">
        <v>20</v>
      </c>
      <c r="M19" s="105">
        <v>20</v>
      </c>
      <c r="N19" s="105">
        <v>20</v>
      </c>
      <c r="O19" s="105">
        <v>20</v>
      </c>
      <c r="P19" s="105">
        <v>20</v>
      </c>
      <c r="Q19" s="105">
        <v>20</v>
      </c>
      <c r="R19" s="105">
        <v>20</v>
      </c>
      <c r="S19" s="105">
        <v>20</v>
      </c>
      <c r="T19" s="105">
        <v>20</v>
      </c>
      <c r="U19" s="105">
        <v>20</v>
      </c>
      <c r="V19" s="105">
        <v>20</v>
      </c>
      <c r="W19" s="105">
        <v>20</v>
      </c>
      <c r="X19" s="105">
        <v>20</v>
      </c>
      <c r="Y19" s="105">
        <v>20</v>
      </c>
      <c r="Z19" s="105">
        <v>20</v>
      </c>
      <c r="AA19" s="105">
        <v>20</v>
      </c>
      <c r="AB19" s="105">
        <v>20</v>
      </c>
      <c r="AC19" s="105">
        <v>20</v>
      </c>
      <c r="AD19" s="105">
        <v>20</v>
      </c>
      <c r="AE19" s="105">
        <v>20</v>
      </c>
      <c r="AF19" s="105">
        <v>20</v>
      </c>
      <c r="AG19" s="126">
        <v>25</v>
      </c>
      <c r="AH19" s="20">
        <f t="shared" si="2"/>
        <v>20</v>
      </c>
      <c r="AI19" s="19">
        <f t="shared" si="3"/>
        <v>0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20</v>
      </c>
      <c r="C20" s="105">
        <v>20</v>
      </c>
      <c r="D20" s="105">
        <v>20</v>
      </c>
      <c r="E20" s="105">
        <v>20</v>
      </c>
      <c r="F20" s="105">
        <v>20</v>
      </c>
      <c r="G20" s="105">
        <v>20</v>
      </c>
      <c r="H20" s="105">
        <v>20</v>
      </c>
      <c r="I20" s="105">
        <v>20</v>
      </c>
      <c r="J20" s="105">
        <v>20</v>
      </c>
      <c r="K20" s="105">
        <v>20</v>
      </c>
      <c r="L20" s="105">
        <v>20</v>
      </c>
      <c r="M20" s="105">
        <v>20</v>
      </c>
      <c r="N20" s="105">
        <v>20</v>
      </c>
      <c r="O20" s="105">
        <v>20</v>
      </c>
      <c r="P20" s="105">
        <v>20</v>
      </c>
      <c r="Q20" s="105">
        <v>20</v>
      </c>
      <c r="R20" s="105">
        <v>20</v>
      </c>
      <c r="S20" s="105">
        <v>20</v>
      </c>
      <c r="T20" s="105">
        <v>20</v>
      </c>
      <c r="U20" s="105">
        <v>20</v>
      </c>
      <c r="V20" s="105">
        <v>20</v>
      </c>
      <c r="W20" s="105">
        <v>20</v>
      </c>
      <c r="X20" s="105">
        <v>20</v>
      </c>
      <c r="Y20" s="105">
        <v>20</v>
      </c>
      <c r="Z20" s="105">
        <v>20</v>
      </c>
      <c r="AA20" s="105">
        <v>20</v>
      </c>
      <c r="AB20" s="105">
        <v>20</v>
      </c>
      <c r="AC20" s="105">
        <v>20</v>
      </c>
      <c r="AD20" s="105">
        <v>20</v>
      </c>
      <c r="AE20" s="105">
        <v>20</v>
      </c>
      <c r="AF20" s="105">
        <v>15</v>
      </c>
      <c r="AG20" s="126">
        <v>25</v>
      </c>
      <c r="AH20" s="20">
        <f t="shared" si="2"/>
        <v>20</v>
      </c>
      <c r="AI20" s="19">
        <f t="shared" si="3"/>
        <v>15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18.5</v>
      </c>
      <c r="C21" s="105">
        <v>18.5</v>
      </c>
      <c r="D21" s="105">
        <v>18.5</v>
      </c>
      <c r="E21" s="105">
        <v>18.5</v>
      </c>
      <c r="F21" s="105">
        <v>18.5</v>
      </c>
      <c r="G21" s="105">
        <v>18.5</v>
      </c>
      <c r="H21" s="105">
        <v>18.5</v>
      </c>
      <c r="I21" s="105">
        <v>18.5</v>
      </c>
      <c r="J21" s="105">
        <v>18.5</v>
      </c>
      <c r="K21" s="105">
        <v>18.5</v>
      </c>
      <c r="L21" s="105">
        <v>18.5</v>
      </c>
      <c r="M21" s="105">
        <v>23.5</v>
      </c>
      <c r="N21" s="105">
        <v>23.5</v>
      </c>
      <c r="O21" s="105">
        <v>23.5</v>
      </c>
      <c r="P21" s="105">
        <v>23.5</v>
      </c>
      <c r="Q21" s="105">
        <v>23.5</v>
      </c>
      <c r="R21" s="105">
        <v>23.5</v>
      </c>
      <c r="S21" s="105">
        <v>23.5</v>
      </c>
      <c r="T21" s="105">
        <v>23.5</v>
      </c>
      <c r="U21" s="105">
        <v>23.5</v>
      </c>
      <c r="V21" s="105">
        <v>23.5</v>
      </c>
      <c r="W21" s="105">
        <v>23.8</v>
      </c>
      <c r="X21" s="105">
        <v>23.8</v>
      </c>
      <c r="Y21" s="105">
        <v>23.8</v>
      </c>
      <c r="Z21" s="105">
        <v>23.8</v>
      </c>
      <c r="AA21" s="105">
        <v>23.8</v>
      </c>
      <c r="AB21" s="105">
        <v>23.8</v>
      </c>
      <c r="AC21" s="105">
        <v>23.8</v>
      </c>
      <c r="AD21" s="105">
        <v>18.8</v>
      </c>
      <c r="AE21" s="105">
        <v>18.8</v>
      </c>
      <c r="AF21" s="105">
        <v>18.5</v>
      </c>
      <c r="AG21" s="126">
        <v>23.5</v>
      </c>
      <c r="AH21" s="20">
        <f t="shared" si="2"/>
        <v>23.8</v>
      </c>
      <c r="AI21" s="19">
        <f t="shared" si="3"/>
        <v>18.5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11</v>
      </c>
      <c r="C22" s="105">
        <v>11</v>
      </c>
      <c r="D22" s="105">
        <v>11</v>
      </c>
      <c r="E22" s="105">
        <v>11</v>
      </c>
      <c r="F22" s="105">
        <v>11</v>
      </c>
      <c r="G22" s="105">
        <v>11</v>
      </c>
      <c r="H22" s="105">
        <v>11</v>
      </c>
      <c r="I22" s="105">
        <v>11</v>
      </c>
      <c r="J22" s="105">
        <v>11</v>
      </c>
      <c r="K22" s="105">
        <v>11</v>
      </c>
      <c r="L22" s="105">
        <v>11</v>
      </c>
      <c r="M22" s="105">
        <v>11</v>
      </c>
      <c r="N22" s="105">
        <v>11</v>
      </c>
      <c r="O22" s="105">
        <v>11</v>
      </c>
      <c r="P22" s="105">
        <v>11</v>
      </c>
      <c r="Q22" s="105">
        <v>11</v>
      </c>
      <c r="R22" s="105">
        <v>11</v>
      </c>
      <c r="S22" s="105">
        <v>11</v>
      </c>
      <c r="T22" s="105">
        <v>11</v>
      </c>
      <c r="U22" s="105">
        <v>11</v>
      </c>
      <c r="V22" s="105">
        <v>11</v>
      </c>
      <c r="W22" s="105">
        <v>11</v>
      </c>
      <c r="X22" s="105">
        <v>11</v>
      </c>
      <c r="Y22" s="105">
        <v>11</v>
      </c>
      <c r="Z22" s="105">
        <v>11</v>
      </c>
      <c r="AA22" s="105">
        <v>11</v>
      </c>
      <c r="AB22" s="105">
        <v>11</v>
      </c>
      <c r="AC22" s="105">
        <v>11</v>
      </c>
      <c r="AD22" s="105">
        <v>11</v>
      </c>
      <c r="AE22" s="105">
        <v>11</v>
      </c>
      <c r="AF22" s="105">
        <v>12</v>
      </c>
      <c r="AG22" s="126">
        <v>22.2</v>
      </c>
      <c r="AH22" s="20">
        <f t="shared" si="2"/>
        <v>12</v>
      </c>
      <c r="AI22" s="19">
        <f t="shared" si="3"/>
        <v>11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18</v>
      </c>
      <c r="C23" s="105">
        <v>18</v>
      </c>
      <c r="D23" s="105">
        <v>18</v>
      </c>
      <c r="E23" s="105">
        <v>18</v>
      </c>
      <c r="F23" s="105">
        <v>18</v>
      </c>
      <c r="G23" s="105">
        <v>18</v>
      </c>
      <c r="H23" s="105">
        <v>18</v>
      </c>
      <c r="I23" s="105">
        <v>18</v>
      </c>
      <c r="J23" s="105">
        <v>18</v>
      </c>
      <c r="K23" s="105">
        <v>18</v>
      </c>
      <c r="L23" s="105">
        <v>18</v>
      </c>
      <c r="M23" s="105">
        <v>18</v>
      </c>
      <c r="N23" s="105">
        <v>18</v>
      </c>
      <c r="O23" s="105">
        <v>18</v>
      </c>
      <c r="P23" s="105">
        <v>18</v>
      </c>
      <c r="Q23" s="105">
        <v>18</v>
      </c>
      <c r="R23" s="105">
        <v>18</v>
      </c>
      <c r="S23" s="105">
        <v>18</v>
      </c>
      <c r="T23" s="105">
        <v>18</v>
      </c>
      <c r="U23" s="105">
        <v>18</v>
      </c>
      <c r="V23" s="105">
        <v>18</v>
      </c>
      <c r="W23" s="105">
        <v>18</v>
      </c>
      <c r="X23" s="105">
        <v>18</v>
      </c>
      <c r="Y23" s="105">
        <v>18</v>
      </c>
      <c r="Z23" s="105">
        <v>18</v>
      </c>
      <c r="AA23" s="105">
        <v>18</v>
      </c>
      <c r="AB23" s="105">
        <v>22</v>
      </c>
      <c r="AC23" s="105">
        <v>22</v>
      </c>
      <c r="AD23" s="105">
        <v>22</v>
      </c>
      <c r="AE23" s="105">
        <v>22</v>
      </c>
      <c r="AF23" s="105">
        <v>22</v>
      </c>
      <c r="AG23" s="126">
        <v>22.1</v>
      </c>
      <c r="AH23" s="20">
        <f t="shared" si="2"/>
        <v>22</v>
      </c>
      <c r="AI23" s="19">
        <f t="shared" si="3"/>
        <v>18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17</v>
      </c>
      <c r="C24" s="105">
        <v>17</v>
      </c>
      <c r="D24" s="105">
        <v>17</v>
      </c>
      <c r="E24" s="105">
        <v>17</v>
      </c>
      <c r="F24" s="105">
        <v>17</v>
      </c>
      <c r="G24" s="105">
        <v>17</v>
      </c>
      <c r="H24" s="105">
        <v>17</v>
      </c>
      <c r="I24" s="105">
        <v>17</v>
      </c>
      <c r="J24" s="105">
        <v>17</v>
      </c>
      <c r="K24" s="105">
        <v>17</v>
      </c>
      <c r="L24" s="105">
        <v>17</v>
      </c>
      <c r="M24" s="105">
        <v>17</v>
      </c>
      <c r="N24" s="105">
        <v>17</v>
      </c>
      <c r="O24" s="105">
        <v>17</v>
      </c>
      <c r="P24" s="105">
        <v>17</v>
      </c>
      <c r="Q24" s="105">
        <v>17</v>
      </c>
      <c r="R24" s="105">
        <v>17</v>
      </c>
      <c r="S24" s="105">
        <v>22</v>
      </c>
      <c r="T24" s="105">
        <v>22</v>
      </c>
      <c r="U24" s="105">
        <v>22</v>
      </c>
      <c r="V24" s="105">
        <v>22</v>
      </c>
      <c r="W24" s="105">
        <v>22</v>
      </c>
      <c r="X24" s="105">
        <v>22</v>
      </c>
      <c r="Y24" s="105">
        <v>22</v>
      </c>
      <c r="Z24" s="105">
        <v>22</v>
      </c>
      <c r="AA24" s="105">
        <v>22</v>
      </c>
      <c r="AB24" s="105">
        <v>22</v>
      </c>
      <c r="AC24" s="105">
        <v>22</v>
      </c>
      <c r="AD24" s="105">
        <v>22</v>
      </c>
      <c r="AE24" s="105">
        <v>18</v>
      </c>
      <c r="AF24" s="105">
        <v>15</v>
      </c>
      <c r="AG24" s="126">
        <v>22</v>
      </c>
      <c r="AH24" s="20">
        <f t="shared" si="2"/>
        <v>22</v>
      </c>
      <c r="AI24" s="19">
        <f t="shared" si="3"/>
        <v>15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22</v>
      </c>
      <c r="C25" s="105">
        <v>22</v>
      </c>
      <c r="D25" s="105">
        <v>22</v>
      </c>
      <c r="E25" s="105">
        <v>22</v>
      </c>
      <c r="F25" s="105">
        <v>22</v>
      </c>
      <c r="G25" s="105">
        <v>22</v>
      </c>
      <c r="H25" s="105">
        <v>22</v>
      </c>
      <c r="I25" s="105">
        <v>22</v>
      </c>
      <c r="J25" s="105">
        <v>22</v>
      </c>
      <c r="K25" s="105">
        <v>22</v>
      </c>
      <c r="L25" s="105">
        <v>22</v>
      </c>
      <c r="M25" s="105">
        <v>22</v>
      </c>
      <c r="N25" s="105">
        <v>22</v>
      </c>
      <c r="O25" s="105">
        <v>22</v>
      </c>
      <c r="P25" s="105">
        <v>22</v>
      </c>
      <c r="Q25" s="105">
        <v>22</v>
      </c>
      <c r="R25" s="105">
        <v>22</v>
      </c>
      <c r="S25" s="105">
        <v>22</v>
      </c>
      <c r="T25" s="105">
        <v>22</v>
      </c>
      <c r="U25" s="105">
        <v>22</v>
      </c>
      <c r="V25" s="105">
        <v>22</v>
      </c>
      <c r="W25" s="105">
        <v>22</v>
      </c>
      <c r="X25" s="105">
        <v>22</v>
      </c>
      <c r="Y25" s="105">
        <v>22</v>
      </c>
      <c r="Z25" s="105">
        <v>22</v>
      </c>
      <c r="AA25" s="105">
        <v>22</v>
      </c>
      <c r="AB25" s="105">
        <v>22</v>
      </c>
      <c r="AC25" s="105">
        <v>22</v>
      </c>
      <c r="AD25" s="105">
        <v>22.5</v>
      </c>
      <c r="AE25" s="105">
        <v>18</v>
      </c>
      <c r="AF25" s="105">
        <v>18</v>
      </c>
      <c r="AG25" s="126">
        <v>22</v>
      </c>
      <c r="AH25" s="20">
        <f t="shared" si="2"/>
        <v>22.5</v>
      </c>
      <c r="AI25" s="19">
        <f t="shared" si="3"/>
        <v>18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5">
        <v>0</v>
      </c>
      <c r="M26" s="105">
        <v>0</v>
      </c>
      <c r="N26" s="105">
        <v>0</v>
      </c>
      <c r="O26" s="105">
        <v>0</v>
      </c>
      <c r="P26" s="105">
        <v>0</v>
      </c>
      <c r="Q26" s="105">
        <v>0</v>
      </c>
      <c r="R26" s="105">
        <v>0</v>
      </c>
      <c r="S26" s="105">
        <v>0</v>
      </c>
      <c r="T26" s="105">
        <v>0</v>
      </c>
      <c r="U26" s="105">
        <v>0</v>
      </c>
      <c r="V26" s="105">
        <v>0</v>
      </c>
      <c r="W26" s="105">
        <v>5</v>
      </c>
      <c r="X26" s="105">
        <v>5</v>
      </c>
      <c r="Y26" s="105">
        <v>10</v>
      </c>
      <c r="Z26" s="105">
        <v>10</v>
      </c>
      <c r="AA26" s="105">
        <v>10</v>
      </c>
      <c r="AB26" s="105">
        <v>10</v>
      </c>
      <c r="AC26" s="105">
        <v>10</v>
      </c>
      <c r="AD26" s="105">
        <v>0</v>
      </c>
      <c r="AE26" s="105">
        <v>0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14.9</v>
      </c>
      <c r="C27" s="105">
        <v>14.9</v>
      </c>
      <c r="D27" s="105">
        <v>14.9</v>
      </c>
      <c r="E27" s="105">
        <v>14.9</v>
      </c>
      <c r="F27" s="105">
        <v>14.9</v>
      </c>
      <c r="G27" s="105">
        <v>14.9</v>
      </c>
      <c r="H27" s="105">
        <v>14.9</v>
      </c>
      <c r="I27" s="105">
        <v>14.9</v>
      </c>
      <c r="J27" s="105">
        <v>14.9</v>
      </c>
      <c r="K27" s="105">
        <v>14.9</v>
      </c>
      <c r="L27" s="105">
        <v>14.9</v>
      </c>
      <c r="M27" s="105">
        <v>14.9</v>
      </c>
      <c r="N27" s="105">
        <v>14.9</v>
      </c>
      <c r="O27" s="105">
        <v>14.9</v>
      </c>
      <c r="P27" s="105">
        <v>14.9</v>
      </c>
      <c r="Q27" s="105">
        <v>14.9</v>
      </c>
      <c r="R27" s="105">
        <v>14.9</v>
      </c>
      <c r="S27" s="105">
        <v>14.9</v>
      </c>
      <c r="T27" s="105">
        <v>14.9</v>
      </c>
      <c r="U27" s="105">
        <v>14.9</v>
      </c>
      <c r="V27" s="105">
        <v>14.9</v>
      </c>
      <c r="W27" s="105">
        <v>14.9</v>
      </c>
      <c r="X27" s="105">
        <v>14.9</v>
      </c>
      <c r="Y27" s="105">
        <v>14.9</v>
      </c>
      <c r="Z27" s="105">
        <v>14.9</v>
      </c>
      <c r="AA27" s="105">
        <v>14.9</v>
      </c>
      <c r="AB27" s="105">
        <v>14.9</v>
      </c>
      <c r="AC27" s="105">
        <v>14.9</v>
      </c>
      <c r="AD27" s="105">
        <v>15</v>
      </c>
      <c r="AE27" s="105">
        <v>15</v>
      </c>
      <c r="AF27" s="105">
        <v>14.9</v>
      </c>
      <c r="AG27" s="126">
        <v>14.9</v>
      </c>
      <c r="AH27" s="20">
        <f t="shared" si="2"/>
        <v>15</v>
      </c>
      <c r="AI27" s="19">
        <f t="shared" si="3"/>
        <v>14.9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0</v>
      </c>
      <c r="C28" s="105">
        <v>0</v>
      </c>
      <c r="D28" s="105">
        <v>0</v>
      </c>
      <c r="E28" s="105">
        <v>0</v>
      </c>
      <c r="F28" s="105">
        <v>0</v>
      </c>
      <c r="G28" s="105">
        <v>0</v>
      </c>
      <c r="H28" s="105">
        <v>0</v>
      </c>
      <c r="I28" s="105">
        <v>0</v>
      </c>
      <c r="J28" s="105">
        <v>0</v>
      </c>
      <c r="K28" s="105">
        <v>0</v>
      </c>
      <c r="L28" s="105">
        <v>0</v>
      </c>
      <c r="M28" s="105">
        <v>0</v>
      </c>
      <c r="N28" s="105">
        <v>0</v>
      </c>
      <c r="O28" s="105">
        <v>0</v>
      </c>
      <c r="P28" s="105">
        <v>0</v>
      </c>
      <c r="Q28" s="105">
        <v>0</v>
      </c>
      <c r="R28" s="105">
        <v>0</v>
      </c>
      <c r="S28" s="105">
        <v>0</v>
      </c>
      <c r="T28" s="105">
        <v>0</v>
      </c>
      <c r="U28" s="105">
        <v>0</v>
      </c>
      <c r="V28" s="105">
        <v>0</v>
      </c>
      <c r="W28" s="105">
        <v>0</v>
      </c>
      <c r="X28" s="105">
        <v>0</v>
      </c>
      <c r="Y28" s="105">
        <v>0</v>
      </c>
      <c r="Z28" s="105">
        <v>0</v>
      </c>
      <c r="AA28" s="105">
        <v>0</v>
      </c>
      <c r="AB28" s="105">
        <v>0</v>
      </c>
      <c r="AC28" s="105">
        <v>0</v>
      </c>
      <c r="AD28" s="105">
        <v>0</v>
      </c>
      <c r="AE28" s="105">
        <v>0</v>
      </c>
      <c r="AF28" s="105">
        <v>0</v>
      </c>
      <c r="AG28" s="126">
        <v>13.6</v>
      </c>
      <c r="AH28" s="20">
        <f t="shared" si="2"/>
        <v>0</v>
      </c>
      <c r="AI28" s="19">
        <f t="shared" si="3"/>
        <v>0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12</v>
      </c>
      <c r="C29" s="105">
        <v>12</v>
      </c>
      <c r="D29" s="105">
        <v>12</v>
      </c>
      <c r="E29" s="105">
        <v>12</v>
      </c>
      <c r="F29" s="105">
        <v>12</v>
      </c>
      <c r="G29" s="105">
        <v>12</v>
      </c>
      <c r="H29" s="105">
        <v>12</v>
      </c>
      <c r="I29" s="105">
        <v>12</v>
      </c>
      <c r="J29" s="105">
        <v>12</v>
      </c>
      <c r="K29" s="105">
        <v>12</v>
      </c>
      <c r="L29" s="105">
        <v>12</v>
      </c>
      <c r="M29" s="105">
        <v>12</v>
      </c>
      <c r="N29" s="105">
        <v>12</v>
      </c>
      <c r="O29" s="105">
        <v>12</v>
      </c>
      <c r="P29" s="105">
        <v>6</v>
      </c>
      <c r="Q29" s="105">
        <v>6</v>
      </c>
      <c r="R29" s="105">
        <v>6</v>
      </c>
      <c r="S29" s="105">
        <v>6</v>
      </c>
      <c r="T29" s="105">
        <v>6</v>
      </c>
      <c r="U29" s="105">
        <v>6</v>
      </c>
      <c r="V29" s="105">
        <v>6</v>
      </c>
      <c r="W29" s="105">
        <v>6</v>
      </c>
      <c r="X29" s="105">
        <v>6</v>
      </c>
      <c r="Y29" s="105">
        <v>6</v>
      </c>
      <c r="Z29" s="105">
        <v>6</v>
      </c>
      <c r="AA29" s="105">
        <v>6</v>
      </c>
      <c r="AB29" s="105">
        <v>6</v>
      </c>
      <c r="AC29" s="105">
        <v>6</v>
      </c>
      <c r="AD29" s="105">
        <v>6</v>
      </c>
      <c r="AE29" s="105">
        <v>6</v>
      </c>
      <c r="AF29" s="105">
        <v>6</v>
      </c>
      <c r="AG29" s="126">
        <v>13</v>
      </c>
      <c r="AH29" s="20">
        <f t="shared" si="2"/>
        <v>12</v>
      </c>
      <c r="AI29" s="19">
        <f t="shared" si="3"/>
        <v>6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0</v>
      </c>
      <c r="N30" s="105">
        <v>0</v>
      </c>
      <c r="O30" s="105">
        <v>0</v>
      </c>
      <c r="P30" s="105">
        <v>0</v>
      </c>
      <c r="Q30" s="105">
        <v>0</v>
      </c>
      <c r="R30" s="105">
        <v>0</v>
      </c>
      <c r="S30" s="105">
        <v>0</v>
      </c>
      <c r="T30" s="105">
        <v>0</v>
      </c>
      <c r="U30" s="105">
        <v>0</v>
      </c>
      <c r="V30" s="105">
        <v>0</v>
      </c>
      <c r="W30" s="105">
        <v>0</v>
      </c>
      <c r="X30" s="105">
        <v>12</v>
      </c>
      <c r="Y30" s="105">
        <v>12</v>
      </c>
      <c r="Z30" s="105">
        <v>12</v>
      </c>
      <c r="AA30" s="105">
        <v>12</v>
      </c>
      <c r="AB30" s="105">
        <v>12</v>
      </c>
      <c r="AC30" s="105">
        <v>12</v>
      </c>
      <c r="AD30" s="105">
        <v>8</v>
      </c>
      <c r="AE30" s="105">
        <v>0</v>
      </c>
      <c r="AF30" s="105">
        <v>0</v>
      </c>
      <c r="AG30" s="126">
        <v>12</v>
      </c>
      <c r="AH30" s="20">
        <f t="shared" si="2"/>
        <v>12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4</v>
      </c>
      <c r="C31" s="105">
        <v>4</v>
      </c>
      <c r="D31" s="105">
        <v>4</v>
      </c>
      <c r="E31" s="105">
        <v>4</v>
      </c>
      <c r="F31" s="105">
        <v>4</v>
      </c>
      <c r="G31" s="105">
        <v>4</v>
      </c>
      <c r="H31" s="105">
        <v>4</v>
      </c>
      <c r="I31" s="105">
        <v>4</v>
      </c>
      <c r="J31" s="105">
        <v>4</v>
      </c>
      <c r="K31" s="105">
        <v>4</v>
      </c>
      <c r="L31" s="105">
        <v>4</v>
      </c>
      <c r="M31" s="105">
        <v>4</v>
      </c>
      <c r="N31" s="105">
        <v>4</v>
      </c>
      <c r="O31" s="105">
        <v>4</v>
      </c>
      <c r="P31" s="105">
        <v>8</v>
      </c>
      <c r="Q31" s="105">
        <v>8</v>
      </c>
      <c r="R31" s="105">
        <v>8</v>
      </c>
      <c r="S31" s="105">
        <v>8</v>
      </c>
      <c r="T31" s="105">
        <v>8</v>
      </c>
      <c r="U31" s="105">
        <v>8</v>
      </c>
      <c r="V31" s="105">
        <v>8</v>
      </c>
      <c r="W31" s="105">
        <v>8</v>
      </c>
      <c r="X31" s="105">
        <v>8</v>
      </c>
      <c r="Y31" s="105">
        <v>8</v>
      </c>
      <c r="Z31" s="105">
        <v>8</v>
      </c>
      <c r="AA31" s="105">
        <v>8</v>
      </c>
      <c r="AB31" s="105">
        <v>8</v>
      </c>
      <c r="AC31" s="105">
        <v>8</v>
      </c>
      <c r="AD31" s="105">
        <v>8</v>
      </c>
      <c r="AE31" s="105">
        <v>8</v>
      </c>
      <c r="AF31" s="105">
        <v>8</v>
      </c>
      <c r="AG31" s="126">
        <v>12</v>
      </c>
      <c r="AH31" s="20">
        <f t="shared" si="2"/>
        <v>8</v>
      </c>
      <c r="AI31" s="19">
        <f t="shared" si="3"/>
        <v>4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0</v>
      </c>
      <c r="C32" s="105">
        <v>0</v>
      </c>
      <c r="D32" s="105">
        <v>0</v>
      </c>
      <c r="E32" s="105">
        <v>0</v>
      </c>
      <c r="F32" s="105">
        <v>0</v>
      </c>
      <c r="G32" s="105">
        <v>0</v>
      </c>
      <c r="H32" s="105">
        <v>0</v>
      </c>
      <c r="I32" s="105">
        <v>0</v>
      </c>
      <c r="J32" s="105">
        <v>0</v>
      </c>
      <c r="K32" s="105">
        <v>0</v>
      </c>
      <c r="L32" s="105">
        <v>0</v>
      </c>
      <c r="M32" s="105">
        <v>0</v>
      </c>
      <c r="N32" s="105">
        <v>0</v>
      </c>
      <c r="O32" s="105">
        <v>0</v>
      </c>
      <c r="P32" s="105">
        <v>0</v>
      </c>
      <c r="Q32" s="105">
        <v>0</v>
      </c>
      <c r="R32" s="105">
        <v>0</v>
      </c>
      <c r="S32" s="105">
        <v>0</v>
      </c>
      <c r="T32" s="105">
        <v>0</v>
      </c>
      <c r="U32" s="105">
        <v>0</v>
      </c>
      <c r="V32" s="105">
        <v>0</v>
      </c>
      <c r="W32" s="105">
        <v>0</v>
      </c>
      <c r="X32" s="105">
        <v>0</v>
      </c>
      <c r="Y32" s="105">
        <v>0</v>
      </c>
      <c r="Z32" s="105">
        <v>0</v>
      </c>
      <c r="AA32" s="105">
        <v>0</v>
      </c>
      <c r="AB32" s="105">
        <v>0</v>
      </c>
      <c r="AC32" s="105">
        <v>0</v>
      </c>
      <c r="AD32" s="105">
        <v>0</v>
      </c>
      <c r="AE32" s="105">
        <v>0</v>
      </c>
      <c r="AF32" s="105">
        <v>0</v>
      </c>
      <c r="AG32" s="126">
        <v>12</v>
      </c>
      <c r="AH32" s="20">
        <f t="shared" si="2"/>
        <v>0</v>
      </c>
      <c r="AI32" s="19">
        <f t="shared" si="3"/>
        <v>0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0</v>
      </c>
      <c r="C33" s="105">
        <v>0</v>
      </c>
      <c r="D33" s="105">
        <v>0</v>
      </c>
      <c r="E33" s="105">
        <v>0</v>
      </c>
      <c r="F33" s="105">
        <v>0</v>
      </c>
      <c r="G33" s="105">
        <v>0</v>
      </c>
      <c r="H33" s="105">
        <v>0</v>
      </c>
      <c r="I33" s="105">
        <v>0</v>
      </c>
      <c r="J33" s="105">
        <v>0</v>
      </c>
      <c r="K33" s="105">
        <v>0</v>
      </c>
      <c r="L33" s="105">
        <v>0</v>
      </c>
      <c r="M33" s="105">
        <v>0</v>
      </c>
      <c r="N33" s="105">
        <v>0</v>
      </c>
      <c r="O33" s="105">
        <v>0</v>
      </c>
      <c r="P33" s="105">
        <v>0</v>
      </c>
      <c r="Q33" s="105">
        <v>0</v>
      </c>
      <c r="R33" s="105">
        <v>0</v>
      </c>
      <c r="S33" s="105">
        <v>0</v>
      </c>
      <c r="T33" s="105">
        <v>0</v>
      </c>
      <c r="U33" s="105">
        <v>0</v>
      </c>
      <c r="V33" s="105">
        <v>0</v>
      </c>
      <c r="W33" s="105">
        <v>0</v>
      </c>
      <c r="X33" s="105">
        <v>0</v>
      </c>
      <c r="Y33" s="105">
        <v>0</v>
      </c>
      <c r="Z33" s="105">
        <v>0</v>
      </c>
      <c r="AA33" s="105">
        <v>0</v>
      </c>
      <c r="AB33" s="105">
        <v>0</v>
      </c>
      <c r="AC33" s="105">
        <v>0</v>
      </c>
      <c r="AD33" s="105">
        <v>0</v>
      </c>
      <c r="AE33" s="105">
        <v>0</v>
      </c>
      <c r="AF33" s="105">
        <v>0</v>
      </c>
      <c r="AG33" s="125">
        <v>22</v>
      </c>
      <c r="AH33" s="20">
        <f t="shared" si="2"/>
        <v>0</v>
      </c>
      <c r="AI33" s="19">
        <f t="shared" si="3"/>
        <v>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11</v>
      </c>
      <c r="C34" s="105">
        <v>11</v>
      </c>
      <c r="D34" s="105">
        <v>11</v>
      </c>
      <c r="E34" s="105">
        <v>11</v>
      </c>
      <c r="F34" s="105">
        <v>11</v>
      </c>
      <c r="G34" s="105">
        <v>11</v>
      </c>
      <c r="H34" s="105">
        <v>11</v>
      </c>
      <c r="I34" s="105">
        <v>11</v>
      </c>
      <c r="J34" s="105">
        <v>11</v>
      </c>
      <c r="K34" s="105">
        <v>11</v>
      </c>
      <c r="L34" s="105">
        <v>11</v>
      </c>
      <c r="M34" s="105">
        <v>11</v>
      </c>
      <c r="N34" s="105">
        <v>11</v>
      </c>
      <c r="O34" s="105">
        <v>11</v>
      </c>
      <c r="P34" s="105">
        <v>5</v>
      </c>
      <c r="Q34" s="105">
        <v>5</v>
      </c>
      <c r="R34" s="105">
        <v>5</v>
      </c>
      <c r="S34" s="105">
        <v>5</v>
      </c>
      <c r="T34" s="105">
        <v>5</v>
      </c>
      <c r="U34" s="105">
        <v>5</v>
      </c>
      <c r="V34" s="105">
        <v>5</v>
      </c>
      <c r="W34" s="105">
        <v>5</v>
      </c>
      <c r="X34" s="105">
        <v>5</v>
      </c>
      <c r="Y34" s="105">
        <v>5</v>
      </c>
      <c r="Z34" s="105">
        <v>5</v>
      </c>
      <c r="AA34" s="105">
        <v>5</v>
      </c>
      <c r="AB34" s="105">
        <v>5</v>
      </c>
      <c r="AC34" s="105">
        <v>5</v>
      </c>
      <c r="AD34" s="105">
        <v>5</v>
      </c>
      <c r="AE34" s="105">
        <v>5</v>
      </c>
      <c r="AF34" s="105">
        <v>5</v>
      </c>
      <c r="AG34" s="96">
        <v>11.88</v>
      </c>
      <c r="AH34" s="20">
        <f t="shared" si="2"/>
        <v>11</v>
      </c>
      <c r="AI34" s="19">
        <f t="shared" si="3"/>
        <v>5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>
        <v>11</v>
      </c>
      <c r="AG35" s="94">
        <v>11</v>
      </c>
      <c r="AH35" s="20">
        <f t="shared" si="2"/>
        <v>11</v>
      </c>
      <c r="AI35" s="19">
        <f t="shared" si="3"/>
        <v>11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10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Z36" s="105">
        <v>0</v>
      </c>
      <c r="AA36" s="105">
        <v>0</v>
      </c>
      <c r="AB36" s="105">
        <v>0</v>
      </c>
      <c r="AC36" s="105">
        <v>0</v>
      </c>
      <c r="AD36" s="105">
        <v>0</v>
      </c>
      <c r="AE36" s="105">
        <v>0</v>
      </c>
      <c r="AF36" s="105">
        <v>0</v>
      </c>
      <c r="AG36" s="94">
        <v>10</v>
      </c>
      <c r="AH36" s="20">
        <f t="shared" si="2"/>
        <v>10</v>
      </c>
      <c r="AI36" s="19">
        <f t="shared" si="3"/>
        <v>0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2</v>
      </c>
      <c r="N37" s="105">
        <v>2</v>
      </c>
      <c r="O37" s="105">
        <v>2</v>
      </c>
      <c r="P37" s="105">
        <v>2</v>
      </c>
      <c r="Q37" s="105">
        <v>2</v>
      </c>
      <c r="R37" s="105">
        <v>2</v>
      </c>
      <c r="S37" s="105">
        <v>2</v>
      </c>
      <c r="T37" s="105">
        <v>2</v>
      </c>
      <c r="U37" s="105">
        <v>2</v>
      </c>
      <c r="V37" s="105">
        <v>2</v>
      </c>
      <c r="W37" s="105">
        <v>2</v>
      </c>
      <c r="X37" s="105">
        <v>2</v>
      </c>
      <c r="Y37" s="105">
        <v>2</v>
      </c>
      <c r="Z37" s="105">
        <v>2</v>
      </c>
      <c r="AA37" s="105">
        <v>2</v>
      </c>
      <c r="AB37" s="105">
        <v>2</v>
      </c>
      <c r="AC37" s="105">
        <v>2</v>
      </c>
      <c r="AD37" s="105">
        <v>2</v>
      </c>
      <c r="AE37" s="105">
        <v>2</v>
      </c>
      <c r="AF37" s="105">
        <v>2</v>
      </c>
      <c r="AG37" s="94">
        <v>10</v>
      </c>
      <c r="AH37" s="20">
        <f t="shared" si="2"/>
        <v>2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v>139</v>
      </c>
      <c r="C39" s="119">
        <v>140</v>
      </c>
      <c r="D39" s="119">
        <v>140</v>
      </c>
      <c r="E39" s="119">
        <v>140</v>
      </c>
      <c r="F39" s="119">
        <v>140</v>
      </c>
      <c r="G39" s="119">
        <f>46.5+89.1</f>
        <v>135.6</v>
      </c>
      <c r="H39" s="119">
        <f>47.3+88.7</f>
        <v>136</v>
      </c>
      <c r="I39" s="119">
        <f>47.3+88.7</f>
        <v>136</v>
      </c>
      <c r="J39" s="119">
        <f t="shared" ref="J39:K39" si="4">47.3+88.7</f>
        <v>136</v>
      </c>
      <c r="K39" s="119">
        <f t="shared" si="4"/>
        <v>136</v>
      </c>
      <c r="L39" s="119">
        <f>75.3+91.9</f>
        <v>167.2</v>
      </c>
      <c r="M39" s="113">
        <f>64.4+88.1</f>
        <v>152.5</v>
      </c>
      <c r="N39" s="113">
        <v>183</v>
      </c>
      <c r="O39" s="113">
        <f>92.4+73.7</f>
        <v>166.10000000000002</v>
      </c>
      <c r="P39" s="113">
        <f>91.9+73.3</f>
        <v>165.2</v>
      </c>
      <c r="Q39" s="113">
        <f>94+76</f>
        <v>170</v>
      </c>
      <c r="R39" s="113">
        <f>97.3+75.2</f>
        <v>172.5</v>
      </c>
      <c r="S39" s="119">
        <f>97.1+75.2</f>
        <v>172.3</v>
      </c>
      <c r="T39" s="119">
        <f>97.1+75.2</f>
        <v>172.3</v>
      </c>
      <c r="U39" s="119">
        <f>75.3+95</f>
        <v>170.3</v>
      </c>
      <c r="V39" s="119">
        <f>75.3+94.6</f>
        <v>169.89999999999998</v>
      </c>
      <c r="W39" s="119">
        <f>63.3+93.7</f>
        <v>157</v>
      </c>
      <c r="X39" s="119">
        <f>82+96.9</f>
        <v>178.9</v>
      </c>
      <c r="Y39" s="119">
        <f>82.4+97.7</f>
        <v>180.10000000000002</v>
      </c>
      <c r="Z39" s="119">
        <f>83.2+98.4</f>
        <v>181.60000000000002</v>
      </c>
      <c r="AA39" s="119">
        <f>83.8+98.6</f>
        <v>182.39999999999998</v>
      </c>
      <c r="AB39" s="119">
        <v>182.39999999999998</v>
      </c>
      <c r="AC39" s="119">
        <v>182.39999999999998</v>
      </c>
      <c r="AD39" s="119">
        <v>138</v>
      </c>
      <c r="AE39" s="119">
        <v>138</v>
      </c>
      <c r="AF39" s="119">
        <v>142</v>
      </c>
      <c r="AG39" s="94">
        <v>240</v>
      </c>
      <c r="AH39" s="20">
        <f t="shared" si="2"/>
        <v>183</v>
      </c>
      <c r="AI39" s="19">
        <f t="shared" si="3"/>
        <v>135.6</v>
      </c>
      <c r="AK39" s="41"/>
    </row>
    <row r="40" spans="1:88" ht="15.75" thickBot="1" x14ac:dyDescent="0.3">
      <c r="A40" s="118" t="s">
        <v>195</v>
      </c>
      <c r="B40" s="86">
        <f t="shared" ref="B40:AG40" si="5">SUM(B11:B38)</f>
        <v>680.19999999999993</v>
      </c>
      <c r="C40" s="86">
        <f t="shared" si="5"/>
        <v>647</v>
      </c>
      <c r="D40" s="86">
        <f t="shared" si="5"/>
        <v>647</v>
      </c>
      <c r="E40" s="86">
        <f t="shared" si="5"/>
        <v>647</v>
      </c>
      <c r="F40" s="86">
        <f t="shared" si="5"/>
        <v>647</v>
      </c>
      <c r="G40" s="86">
        <f t="shared" si="5"/>
        <v>628.29999999999995</v>
      </c>
      <c r="H40" s="86">
        <f t="shared" si="5"/>
        <v>628.29999999999995</v>
      </c>
      <c r="I40" s="86">
        <f t="shared" si="5"/>
        <v>628.29999999999995</v>
      </c>
      <c r="J40" s="86">
        <f t="shared" si="5"/>
        <v>628.29999999999995</v>
      </c>
      <c r="K40" s="86">
        <f t="shared" si="5"/>
        <v>648.29999999999995</v>
      </c>
      <c r="L40" s="86">
        <f t="shared" si="5"/>
        <v>662.4</v>
      </c>
      <c r="M40" s="86">
        <f t="shared" si="5"/>
        <v>690</v>
      </c>
      <c r="N40" s="86">
        <f t="shared" si="5"/>
        <v>690</v>
      </c>
      <c r="O40" s="86">
        <f t="shared" si="5"/>
        <v>680</v>
      </c>
      <c r="P40" s="86">
        <f t="shared" si="5"/>
        <v>672</v>
      </c>
      <c r="Q40" s="86">
        <f t="shared" si="5"/>
        <v>672</v>
      </c>
      <c r="R40" s="86">
        <f t="shared" si="5"/>
        <v>672</v>
      </c>
      <c r="S40" s="86">
        <f t="shared" si="5"/>
        <v>701</v>
      </c>
      <c r="T40" s="86">
        <f t="shared" si="5"/>
        <v>687.9</v>
      </c>
      <c r="U40" s="86">
        <f t="shared" si="5"/>
        <v>687.9</v>
      </c>
      <c r="V40" s="86">
        <f t="shared" si="5"/>
        <v>687.9</v>
      </c>
      <c r="W40" s="86">
        <f t="shared" si="5"/>
        <v>741.40000000000009</v>
      </c>
      <c r="X40" s="86">
        <f t="shared" si="5"/>
        <v>814.3</v>
      </c>
      <c r="Y40" s="86">
        <f t="shared" si="5"/>
        <v>824.4</v>
      </c>
      <c r="Z40" s="86">
        <f t="shared" si="5"/>
        <v>824.4</v>
      </c>
      <c r="AA40" s="86">
        <f t="shared" si="5"/>
        <v>824.2</v>
      </c>
      <c r="AB40" s="86">
        <f t="shared" si="5"/>
        <v>828.2</v>
      </c>
      <c r="AC40" s="86">
        <f t="shared" si="5"/>
        <v>780.8</v>
      </c>
      <c r="AD40" s="86">
        <f t="shared" si="5"/>
        <v>738.6</v>
      </c>
      <c r="AE40" s="86">
        <f t="shared" si="5"/>
        <v>683.6</v>
      </c>
      <c r="AF40" s="86">
        <f t="shared" si="5"/>
        <v>639.5</v>
      </c>
      <c r="AG40" s="101">
        <f t="shared" si="5"/>
        <v>707.78000000000009</v>
      </c>
      <c r="AH40" s="20">
        <f t="shared" si="2"/>
        <v>828.2</v>
      </c>
      <c r="AI40" s="19">
        <f t="shared" si="3"/>
        <v>628.29999999999995</v>
      </c>
      <c r="AK40" s="41"/>
    </row>
    <row r="41" spans="1:88" x14ac:dyDescent="0.25">
      <c r="A41" s="117" t="s">
        <v>194</v>
      </c>
      <c r="B41" s="105">
        <v>456</v>
      </c>
      <c r="C41" s="105">
        <v>456</v>
      </c>
      <c r="D41" s="105">
        <v>456</v>
      </c>
      <c r="E41" s="105">
        <v>420</v>
      </c>
      <c r="F41" s="105">
        <v>420</v>
      </c>
      <c r="G41" s="105">
        <v>420</v>
      </c>
      <c r="H41" s="105">
        <v>420</v>
      </c>
      <c r="I41" s="105">
        <v>420</v>
      </c>
      <c r="J41" s="105">
        <v>420</v>
      </c>
      <c r="K41" s="105">
        <v>456</v>
      </c>
      <c r="L41" s="105">
        <v>456</v>
      </c>
      <c r="M41" s="105">
        <v>456</v>
      </c>
      <c r="N41" s="105">
        <v>430</v>
      </c>
      <c r="O41" s="105">
        <v>430</v>
      </c>
      <c r="P41" s="105">
        <v>456</v>
      </c>
      <c r="Q41" s="105">
        <v>456</v>
      </c>
      <c r="R41" s="105">
        <v>456</v>
      </c>
      <c r="S41" s="105">
        <v>456</v>
      </c>
      <c r="T41" s="105">
        <v>445</v>
      </c>
      <c r="U41" s="105">
        <v>445</v>
      </c>
      <c r="V41" s="105">
        <v>456</v>
      </c>
      <c r="W41" s="105">
        <v>456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456</v>
      </c>
      <c r="AD41" s="105">
        <v>456</v>
      </c>
      <c r="AE41" s="105">
        <v>430</v>
      </c>
      <c r="AF41" s="105">
        <v>456</v>
      </c>
      <c r="AG41" s="96">
        <v>456</v>
      </c>
      <c r="AH41" s="20">
        <f t="shared" si="2"/>
        <v>456</v>
      </c>
      <c r="AI41" s="19">
        <f t="shared" si="3"/>
        <v>420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>
        <v>60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>
        <v>22</v>
      </c>
      <c r="S43" s="107">
        <v>22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>
        <v>22</v>
      </c>
      <c r="AG43" s="106">
        <v>22.1</v>
      </c>
      <c r="AH43" s="20">
        <f t="shared" si="2"/>
        <v>22</v>
      </c>
      <c r="AI43" s="19">
        <f t="shared" si="3"/>
        <v>22</v>
      </c>
      <c r="AK43" s="41"/>
    </row>
    <row r="44" spans="1:88" ht="15.75" thickBot="1" x14ac:dyDescent="0.3">
      <c r="A44" s="114" t="s">
        <v>191</v>
      </c>
      <c r="B44" s="86">
        <f t="shared" ref="B44:AG44" si="6">SUM(B41:B43)</f>
        <v>538</v>
      </c>
      <c r="C44" s="86">
        <f t="shared" si="6"/>
        <v>538</v>
      </c>
      <c r="D44" s="86">
        <f t="shared" si="6"/>
        <v>538</v>
      </c>
      <c r="E44" s="86">
        <f t="shared" si="6"/>
        <v>502</v>
      </c>
      <c r="F44" s="86">
        <f t="shared" si="6"/>
        <v>502</v>
      </c>
      <c r="G44" s="86">
        <f t="shared" si="6"/>
        <v>502</v>
      </c>
      <c r="H44" s="86">
        <f t="shared" si="6"/>
        <v>502</v>
      </c>
      <c r="I44" s="86">
        <f t="shared" si="6"/>
        <v>502</v>
      </c>
      <c r="J44" s="86">
        <f t="shared" si="6"/>
        <v>502</v>
      </c>
      <c r="K44" s="86">
        <f t="shared" si="6"/>
        <v>538</v>
      </c>
      <c r="L44" s="86">
        <f t="shared" si="6"/>
        <v>538</v>
      </c>
      <c r="M44" s="86">
        <f t="shared" si="6"/>
        <v>538</v>
      </c>
      <c r="N44" s="86">
        <f t="shared" si="6"/>
        <v>512</v>
      </c>
      <c r="O44" s="86">
        <f t="shared" si="6"/>
        <v>512</v>
      </c>
      <c r="P44" s="86">
        <f t="shared" si="6"/>
        <v>538</v>
      </c>
      <c r="Q44" s="86">
        <f t="shared" si="6"/>
        <v>538</v>
      </c>
      <c r="R44" s="86">
        <f t="shared" si="6"/>
        <v>538</v>
      </c>
      <c r="S44" s="86">
        <f t="shared" si="6"/>
        <v>538</v>
      </c>
      <c r="T44" s="86">
        <f t="shared" si="6"/>
        <v>527</v>
      </c>
      <c r="U44" s="86">
        <f t="shared" si="6"/>
        <v>527</v>
      </c>
      <c r="V44" s="86">
        <f t="shared" si="6"/>
        <v>538</v>
      </c>
      <c r="W44" s="86">
        <f t="shared" si="6"/>
        <v>538</v>
      </c>
      <c r="X44" s="86">
        <f t="shared" si="6"/>
        <v>538</v>
      </c>
      <c r="Y44" s="86">
        <f t="shared" si="6"/>
        <v>538</v>
      </c>
      <c r="Z44" s="86">
        <f t="shared" si="6"/>
        <v>538</v>
      </c>
      <c r="AA44" s="86">
        <f t="shared" si="6"/>
        <v>538</v>
      </c>
      <c r="AB44" s="86">
        <f t="shared" si="6"/>
        <v>538</v>
      </c>
      <c r="AC44" s="86">
        <f t="shared" si="6"/>
        <v>538</v>
      </c>
      <c r="AD44" s="86">
        <f t="shared" si="6"/>
        <v>538</v>
      </c>
      <c r="AE44" s="86">
        <f t="shared" si="6"/>
        <v>512</v>
      </c>
      <c r="AF44" s="86">
        <f t="shared" si="6"/>
        <v>538</v>
      </c>
      <c r="AG44" s="101">
        <f t="shared" si="6"/>
        <v>538.1</v>
      </c>
      <c r="AH44" s="20">
        <f t="shared" si="2"/>
        <v>538</v>
      </c>
      <c r="AI44" s="19">
        <f t="shared" si="3"/>
        <v>502</v>
      </c>
      <c r="AK44" s="41"/>
    </row>
    <row r="45" spans="1:88" x14ac:dyDescent="0.25">
      <c r="A45" s="97" t="s">
        <v>190</v>
      </c>
      <c r="B45" s="105">
        <v>80</v>
      </c>
      <c r="C45" s="105">
        <v>94</v>
      </c>
      <c r="D45" s="105">
        <v>94</v>
      </c>
      <c r="E45" s="105">
        <v>94</v>
      </c>
      <c r="F45" s="105">
        <v>94</v>
      </c>
      <c r="G45" s="105">
        <v>94</v>
      </c>
      <c r="H45" s="105">
        <v>94</v>
      </c>
      <c r="I45" s="105">
        <v>94</v>
      </c>
      <c r="J45" s="105">
        <v>94</v>
      </c>
      <c r="K45" s="105">
        <v>94</v>
      </c>
      <c r="L45" s="105">
        <v>94</v>
      </c>
      <c r="M45" s="105">
        <v>94.2</v>
      </c>
      <c r="N45" s="105">
        <v>95</v>
      </c>
      <c r="O45" s="105">
        <v>95</v>
      </c>
      <c r="P45" s="105">
        <v>95</v>
      </c>
      <c r="Q45" s="105">
        <v>95</v>
      </c>
      <c r="R45" s="105">
        <v>95</v>
      </c>
      <c r="S45" s="105">
        <v>95</v>
      </c>
      <c r="T45" s="105">
        <v>95</v>
      </c>
      <c r="U45" s="105">
        <v>95</v>
      </c>
      <c r="V45" s="105">
        <v>95</v>
      </c>
      <c r="W45" s="105">
        <v>95</v>
      </c>
      <c r="X45" s="105">
        <v>95</v>
      </c>
      <c r="Y45" s="105">
        <v>95</v>
      </c>
      <c r="Z45" s="105">
        <v>95</v>
      </c>
      <c r="AA45" s="105">
        <v>95</v>
      </c>
      <c r="AB45" s="105">
        <v>95</v>
      </c>
      <c r="AC45" s="105">
        <v>95</v>
      </c>
      <c r="AD45" s="105">
        <v>95</v>
      </c>
      <c r="AE45" s="105">
        <v>95</v>
      </c>
      <c r="AF45" s="105">
        <v>94.5</v>
      </c>
      <c r="AG45" s="96">
        <v>144</v>
      </c>
      <c r="AH45" s="20">
        <f t="shared" si="2"/>
        <v>95</v>
      </c>
      <c r="AI45" s="19">
        <f t="shared" si="3"/>
        <v>80</v>
      </c>
      <c r="AK45" s="41"/>
    </row>
    <row r="46" spans="1:88" x14ac:dyDescent="0.25">
      <c r="A46" s="95" t="s">
        <v>189</v>
      </c>
      <c r="B46" s="80">
        <v>50</v>
      </c>
      <c r="C46" s="80">
        <v>60</v>
      </c>
      <c r="D46" s="80">
        <v>60</v>
      </c>
      <c r="E46" s="80">
        <v>60</v>
      </c>
      <c r="F46" s="80">
        <v>47</v>
      </c>
      <c r="G46" s="80">
        <v>47</v>
      </c>
      <c r="H46" s="80">
        <v>47</v>
      </c>
      <c r="I46" s="80">
        <v>47</v>
      </c>
      <c r="J46" s="80">
        <v>35</v>
      </c>
      <c r="K46" s="80">
        <v>35</v>
      </c>
      <c r="L46" s="80">
        <v>47</v>
      </c>
      <c r="M46" s="80">
        <v>71.2</v>
      </c>
      <c r="N46" s="105">
        <v>72.900000000000006</v>
      </c>
      <c r="O46" s="105">
        <v>72.900000000000006</v>
      </c>
      <c r="P46" s="105">
        <v>72.900000000000006</v>
      </c>
      <c r="Q46" s="105">
        <v>72.900000000000006</v>
      </c>
      <c r="R46" s="105">
        <v>72.900000000000006</v>
      </c>
      <c r="S46" s="105">
        <v>72.900000000000006</v>
      </c>
      <c r="T46" s="105">
        <v>72.900000000000006</v>
      </c>
      <c r="U46" s="80">
        <v>73.3</v>
      </c>
      <c r="V46" s="80">
        <v>73.3</v>
      </c>
      <c r="W46" s="80">
        <v>72.400000000000006</v>
      </c>
      <c r="X46" s="80">
        <v>72.400000000000006</v>
      </c>
      <c r="Y46" s="80">
        <v>72.400000000000006</v>
      </c>
      <c r="Z46" s="80">
        <v>72.400000000000006</v>
      </c>
      <c r="AA46" s="80">
        <v>72.400000000000006</v>
      </c>
      <c r="AB46" s="80">
        <v>72.400000000000006</v>
      </c>
      <c r="AC46" s="80">
        <v>71.5</v>
      </c>
      <c r="AD46" s="80">
        <v>71.5</v>
      </c>
      <c r="AE46" s="80">
        <v>71.5</v>
      </c>
      <c r="AF46" s="80">
        <v>71.5</v>
      </c>
      <c r="AG46" s="94">
        <v>70</v>
      </c>
      <c r="AH46" s="20">
        <f t="shared" si="2"/>
        <v>73.3</v>
      </c>
      <c r="AI46" s="19">
        <f t="shared" si="3"/>
        <v>35</v>
      </c>
      <c r="AK46" s="41"/>
    </row>
    <row r="47" spans="1:88" x14ac:dyDescent="0.25">
      <c r="A47" s="95" t="s">
        <v>188</v>
      </c>
      <c r="B47" s="80">
        <v>43</v>
      </c>
      <c r="C47" s="80">
        <v>43</v>
      </c>
      <c r="D47" s="80">
        <v>43</v>
      </c>
      <c r="E47" s="80">
        <v>43</v>
      </c>
      <c r="F47" s="80">
        <v>35.9</v>
      </c>
      <c r="G47" s="80">
        <v>35.9</v>
      </c>
      <c r="H47" s="80">
        <v>35.9</v>
      </c>
      <c r="I47" s="80">
        <v>35.9</v>
      </c>
      <c r="J47" s="80">
        <v>35.9</v>
      </c>
      <c r="K47" s="80">
        <v>35.9</v>
      </c>
      <c r="L47" s="80">
        <v>35.9</v>
      </c>
      <c r="M47" s="80">
        <v>40.5</v>
      </c>
      <c r="N47" s="105">
        <v>42</v>
      </c>
      <c r="O47" s="105">
        <v>42</v>
      </c>
      <c r="P47" s="105">
        <v>40.5</v>
      </c>
      <c r="Q47" s="105">
        <v>40.5</v>
      </c>
      <c r="R47" s="105">
        <v>40.5</v>
      </c>
      <c r="S47" s="105">
        <v>40.5</v>
      </c>
      <c r="T47" s="105">
        <v>40.5</v>
      </c>
      <c r="U47" s="80">
        <v>40.9</v>
      </c>
      <c r="V47" s="80">
        <v>40.9</v>
      </c>
      <c r="W47" s="80">
        <v>40.9</v>
      </c>
      <c r="X47" s="80">
        <v>40.9</v>
      </c>
      <c r="Y47" s="80">
        <v>40.9</v>
      </c>
      <c r="Z47" s="80">
        <v>40.9</v>
      </c>
      <c r="AA47" s="80">
        <v>40.1</v>
      </c>
      <c r="AB47" s="80">
        <v>40.1</v>
      </c>
      <c r="AC47" s="80">
        <v>40.1</v>
      </c>
      <c r="AD47" s="80">
        <v>40.1</v>
      </c>
      <c r="AE47" s="80">
        <v>40.1</v>
      </c>
      <c r="AF47" s="80">
        <v>40.1</v>
      </c>
      <c r="AG47" s="94">
        <v>69</v>
      </c>
      <c r="AH47" s="20">
        <f t="shared" si="2"/>
        <v>43</v>
      </c>
      <c r="AI47" s="19">
        <f t="shared" si="3"/>
        <v>35.9</v>
      </c>
      <c r="AK47" s="41"/>
    </row>
    <row r="48" spans="1:88" x14ac:dyDescent="0.25">
      <c r="A48" s="95" t="s">
        <v>187</v>
      </c>
      <c r="B48" s="113">
        <v>45.6</v>
      </c>
      <c r="C48" s="113">
        <v>58</v>
      </c>
      <c r="D48" s="113">
        <v>58</v>
      </c>
      <c r="E48" s="113">
        <v>40</v>
      </c>
      <c r="F48" s="113">
        <v>40</v>
      </c>
      <c r="G48" s="113">
        <v>40</v>
      </c>
      <c r="H48" s="113">
        <v>40</v>
      </c>
      <c r="I48" s="113">
        <v>40</v>
      </c>
      <c r="J48" s="113">
        <v>40</v>
      </c>
      <c r="K48" s="113">
        <v>60.5</v>
      </c>
      <c r="L48" s="113">
        <v>60.5</v>
      </c>
      <c r="M48" s="80">
        <v>60</v>
      </c>
      <c r="N48" s="105">
        <v>60</v>
      </c>
      <c r="O48" s="105">
        <v>60</v>
      </c>
      <c r="P48" s="105">
        <v>60</v>
      </c>
      <c r="Q48" s="105">
        <v>60</v>
      </c>
      <c r="R48" s="105">
        <v>60</v>
      </c>
      <c r="S48" s="105">
        <v>60</v>
      </c>
      <c r="T48" s="105">
        <v>60</v>
      </c>
      <c r="U48" s="105">
        <v>60.4</v>
      </c>
      <c r="V48" s="105">
        <v>60.4</v>
      </c>
      <c r="W48" s="105">
        <v>60.4</v>
      </c>
      <c r="X48" s="105">
        <v>60.4</v>
      </c>
      <c r="Y48" s="105">
        <v>60.4</v>
      </c>
      <c r="Z48" s="105">
        <v>60.4</v>
      </c>
      <c r="AA48" s="105">
        <v>60.7</v>
      </c>
      <c r="AB48" s="105">
        <v>60.7</v>
      </c>
      <c r="AC48" s="105">
        <v>60.7</v>
      </c>
      <c r="AD48" s="105">
        <v>60.7</v>
      </c>
      <c r="AE48" s="105">
        <v>60.7</v>
      </c>
      <c r="AF48" s="113">
        <v>60.7</v>
      </c>
      <c r="AG48" s="94">
        <v>60</v>
      </c>
      <c r="AH48" s="20">
        <f t="shared" si="2"/>
        <v>60.7</v>
      </c>
      <c r="AI48" s="19">
        <f t="shared" si="3"/>
        <v>40</v>
      </c>
      <c r="AK48" s="41"/>
    </row>
    <row r="49" spans="1:41" x14ac:dyDescent="0.25">
      <c r="A49" s="95" t="s">
        <v>186</v>
      </c>
      <c r="B49" s="113">
        <v>0</v>
      </c>
      <c r="C49" s="113">
        <v>0</v>
      </c>
      <c r="D49" s="113">
        <v>0</v>
      </c>
      <c r="E49" s="113">
        <v>0</v>
      </c>
      <c r="F49" s="113">
        <v>0</v>
      </c>
      <c r="G49" s="113">
        <v>0</v>
      </c>
      <c r="H49" s="113">
        <v>0</v>
      </c>
      <c r="I49" s="113">
        <v>0</v>
      </c>
      <c r="J49" s="113">
        <v>0</v>
      </c>
      <c r="K49" s="113">
        <v>0</v>
      </c>
      <c r="L49" s="113">
        <v>0</v>
      </c>
      <c r="M49" s="80">
        <v>0</v>
      </c>
      <c r="N49" s="105">
        <v>0</v>
      </c>
      <c r="O49" s="105">
        <v>0</v>
      </c>
      <c r="P49" s="105">
        <v>0</v>
      </c>
      <c r="Q49" s="105">
        <v>0</v>
      </c>
      <c r="R49" s="105">
        <v>0</v>
      </c>
      <c r="S49" s="105">
        <v>0</v>
      </c>
      <c r="T49" s="105">
        <v>0</v>
      </c>
      <c r="U49" s="105">
        <v>0</v>
      </c>
      <c r="V49" s="105">
        <v>0</v>
      </c>
      <c r="W49" s="105">
        <v>0</v>
      </c>
      <c r="X49" s="105">
        <v>0</v>
      </c>
      <c r="Y49" s="105">
        <v>0</v>
      </c>
      <c r="Z49" s="105">
        <v>0</v>
      </c>
      <c r="AA49" s="105">
        <v>0</v>
      </c>
      <c r="AB49" s="105">
        <v>0</v>
      </c>
      <c r="AC49" s="105">
        <v>0</v>
      </c>
      <c r="AD49" s="105">
        <v>0</v>
      </c>
      <c r="AE49" s="105">
        <v>0</v>
      </c>
      <c r="AF49" s="113">
        <v>0</v>
      </c>
      <c r="AG49" s="94">
        <v>30</v>
      </c>
      <c r="AH49" s="20">
        <f t="shared" si="2"/>
        <v>0</v>
      </c>
      <c r="AI49" s="19">
        <f t="shared" si="3"/>
        <v>0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8</v>
      </c>
      <c r="N50" s="80">
        <v>8</v>
      </c>
      <c r="O50" s="80">
        <v>8</v>
      </c>
      <c r="P50" s="80">
        <v>8</v>
      </c>
      <c r="Q50" s="80">
        <v>8</v>
      </c>
      <c r="R50" s="80">
        <v>8</v>
      </c>
      <c r="S50" s="80">
        <v>8</v>
      </c>
      <c r="T50" s="80">
        <v>8</v>
      </c>
      <c r="U50" s="105">
        <v>8</v>
      </c>
      <c r="V50" s="105">
        <v>8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80">
        <v>0</v>
      </c>
      <c r="AG50" s="94">
        <v>25</v>
      </c>
      <c r="AH50" s="20">
        <f t="shared" si="2"/>
        <v>8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0</v>
      </c>
      <c r="C51" s="80">
        <v>0</v>
      </c>
      <c r="D51" s="80">
        <v>0</v>
      </c>
      <c r="E51" s="80">
        <v>0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>
        <v>0</v>
      </c>
      <c r="L51" s="80">
        <v>0</v>
      </c>
      <c r="M51" s="80">
        <v>0</v>
      </c>
      <c r="N51" s="80">
        <v>0</v>
      </c>
      <c r="O51" s="80">
        <v>0</v>
      </c>
      <c r="P51" s="80">
        <v>0</v>
      </c>
      <c r="Q51" s="80">
        <v>0</v>
      </c>
      <c r="R51" s="80">
        <v>0</v>
      </c>
      <c r="S51" s="80">
        <v>0</v>
      </c>
      <c r="T51" s="80">
        <v>0</v>
      </c>
      <c r="U51" s="80">
        <v>0</v>
      </c>
      <c r="V51" s="80">
        <v>0</v>
      </c>
      <c r="W51" s="80">
        <v>0</v>
      </c>
      <c r="X51" s="80">
        <v>0</v>
      </c>
      <c r="Y51" s="80">
        <v>0</v>
      </c>
      <c r="Z51" s="80">
        <v>0</v>
      </c>
      <c r="AA51" s="80">
        <v>0</v>
      </c>
      <c r="AB51" s="80">
        <v>0</v>
      </c>
      <c r="AC51" s="80">
        <v>0</v>
      </c>
      <c r="AD51" s="80">
        <v>0</v>
      </c>
      <c r="AE51" s="80">
        <v>0</v>
      </c>
      <c r="AF51" s="80">
        <v>0</v>
      </c>
      <c r="AG51" s="94">
        <v>24</v>
      </c>
      <c r="AH51" s="20">
        <f t="shared" si="2"/>
        <v>0</v>
      </c>
      <c r="AI51" s="19">
        <f t="shared" si="3"/>
        <v>0</v>
      </c>
      <c r="AK51" s="41"/>
    </row>
    <row r="52" spans="1:41" x14ac:dyDescent="0.25">
      <c r="A52" s="95" t="s">
        <v>183</v>
      </c>
      <c r="B52" s="80">
        <v>0</v>
      </c>
      <c r="C52" s="80">
        <v>0</v>
      </c>
      <c r="D52" s="80">
        <v>0</v>
      </c>
      <c r="E52" s="80">
        <v>0</v>
      </c>
      <c r="F52" s="80">
        <v>0</v>
      </c>
      <c r="G52" s="80">
        <v>0</v>
      </c>
      <c r="H52" s="80">
        <v>0</v>
      </c>
      <c r="I52" s="80">
        <v>0</v>
      </c>
      <c r="J52" s="80">
        <v>0</v>
      </c>
      <c r="K52" s="80">
        <v>0</v>
      </c>
      <c r="L52" s="80">
        <v>0</v>
      </c>
      <c r="M52" s="80">
        <v>0</v>
      </c>
      <c r="N52" s="80">
        <v>0</v>
      </c>
      <c r="O52" s="80">
        <v>0</v>
      </c>
      <c r="P52" s="80">
        <v>0</v>
      </c>
      <c r="Q52" s="80">
        <v>0</v>
      </c>
      <c r="R52" s="80">
        <v>0</v>
      </c>
      <c r="S52" s="80">
        <v>0</v>
      </c>
      <c r="T52" s="80">
        <v>0</v>
      </c>
      <c r="U52" s="80">
        <v>0</v>
      </c>
      <c r="V52" s="80">
        <v>0</v>
      </c>
      <c r="W52" s="80">
        <v>0</v>
      </c>
      <c r="X52" s="80">
        <v>0</v>
      </c>
      <c r="Y52" s="80">
        <v>0</v>
      </c>
      <c r="Z52" s="80">
        <v>0</v>
      </c>
      <c r="AA52" s="80">
        <v>0</v>
      </c>
      <c r="AB52" s="80">
        <v>0</v>
      </c>
      <c r="AC52" s="80">
        <v>0</v>
      </c>
      <c r="AD52" s="80">
        <v>0</v>
      </c>
      <c r="AE52" s="80">
        <v>0</v>
      </c>
      <c r="AF52" s="80">
        <v>0</v>
      </c>
      <c r="AG52" s="94">
        <v>15</v>
      </c>
      <c r="AH52" s="20">
        <f t="shared" si="2"/>
        <v>0</v>
      </c>
      <c r="AI52" s="19">
        <f t="shared" si="3"/>
        <v>0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0</v>
      </c>
      <c r="C53" s="80">
        <v>0</v>
      </c>
      <c r="D53" s="80">
        <v>0</v>
      </c>
      <c r="E53" s="80">
        <v>0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>
        <v>0</v>
      </c>
      <c r="L53" s="80">
        <v>0</v>
      </c>
      <c r="M53" s="80">
        <v>0</v>
      </c>
      <c r="N53" s="80">
        <v>0</v>
      </c>
      <c r="O53" s="80">
        <v>0</v>
      </c>
      <c r="P53" s="80">
        <v>0</v>
      </c>
      <c r="Q53" s="80">
        <v>0</v>
      </c>
      <c r="R53" s="80">
        <v>0</v>
      </c>
      <c r="S53" s="80">
        <v>0</v>
      </c>
      <c r="T53" s="80">
        <v>0</v>
      </c>
      <c r="U53" s="80">
        <v>0</v>
      </c>
      <c r="V53" s="80">
        <v>0</v>
      </c>
      <c r="W53" s="80">
        <v>0</v>
      </c>
      <c r="X53" s="80">
        <v>0</v>
      </c>
      <c r="Y53" s="80">
        <v>0</v>
      </c>
      <c r="Z53" s="80">
        <v>0</v>
      </c>
      <c r="AA53" s="80">
        <v>0</v>
      </c>
      <c r="AB53" s="80">
        <v>0</v>
      </c>
      <c r="AC53" s="80">
        <v>0</v>
      </c>
      <c r="AD53" s="80">
        <v>0</v>
      </c>
      <c r="AE53" s="80">
        <v>0</v>
      </c>
      <c r="AF53" s="80">
        <v>0</v>
      </c>
      <c r="AG53" s="94">
        <v>14.1</v>
      </c>
      <c r="AH53" s="20">
        <f t="shared" si="2"/>
        <v>0</v>
      </c>
      <c r="AI53" s="19">
        <f t="shared" si="3"/>
        <v>0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7.2</v>
      </c>
      <c r="C54" s="80">
        <v>5</v>
      </c>
      <c r="D54" s="80">
        <v>5</v>
      </c>
      <c r="E54" s="80">
        <v>5</v>
      </c>
      <c r="F54" s="80">
        <v>5</v>
      </c>
      <c r="G54" s="80">
        <v>5</v>
      </c>
      <c r="H54" s="80">
        <v>5</v>
      </c>
      <c r="I54" s="80">
        <v>5</v>
      </c>
      <c r="J54" s="80">
        <v>5</v>
      </c>
      <c r="K54" s="80">
        <v>5</v>
      </c>
      <c r="L54" s="80">
        <v>5</v>
      </c>
      <c r="M54" s="80">
        <v>5</v>
      </c>
      <c r="N54" s="80">
        <v>5</v>
      </c>
      <c r="O54" s="80">
        <v>5</v>
      </c>
      <c r="P54" s="80">
        <v>5</v>
      </c>
      <c r="Q54" s="80">
        <v>5</v>
      </c>
      <c r="R54" s="80">
        <v>5</v>
      </c>
      <c r="S54" s="80">
        <v>5</v>
      </c>
      <c r="T54" s="80">
        <v>5</v>
      </c>
      <c r="U54" s="80">
        <v>5</v>
      </c>
      <c r="V54" s="80">
        <v>5</v>
      </c>
      <c r="W54" s="80">
        <v>7.2</v>
      </c>
      <c r="X54" s="80">
        <v>14</v>
      </c>
      <c r="Y54" s="80">
        <v>14</v>
      </c>
      <c r="Z54" s="80">
        <v>14</v>
      </c>
      <c r="AA54" s="80">
        <v>14</v>
      </c>
      <c r="AB54" s="80">
        <v>14</v>
      </c>
      <c r="AC54" s="80">
        <v>14</v>
      </c>
      <c r="AD54" s="80">
        <v>14</v>
      </c>
      <c r="AE54" s="80">
        <v>14</v>
      </c>
      <c r="AF54" s="80">
        <v>14</v>
      </c>
      <c r="AG54" s="94">
        <v>14</v>
      </c>
      <c r="AH54" s="20">
        <f t="shared" si="2"/>
        <v>14</v>
      </c>
      <c r="AI54" s="19">
        <f t="shared" si="3"/>
        <v>5</v>
      </c>
      <c r="AK54" s="41"/>
    </row>
    <row r="55" spans="1:41" x14ac:dyDescent="0.25">
      <c r="A55" s="95" t="s">
        <v>180</v>
      </c>
      <c r="B55" s="80">
        <v>9</v>
      </c>
      <c r="C55" s="80">
        <v>9</v>
      </c>
      <c r="D55" s="80">
        <v>9</v>
      </c>
      <c r="E55" s="80">
        <v>9</v>
      </c>
      <c r="F55" s="80">
        <v>9</v>
      </c>
      <c r="G55" s="80">
        <v>9</v>
      </c>
      <c r="H55" s="80">
        <v>9</v>
      </c>
      <c r="I55" s="80">
        <v>9</v>
      </c>
      <c r="J55" s="80">
        <v>9</v>
      </c>
      <c r="K55" s="80">
        <v>9</v>
      </c>
      <c r="L55" s="80">
        <v>9</v>
      </c>
      <c r="M55" s="80">
        <v>9</v>
      </c>
      <c r="N55" s="80">
        <v>9</v>
      </c>
      <c r="O55" s="80">
        <v>9</v>
      </c>
      <c r="P55" s="80">
        <v>9</v>
      </c>
      <c r="Q55" s="80">
        <v>9</v>
      </c>
      <c r="R55" s="80">
        <v>9</v>
      </c>
      <c r="S55" s="80">
        <v>9</v>
      </c>
      <c r="T55" s="80">
        <v>9</v>
      </c>
      <c r="U55" s="80">
        <v>9</v>
      </c>
      <c r="V55" s="80">
        <v>9</v>
      </c>
      <c r="W55" s="80">
        <v>9</v>
      </c>
      <c r="X55" s="80">
        <v>9</v>
      </c>
      <c r="Y55" s="80">
        <v>9</v>
      </c>
      <c r="Z55" s="80">
        <v>9</v>
      </c>
      <c r="AA55" s="80">
        <v>9</v>
      </c>
      <c r="AB55" s="80">
        <v>9</v>
      </c>
      <c r="AC55" s="80">
        <v>9</v>
      </c>
      <c r="AD55" s="80">
        <v>9</v>
      </c>
      <c r="AE55" s="80">
        <v>9</v>
      </c>
      <c r="AF55" s="80">
        <v>9</v>
      </c>
      <c r="AG55" s="94">
        <v>10.050000000000001</v>
      </c>
      <c r="AH55" s="20">
        <f t="shared" si="2"/>
        <v>9</v>
      </c>
      <c r="AI55" s="19">
        <f t="shared" si="3"/>
        <v>9</v>
      </c>
      <c r="AK55" s="41"/>
    </row>
    <row r="56" spans="1:41" x14ac:dyDescent="0.25">
      <c r="A56" s="95" t="s">
        <v>179</v>
      </c>
      <c r="B56" s="80">
        <v>6.2</v>
      </c>
      <c r="C56" s="80">
        <v>6.2</v>
      </c>
      <c r="D56" s="80">
        <v>6.2</v>
      </c>
      <c r="E56" s="80">
        <v>6.2</v>
      </c>
      <c r="F56" s="80">
        <v>6.2</v>
      </c>
      <c r="G56" s="80">
        <v>6.2</v>
      </c>
      <c r="H56" s="80">
        <v>6.2</v>
      </c>
      <c r="I56" s="80">
        <v>6.2</v>
      </c>
      <c r="J56" s="80">
        <v>6.2</v>
      </c>
      <c r="K56" s="80">
        <v>6.2</v>
      </c>
      <c r="L56" s="80">
        <v>6.2</v>
      </c>
      <c r="M56" s="80">
        <v>6.2</v>
      </c>
      <c r="N56" s="80">
        <v>6.2</v>
      </c>
      <c r="O56" s="80">
        <v>6.2</v>
      </c>
      <c r="P56" s="80">
        <v>6.2</v>
      </c>
      <c r="Q56" s="80">
        <v>6.2</v>
      </c>
      <c r="R56" s="80">
        <v>6.2</v>
      </c>
      <c r="S56" s="80">
        <v>6.2</v>
      </c>
      <c r="T56" s="80">
        <v>6.2</v>
      </c>
      <c r="U56" s="80">
        <v>6.2</v>
      </c>
      <c r="V56" s="80">
        <v>6.2</v>
      </c>
      <c r="W56" s="80">
        <v>6.2</v>
      </c>
      <c r="X56" s="80">
        <v>6.2</v>
      </c>
      <c r="Y56" s="80">
        <v>6.2</v>
      </c>
      <c r="Z56" s="80">
        <v>6.2</v>
      </c>
      <c r="AA56" s="80">
        <v>6.2</v>
      </c>
      <c r="AB56" s="80">
        <v>6.2</v>
      </c>
      <c r="AC56" s="80">
        <v>6.2</v>
      </c>
      <c r="AD56" s="80">
        <v>6.2</v>
      </c>
      <c r="AE56" s="80">
        <v>6.2</v>
      </c>
      <c r="AF56" s="80">
        <v>6.2</v>
      </c>
      <c r="AG56" s="94">
        <v>6.2</v>
      </c>
      <c r="AH56" s="20">
        <f t="shared" si="2"/>
        <v>6.2</v>
      </c>
      <c r="AI56" s="19">
        <f t="shared" si="3"/>
        <v>6.2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7">SUM(B45:B57)</f>
        <v>244.53999999999996</v>
      </c>
      <c r="C58" s="86">
        <f t="shared" si="7"/>
        <v>278.74</v>
      </c>
      <c r="D58" s="86">
        <f t="shared" si="7"/>
        <v>278.74</v>
      </c>
      <c r="E58" s="86">
        <f t="shared" si="7"/>
        <v>260.74</v>
      </c>
      <c r="F58" s="86">
        <f t="shared" si="7"/>
        <v>240.64</v>
      </c>
      <c r="G58" s="86">
        <f t="shared" si="7"/>
        <v>240.64</v>
      </c>
      <c r="H58" s="86">
        <f t="shared" si="7"/>
        <v>240.64</v>
      </c>
      <c r="I58" s="86">
        <f t="shared" si="7"/>
        <v>240.64</v>
      </c>
      <c r="J58" s="86">
        <f t="shared" si="7"/>
        <v>228.64</v>
      </c>
      <c r="K58" s="86">
        <f t="shared" si="7"/>
        <v>249.14</v>
      </c>
      <c r="L58" s="86">
        <f t="shared" si="7"/>
        <v>261.14000000000004</v>
      </c>
      <c r="M58" s="86">
        <f t="shared" si="7"/>
        <v>297.64</v>
      </c>
      <c r="N58" s="86">
        <f t="shared" si="7"/>
        <v>301.64</v>
      </c>
      <c r="O58" s="86">
        <f t="shared" si="7"/>
        <v>301.64</v>
      </c>
      <c r="P58" s="86">
        <f t="shared" si="7"/>
        <v>300.14</v>
      </c>
      <c r="Q58" s="86">
        <f t="shared" si="7"/>
        <v>300.14</v>
      </c>
      <c r="R58" s="86">
        <f t="shared" si="7"/>
        <v>300.14</v>
      </c>
      <c r="S58" s="86">
        <f t="shared" si="7"/>
        <v>300.14</v>
      </c>
      <c r="T58" s="86">
        <f t="shared" si="7"/>
        <v>300.14</v>
      </c>
      <c r="U58" s="86">
        <f t="shared" si="7"/>
        <v>301.34000000000003</v>
      </c>
      <c r="V58" s="86">
        <f t="shared" si="7"/>
        <v>301.34000000000003</v>
      </c>
      <c r="W58" s="86">
        <f t="shared" si="7"/>
        <v>294.64</v>
      </c>
      <c r="X58" s="86">
        <f t="shared" si="7"/>
        <v>301.44</v>
      </c>
      <c r="Y58" s="86">
        <f t="shared" si="7"/>
        <v>301.44</v>
      </c>
      <c r="Z58" s="86">
        <f t="shared" si="7"/>
        <v>301.44</v>
      </c>
      <c r="AA58" s="86">
        <f t="shared" si="7"/>
        <v>300.94</v>
      </c>
      <c r="AB58" s="86">
        <f t="shared" si="7"/>
        <v>300.94</v>
      </c>
      <c r="AC58" s="86">
        <f t="shared" si="7"/>
        <v>300.04000000000002</v>
      </c>
      <c r="AD58" s="86">
        <f t="shared" si="7"/>
        <v>300.04000000000002</v>
      </c>
      <c r="AE58" s="86">
        <f t="shared" si="7"/>
        <v>300.04000000000002</v>
      </c>
      <c r="AF58" s="86">
        <f t="shared" si="7"/>
        <v>299.54000000000002</v>
      </c>
      <c r="AG58" s="101">
        <f t="shared" si="7"/>
        <v>489.91</v>
      </c>
      <c r="AH58" s="20">
        <f t="shared" si="2"/>
        <v>301.64</v>
      </c>
      <c r="AI58" s="19">
        <f t="shared" si="3"/>
        <v>228.64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>
        <v>0</v>
      </c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>
        <v>0</v>
      </c>
      <c r="Z59" s="105">
        <v>0</v>
      </c>
      <c r="AA59" s="105">
        <v>0</v>
      </c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0</v>
      </c>
      <c r="Z60" s="80">
        <v>0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07">
        <v>0</v>
      </c>
      <c r="Y61" s="107">
        <v>0</v>
      </c>
      <c r="Z61" s="107">
        <v>0</v>
      </c>
      <c r="AA61" s="107">
        <v>0</v>
      </c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8">SUM(B59:B61)</f>
        <v>0</v>
      </c>
      <c r="C62" s="86">
        <f t="shared" si="8"/>
        <v>0</v>
      </c>
      <c r="D62" s="86">
        <f t="shared" si="8"/>
        <v>0</v>
      </c>
      <c r="E62" s="86">
        <f t="shared" si="8"/>
        <v>0</v>
      </c>
      <c r="F62" s="86">
        <f t="shared" si="8"/>
        <v>0</v>
      </c>
      <c r="G62" s="86">
        <f t="shared" si="8"/>
        <v>0</v>
      </c>
      <c r="H62" s="86">
        <f t="shared" si="8"/>
        <v>0</v>
      </c>
      <c r="I62" s="86">
        <f t="shared" si="8"/>
        <v>0</v>
      </c>
      <c r="J62" s="86">
        <f t="shared" si="8"/>
        <v>0</v>
      </c>
      <c r="K62" s="86">
        <f t="shared" si="8"/>
        <v>0</v>
      </c>
      <c r="L62" s="86">
        <f t="shared" si="8"/>
        <v>0</v>
      </c>
      <c r="M62" s="86">
        <f t="shared" si="8"/>
        <v>0</v>
      </c>
      <c r="N62" s="86">
        <f t="shared" si="8"/>
        <v>0</v>
      </c>
      <c r="O62" s="86">
        <f t="shared" si="8"/>
        <v>0</v>
      </c>
      <c r="P62" s="86">
        <f t="shared" si="8"/>
        <v>0</v>
      </c>
      <c r="Q62" s="86">
        <f t="shared" si="8"/>
        <v>0</v>
      </c>
      <c r="R62" s="86">
        <f t="shared" si="8"/>
        <v>0</v>
      </c>
      <c r="S62" s="86">
        <f t="shared" si="8"/>
        <v>0</v>
      </c>
      <c r="T62" s="86">
        <f t="shared" si="8"/>
        <v>0</v>
      </c>
      <c r="U62" s="86">
        <f t="shared" si="8"/>
        <v>0</v>
      </c>
      <c r="V62" s="86">
        <f t="shared" si="8"/>
        <v>0</v>
      </c>
      <c r="W62" s="86">
        <f t="shared" si="8"/>
        <v>0</v>
      </c>
      <c r="X62" s="86">
        <f t="shared" si="8"/>
        <v>0</v>
      </c>
      <c r="Y62" s="86">
        <f t="shared" si="8"/>
        <v>0</v>
      </c>
      <c r="Z62" s="86">
        <f t="shared" si="8"/>
        <v>0</v>
      </c>
      <c r="AA62" s="86">
        <f t="shared" si="8"/>
        <v>0</v>
      </c>
      <c r="AB62" s="86">
        <f t="shared" si="8"/>
        <v>0</v>
      </c>
      <c r="AC62" s="86">
        <f t="shared" si="8"/>
        <v>0</v>
      </c>
      <c r="AD62" s="86">
        <f t="shared" si="8"/>
        <v>0</v>
      </c>
      <c r="AE62" s="86">
        <f t="shared" si="8"/>
        <v>0</v>
      </c>
      <c r="AF62" s="86">
        <f t="shared" si="8"/>
        <v>0</v>
      </c>
      <c r="AG62" s="101">
        <f t="shared" si="8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31</v>
      </c>
      <c r="O63" s="105">
        <v>10.4</v>
      </c>
      <c r="P63" s="105">
        <v>15</v>
      </c>
      <c r="Q63" s="105">
        <v>21</v>
      </c>
      <c r="R63" s="105">
        <v>0</v>
      </c>
      <c r="S63" s="105">
        <v>0</v>
      </c>
      <c r="T63" s="105">
        <v>0</v>
      </c>
      <c r="U63" s="105">
        <v>0</v>
      </c>
      <c r="V63" s="105">
        <v>0</v>
      </c>
      <c r="W63" s="105">
        <v>0</v>
      </c>
      <c r="X63" s="105">
        <v>11</v>
      </c>
      <c r="Y63" s="105">
        <v>13</v>
      </c>
      <c r="Z63" s="105">
        <v>11.8</v>
      </c>
      <c r="AA63" s="105">
        <v>10</v>
      </c>
      <c r="AB63" s="105">
        <v>10</v>
      </c>
      <c r="AC63" s="105">
        <v>10</v>
      </c>
      <c r="AD63" s="105">
        <v>0</v>
      </c>
      <c r="AE63" s="105">
        <v>0</v>
      </c>
      <c r="AF63" s="105">
        <v>0</v>
      </c>
      <c r="AG63" s="96"/>
      <c r="AH63" s="20">
        <f t="shared" si="2"/>
        <v>31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-413</v>
      </c>
      <c r="C65" s="80">
        <v>-396.9</v>
      </c>
      <c r="D65" s="80">
        <v>-425</v>
      </c>
      <c r="E65" s="80">
        <v>-425</v>
      </c>
      <c r="F65" s="80">
        <v>-412</v>
      </c>
      <c r="G65" s="80">
        <v>-390</v>
      </c>
      <c r="H65" s="80">
        <v>-422</v>
      </c>
      <c r="I65" s="80">
        <v>-412</v>
      </c>
      <c r="J65" s="80">
        <v>-422</v>
      </c>
      <c r="K65" s="80">
        <v>-390</v>
      </c>
      <c r="L65" s="80">
        <v>-379</v>
      </c>
      <c r="M65" s="80">
        <v>-364</v>
      </c>
      <c r="N65" s="80">
        <v>-401</v>
      </c>
      <c r="O65" s="80">
        <v>-389</v>
      </c>
      <c r="P65" s="80">
        <v>-398</v>
      </c>
      <c r="Q65" s="80">
        <v>-416</v>
      </c>
      <c r="R65" s="80">
        <v>-397</v>
      </c>
      <c r="S65" s="80">
        <v>-385</v>
      </c>
      <c r="T65" s="80">
        <v>-383</v>
      </c>
      <c r="U65" s="80">
        <v>-414</v>
      </c>
      <c r="V65" s="80">
        <v>-415.8</v>
      </c>
      <c r="W65" s="80">
        <v>-384</v>
      </c>
      <c r="X65" s="80">
        <v>-355</v>
      </c>
      <c r="Y65" s="80">
        <v>-307</v>
      </c>
      <c r="Z65" s="80">
        <v>-343</v>
      </c>
      <c r="AA65" s="80">
        <v>-381</v>
      </c>
      <c r="AB65" s="80">
        <v>-400</v>
      </c>
      <c r="AC65" s="80">
        <v>-410</v>
      </c>
      <c r="AD65" s="80">
        <v>-396</v>
      </c>
      <c r="AE65" s="80">
        <v>-414</v>
      </c>
      <c r="AF65" s="80">
        <v>-393</v>
      </c>
      <c r="AG65" s="102"/>
      <c r="AH65" s="20">
        <f t="shared" si="2"/>
        <v>-307</v>
      </c>
      <c r="AI65" s="19">
        <f t="shared" si="3"/>
        <v>-425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9">SUMIF(B63:B73,"&gt;0")</f>
        <v>0</v>
      </c>
      <c r="C74" s="86">
        <f t="shared" si="9"/>
        <v>0</v>
      </c>
      <c r="D74" s="86">
        <f t="shared" si="9"/>
        <v>0</v>
      </c>
      <c r="E74" s="86">
        <f t="shared" si="9"/>
        <v>0</v>
      </c>
      <c r="F74" s="86">
        <f t="shared" si="9"/>
        <v>0</v>
      </c>
      <c r="G74" s="86">
        <f t="shared" si="9"/>
        <v>0</v>
      </c>
      <c r="H74" s="86">
        <f t="shared" si="9"/>
        <v>0</v>
      </c>
      <c r="I74" s="86">
        <f t="shared" si="9"/>
        <v>0</v>
      </c>
      <c r="J74" s="86">
        <f t="shared" si="9"/>
        <v>0</v>
      </c>
      <c r="K74" s="86">
        <f t="shared" si="9"/>
        <v>0</v>
      </c>
      <c r="L74" s="86">
        <f t="shared" si="9"/>
        <v>0</v>
      </c>
      <c r="M74" s="86">
        <f t="shared" si="9"/>
        <v>0</v>
      </c>
      <c r="N74" s="86">
        <f t="shared" si="9"/>
        <v>31</v>
      </c>
      <c r="O74" s="86">
        <f t="shared" si="9"/>
        <v>10.4</v>
      </c>
      <c r="P74" s="86">
        <f t="shared" si="9"/>
        <v>15</v>
      </c>
      <c r="Q74" s="86">
        <f t="shared" si="9"/>
        <v>21</v>
      </c>
      <c r="R74" s="86">
        <f t="shared" si="9"/>
        <v>0</v>
      </c>
      <c r="S74" s="86">
        <f t="shared" si="9"/>
        <v>0</v>
      </c>
      <c r="T74" s="86">
        <f t="shared" si="9"/>
        <v>0</v>
      </c>
      <c r="U74" s="86">
        <f t="shared" si="9"/>
        <v>0</v>
      </c>
      <c r="V74" s="86">
        <f t="shared" si="9"/>
        <v>0</v>
      </c>
      <c r="W74" s="86">
        <f t="shared" si="9"/>
        <v>0</v>
      </c>
      <c r="X74" s="86">
        <f t="shared" si="9"/>
        <v>11</v>
      </c>
      <c r="Y74" s="86">
        <f t="shared" si="9"/>
        <v>13</v>
      </c>
      <c r="Z74" s="86">
        <f t="shared" si="9"/>
        <v>11.8</v>
      </c>
      <c r="AA74" s="86">
        <f t="shared" si="9"/>
        <v>10</v>
      </c>
      <c r="AB74" s="86">
        <f t="shared" si="9"/>
        <v>10</v>
      </c>
      <c r="AC74" s="86">
        <f t="shared" si="9"/>
        <v>10</v>
      </c>
      <c r="AD74" s="86">
        <f t="shared" si="9"/>
        <v>0</v>
      </c>
      <c r="AE74" s="86">
        <f t="shared" si="9"/>
        <v>0</v>
      </c>
      <c r="AF74" s="86">
        <f t="shared" si="9"/>
        <v>0</v>
      </c>
      <c r="AG74" s="85">
        <f>SUM(AG63:AG73)</f>
        <v>0</v>
      </c>
      <c r="AH74" s="20">
        <f t="shared" si="2"/>
        <v>31</v>
      </c>
      <c r="AI74" s="19">
        <f t="shared" si="3"/>
        <v>0</v>
      </c>
      <c r="AK74" s="41"/>
    </row>
    <row r="75" spans="1:37" x14ac:dyDescent="0.25">
      <c r="A75" s="97" t="s">
        <v>164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2">
        <v>14.4</v>
      </c>
      <c r="AH76" s="20">
        <f t="shared" ref="AH76:AH109" si="10">MAX(B76:AF76)</f>
        <v>0</v>
      </c>
      <c r="AI76" s="19">
        <f t="shared" ref="AI76:AI109" si="11">MIN(B76:AF76)</f>
        <v>0</v>
      </c>
      <c r="AK76" s="41"/>
    </row>
    <row r="77" spans="1:37" ht="15.75" thickBot="1" x14ac:dyDescent="0.3">
      <c r="A77" s="91" t="s">
        <v>162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89">
        <v>2</v>
      </c>
      <c r="AH77" s="20">
        <f t="shared" si="10"/>
        <v>0</v>
      </c>
      <c r="AI77" s="19">
        <f t="shared" si="11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10"/>
        <v>0</v>
      </c>
      <c r="AI78" s="19">
        <f t="shared" si="11"/>
        <v>0</v>
      </c>
    </row>
    <row r="79" spans="1:37" ht="15.75" thickBot="1" x14ac:dyDescent="0.3">
      <c r="A79" s="87" t="s">
        <v>160</v>
      </c>
      <c r="B79" s="98">
        <f t="shared" ref="B79:AG79" si="12">B40+B44+B62+B58+B74+B78</f>
        <v>1462.7399999999998</v>
      </c>
      <c r="C79" s="98">
        <f t="shared" si="12"/>
        <v>1463.74</v>
      </c>
      <c r="D79" s="98">
        <f t="shared" si="12"/>
        <v>1463.74</v>
      </c>
      <c r="E79" s="98">
        <f t="shared" si="12"/>
        <v>1409.74</v>
      </c>
      <c r="F79" s="98">
        <f t="shared" si="12"/>
        <v>1389.6399999999999</v>
      </c>
      <c r="G79" s="98">
        <f t="shared" si="12"/>
        <v>1370.94</v>
      </c>
      <c r="H79" s="98">
        <f t="shared" si="12"/>
        <v>1370.94</v>
      </c>
      <c r="I79" s="98">
        <f t="shared" si="12"/>
        <v>1370.94</v>
      </c>
      <c r="J79" s="98">
        <f t="shared" si="12"/>
        <v>1358.94</v>
      </c>
      <c r="K79" s="98">
        <f t="shared" si="12"/>
        <v>1435.44</v>
      </c>
      <c r="L79" s="98">
        <f t="shared" si="12"/>
        <v>1461.5400000000002</v>
      </c>
      <c r="M79" s="98">
        <f t="shared" si="12"/>
        <v>1525.6399999999999</v>
      </c>
      <c r="N79" s="98">
        <f t="shared" si="12"/>
        <v>1534.6399999999999</v>
      </c>
      <c r="O79" s="98">
        <f t="shared" si="12"/>
        <v>1504.04</v>
      </c>
      <c r="P79" s="98">
        <f t="shared" si="12"/>
        <v>1525.1399999999999</v>
      </c>
      <c r="Q79" s="98">
        <f t="shared" si="12"/>
        <v>1531.1399999999999</v>
      </c>
      <c r="R79" s="98">
        <f t="shared" si="12"/>
        <v>1510.1399999999999</v>
      </c>
      <c r="S79" s="98">
        <f t="shared" si="12"/>
        <v>1539.1399999999999</v>
      </c>
      <c r="T79" s="98">
        <f t="shared" si="12"/>
        <v>1515.04</v>
      </c>
      <c r="U79" s="98">
        <f t="shared" si="12"/>
        <v>1516.2400000000002</v>
      </c>
      <c r="V79" s="98">
        <f t="shared" si="12"/>
        <v>1527.2400000000002</v>
      </c>
      <c r="W79" s="98">
        <f t="shared" si="12"/>
        <v>1574.04</v>
      </c>
      <c r="X79" s="98">
        <f t="shared" si="12"/>
        <v>1664.74</v>
      </c>
      <c r="Y79" s="98">
        <f t="shared" si="12"/>
        <v>1676.8400000000001</v>
      </c>
      <c r="Z79" s="98">
        <f t="shared" si="12"/>
        <v>1675.64</v>
      </c>
      <c r="AA79" s="98">
        <f t="shared" si="12"/>
        <v>1673.14</v>
      </c>
      <c r="AB79" s="98">
        <f t="shared" si="12"/>
        <v>1677.14</v>
      </c>
      <c r="AC79" s="98">
        <f t="shared" si="12"/>
        <v>1628.84</v>
      </c>
      <c r="AD79" s="98">
        <f t="shared" si="12"/>
        <v>1576.6399999999999</v>
      </c>
      <c r="AE79" s="98">
        <f t="shared" si="12"/>
        <v>1495.6399999999999</v>
      </c>
      <c r="AF79" s="98">
        <f t="shared" si="12"/>
        <v>1477.04</v>
      </c>
      <c r="AG79" s="101">
        <f t="shared" si="12"/>
        <v>1897.1900000000003</v>
      </c>
      <c r="AH79" s="20">
        <f t="shared" si="10"/>
        <v>1677.14</v>
      </c>
      <c r="AI79" s="19">
        <f t="shared" si="11"/>
        <v>1358.94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10"/>
        <v>0</v>
      </c>
      <c r="AI80" s="19">
        <f t="shared" si="11"/>
        <v>0</v>
      </c>
    </row>
    <row r="81" spans="1:37" ht="15.75" thickBot="1" x14ac:dyDescent="0.3">
      <c r="A81" s="87" t="s">
        <v>158</v>
      </c>
      <c r="B81" s="98">
        <f t="shared" ref="B81:AF81" si="13">B79+B80</f>
        <v>1462.7399999999998</v>
      </c>
      <c r="C81" s="98">
        <f t="shared" si="13"/>
        <v>1463.74</v>
      </c>
      <c r="D81" s="98">
        <f t="shared" si="13"/>
        <v>1463.74</v>
      </c>
      <c r="E81" s="98">
        <f t="shared" si="13"/>
        <v>1409.74</v>
      </c>
      <c r="F81" s="98">
        <f t="shared" si="13"/>
        <v>1389.6399999999999</v>
      </c>
      <c r="G81" s="98">
        <f t="shared" si="13"/>
        <v>1370.94</v>
      </c>
      <c r="H81" s="98">
        <f t="shared" si="13"/>
        <v>1370.94</v>
      </c>
      <c r="I81" s="98">
        <f t="shared" si="13"/>
        <v>1370.94</v>
      </c>
      <c r="J81" s="98">
        <f t="shared" si="13"/>
        <v>1358.94</v>
      </c>
      <c r="K81" s="98">
        <f t="shared" si="13"/>
        <v>1435.44</v>
      </c>
      <c r="L81" s="98">
        <f t="shared" si="13"/>
        <v>1461.5400000000002</v>
      </c>
      <c r="M81" s="98">
        <f t="shared" si="13"/>
        <v>1525.6399999999999</v>
      </c>
      <c r="N81" s="98">
        <f t="shared" si="13"/>
        <v>1534.6399999999999</v>
      </c>
      <c r="O81" s="98">
        <f t="shared" si="13"/>
        <v>1504.04</v>
      </c>
      <c r="P81" s="98">
        <f t="shared" si="13"/>
        <v>1525.1399999999999</v>
      </c>
      <c r="Q81" s="98">
        <f t="shared" si="13"/>
        <v>1531.1399999999999</v>
      </c>
      <c r="R81" s="98">
        <f t="shared" si="13"/>
        <v>1510.1399999999999</v>
      </c>
      <c r="S81" s="98">
        <f t="shared" si="13"/>
        <v>1539.1399999999999</v>
      </c>
      <c r="T81" s="98">
        <f t="shared" si="13"/>
        <v>1515.04</v>
      </c>
      <c r="U81" s="98">
        <f t="shared" si="13"/>
        <v>1516.2400000000002</v>
      </c>
      <c r="V81" s="98">
        <f t="shared" si="13"/>
        <v>1527.2400000000002</v>
      </c>
      <c r="W81" s="98">
        <f t="shared" si="13"/>
        <v>1574.04</v>
      </c>
      <c r="X81" s="98">
        <f t="shared" si="13"/>
        <v>1664.74</v>
      </c>
      <c r="Y81" s="98">
        <f t="shared" si="13"/>
        <v>1676.8400000000001</v>
      </c>
      <c r="Z81" s="98">
        <f t="shared" si="13"/>
        <v>1675.64</v>
      </c>
      <c r="AA81" s="98">
        <f t="shared" si="13"/>
        <v>1673.14</v>
      </c>
      <c r="AB81" s="98">
        <f t="shared" si="13"/>
        <v>1677.14</v>
      </c>
      <c r="AC81" s="98">
        <f t="shared" si="13"/>
        <v>1628.84</v>
      </c>
      <c r="AD81" s="98">
        <f t="shared" si="13"/>
        <v>1576.6399999999999</v>
      </c>
      <c r="AE81" s="98">
        <f t="shared" si="13"/>
        <v>1495.6399999999999</v>
      </c>
      <c r="AF81" s="98">
        <f t="shared" si="13"/>
        <v>1477.04</v>
      </c>
      <c r="AG81" s="85">
        <f>AG78+AG74+AG62+AG58+AG40+AG80</f>
        <v>1359.0900000000001</v>
      </c>
      <c r="AH81" s="20">
        <f t="shared" si="10"/>
        <v>1677.14</v>
      </c>
      <c r="AI81" s="19">
        <f t="shared" si="11"/>
        <v>1358.94</v>
      </c>
    </row>
    <row r="82" spans="1:37" ht="15.75" thickBot="1" x14ac:dyDescent="0.3">
      <c r="A82" s="87" t="s">
        <v>157</v>
      </c>
      <c r="B82" s="98">
        <f t="shared" ref="B82:AF82" si="14">B81-B89</f>
        <v>1049.7399999999998</v>
      </c>
      <c r="C82" s="98">
        <f t="shared" si="14"/>
        <v>1066.8400000000001</v>
      </c>
      <c r="D82" s="98">
        <f t="shared" si="14"/>
        <v>1038.74</v>
      </c>
      <c r="E82" s="98">
        <f t="shared" si="14"/>
        <v>984.74</v>
      </c>
      <c r="F82" s="98">
        <f t="shared" si="14"/>
        <v>977.63999999999987</v>
      </c>
      <c r="G82" s="98">
        <f t="shared" si="14"/>
        <v>980.94</v>
      </c>
      <c r="H82" s="98">
        <f t="shared" si="14"/>
        <v>948.94</v>
      </c>
      <c r="I82" s="98">
        <f t="shared" si="14"/>
        <v>958.94</v>
      </c>
      <c r="J82" s="98">
        <f t="shared" si="14"/>
        <v>936.94</v>
      </c>
      <c r="K82" s="98">
        <f t="shared" si="14"/>
        <v>1045.44</v>
      </c>
      <c r="L82" s="98">
        <f t="shared" si="14"/>
        <v>1082.5400000000002</v>
      </c>
      <c r="M82" s="98">
        <f t="shared" si="14"/>
        <v>1161.6399999999999</v>
      </c>
      <c r="N82" s="98">
        <f t="shared" si="14"/>
        <v>1133.6399999999999</v>
      </c>
      <c r="O82" s="98">
        <f t="shared" si="14"/>
        <v>1115.04</v>
      </c>
      <c r="P82" s="98">
        <f t="shared" si="14"/>
        <v>1127.1399999999999</v>
      </c>
      <c r="Q82" s="98">
        <f t="shared" si="14"/>
        <v>1115.1399999999999</v>
      </c>
      <c r="R82" s="98">
        <f t="shared" si="14"/>
        <v>1113.1399999999999</v>
      </c>
      <c r="S82" s="98">
        <f t="shared" si="14"/>
        <v>1154.1399999999999</v>
      </c>
      <c r="T82" s="98">
        <f t="shared" si="14"/>
        <v>1132.04</v>
      </c>
      <c r="U82" s="98">
        <f t="shared" si="14"/>
        <v>1102.2400000000002</v>
      </c>
      <c r="V82" s="98">
        <f t="shared" si="14"/>
        <v>1111.4400000000003</v>
      </c>
      <c r="W82" s="98">
        <f t="shared" si="14"/>
        <v>1190.04</v>
      </c>
      <c r="X82" s="98">
        <f t="shared" si="14"/>
        <v>1309.74</v>
      </c>
      <c r="Y82" s="98">
        <f t="shared" si="14"/>
        <v>1369.8400000000001</v>
      </c>
      <c r="Z82" s="98">
        <f t="shared" si="14"/>
        <v>1332.64</v>
      </c>
      <c r="AA82" s="98">
        <f t="shared" si="14"/>
        <v>1292.1400000000001</v>
      </c>
      <c r="AB82" s="98">
        <f t="shared" si="14"/>
        <v>1277.1400000000001</v>
      </c>
      <c r="AC82" s="98">
        <f t="shared" si="14"/>
        <v>1218.8399999999999</v>
      </c>
      <c r="AD82" s="98">
        <f t="shared" si="14"/>
        <v>1180.6399999999999</v>
      </c>
      <c r="AE82" s="98">
        <f t="shared" si="14"/>
        <v>1081.6399999999999</v>
      </c>
      <c r="AF82" s="98">
        <f t="shared" si="14"/>
        <v>1084.04</v>
      </c>
      <c r="AG82" s="85"/>
      <c r="AH82" s="20">
        <f t="shared" si="10"/>
        <v>1369.8400000000001</v>
      </c>
      <c r="AI82" s="19">
        <f t="shared" si="11"/>
        <v>936.94</v>
      </c>
    </row>
    <row r="83" spans="1:37" x14ac:dyDescent="0.25">
      <c r="A83" s="97" t="s">
        <v>156</v>
      </c>
      <c r="B83" s="93">
        <f t="shared" ref="B83:AF83" si="15">IF(B66&lt;0,B66*-1,0)</f>
        <v>0</v>
      </c>
      <c r="C83" s="93">
        <f t="shared" si="15"/>
        <v>0</v>
      </c>
      <c r="D83" s="93">
        <f t="shared" si="15"/>
        <v>0</v>
      </c>
      <c r="E83" s="93">
        <f t="shared" si="15"/>
        <v>0</v>
      </c>
      <c r="F83" s="93">
        <f t="shared" si="15"/>
        <v>0</v>
      </c>
      <c r="G83" s="93">
        <f t="shared" si="15"/>
        <v>0</v>
      </c>
      <c r="H83" s="93">
        <f t="shared" si="15"/>
        <v>0</v>
      </c>
      <c r="I83" s="93">
        <f t="shared" si="15"/>
        <v>0</v>
      </c>
      <c r="J83" s="93">
        <f t="shared" si="15"/>
        <v>0</v>
      </c>
      <c r="K83" s="93">
        <f t="shared" si="15"/>
        <v>0</v>
      </c>
      <c r="L83" s="93">
        <f t="shared" si="15"/>
        <v>0</v>
      </c>
      <c r="M83" s="93">
        <f t="shared" si="15"/>
        <v>0</v>
      </c>
      <c r="N83" s="93">
        <f t="shared" si="15"/>
        <v>0</v>
      </c>
      <c r="O83" s="93">
        <f t="shared" si="15"/>
        <v>0</v>
      </c>
      <c r="P83" s="93">
        <f t="shared" si="15"/>
        <v>0</v>
      </c>
      <c r="Q83" s="93">
        <f t="shared" si="15"/>
        <v>0</v>
      </c>
      <c r="R83" s="93">
        <f t="shared" si="15"/>
        <v>0</v>
      </c>
      <c r="S83" s="93">
        <f t="shared" si="15"/>
        <v>0</v>
      </c>
      <c r="T83" s="93">
        <f t="shared" si="15"/>
        <v>0</v>
      </c>
      <c r="U83" s="93">
        <f t="shared" si="15"/>
        <v>0</v>
      </c>
      <c r="V83" s="93">
        <f t="shared" si="15"/>
        <v>0</v>
      </c>
      <c r="W83" s="93">
        <f t="shared" si="15"/>
        <v>0</v>
      </c>
      <c r="X83" s="93">
        <f t="shared" si="15"/>
        <v>0</v>
      </c>
      <c r="Y83" s="93">
        <f t="shared" si="15"/>
        <v>0</v>
      </c>
      <c r="Z83" s="93">
        <f t="shared" si="15"/>
        <v>0</v>
      </c>
      <c r="AA83" s="93">
        <f t="shared" si="15"/>
        <v>0</v>
      </c>
      <c r="AB83" s="93">
        <f t="shared" si="15"/>
        <v>0</v>
      </c>
      <c r="AC83" s="93">
        <f t="shared" si="15"/>
        <v>0</v>
      </c>
      <c r="AD83" s="93">
        <f t="shared" si="15"/>
        <v>0</v>
      </c>
      <c r="AE83" s="93">
        <f t="shared" si="15"/>
        <v>0</v>
      </c>
      <c r="AF83" s="93">
        <f t="shared" si="15"/>
        <v>0</v>
      </c>
      <c r="AG83" s="96"/>
      <c r="AH83" s="20">
        <f t="shared" si="10"/>
        <v>0</v>
      </c>
      <c r="AI83" s="19">
        <f t="shared" si="11"/>
        <v>0</v>
      </c>
    </row>
    <row r="84" spans="1:37" x14ac:dyDescent="0.25">
      <c r="A84" s="95" t="s">
        <v>155</v>
      </c>
      <c r="B84" s="93">
        <f t="shared" ref="B84:AF84" si="16">IF(B64&lt;0,B64*-1,0)</f>
        <v>0</v>
      </c>
      <c r="C84" s="93">
        <f t="shared" si="16"/>
        <v>0</v>
      </c>
      <c r="D84" s="93">
        <f t="shared" si="16"/>
        <v>0</v>
      </c>
      <c r="E84" s="93">
        <f t="shared" si="16"/>
        <v>0</v>
      </c>
      <c r="F84" s="93">
        <f t="shared" si="16"/>
        <v>0</v>
      </c>
      <c r="G84" s="93">
        <f t="shared" si="16"/>
        <v>0</v>
      </c>
      <c r="H84" s="93">
        <f t="shared" si="16"/>
        <v>0</v>
      </c>
      <c r="I84" s="93">
        <f t="shared" si="16"/>
        <v>0</v>
      </c>
      <c r="J84" s="93">
        <f t="shared" si="16"/>
        <v>0</v>
      </c>
      <c r="K84" s="93">
        <f t="shared" si="16"/>
        <v>0</v>
      </c>
      <c r="L84" s="93">
        <f t="shared" si="16"/>
        <v>0</v>
      </c>
      <c r="M84" s="93">
        <f t="shared" si="16"/>
        <v>0</v>
      </c>
      <c r="N84" s="93">
        <f t="shared" si="16"/>
        <v>0</v>
      </c>
      <c r="O84" s="93">
        <f t="shared" si="16"/>
        <v>0</v>
      </c>
      <c r="P84" s="93">
        <f t="shared" si="16"/>
        <v>0</v>
      </c>
      <c r="Q84" s="93">
        <f t="shared" si="16"/>
        <v>0</v>
      </c>
      <c r="R84" s="93">
        <f t="shared" si="16"/>
        <v>0</v>
      </c>
      <c r="S84" s="93">
        <f t="shared" si="16"/>
        <v>0</v>
      </c>
      <c r="T84" s="93">
        <f t="shared" si="16"/>
        <v>0</v>
      </c>
      <c r="U84" s="93">
        <f t="shared" si="16"/>
        <v>0</v>
      </c>
      <c r="V84" s="93">
        <f t="shared" si="16"/>
        <v>0</v>
      </c>
      <c r="W84" s="93">
        <f t="shared" si="16"/>
        <v>0</v>
      </c>
      <c r="X84" s="93">
        <f t="shared" si="16"/>
        <v>0</v>
      </c>
      <c r="Y84" s="93">
        <f t="shared" si="16"/>
        <v>0</v>
      </c>
      <c r="Z84" s="93">
        <f t="shared" si="16"/>
        <v>0</v>
      </c>
      <c r="AA84" s="93">
        <f t="shared" si="16"/>
        <v>0</v>
      </c>
      <c r="AB84" s="93">
        <f t="shared" si="16"/>
        <v>0</v>
      </c>
      <c r="AC84" s="93">
        <f t="shared" si="16"/>
        <v>0</v>
      </c>
      <c r="AD84" s="93">
        <f t="shared" si="16"/>
        <v>0</v>
      </c>
      <c r="AE84" s="93">
        <f t="shared" si="16"/>
        <v>0</v>
      </c>
      <c r="AF84" s="93">
        <f t="shared" si="16"/>
        <v>0</v>
      </c>
      <c r="AG84" s="94"/>
      <c r="AH84" s="20">
        <f t="shared" si="10"/>
        <v>0</v>
      </c>
      <c r="AI84" s="19">
        <f t="shared" si="11"/>
        <v>0</v>
      </c>
    </row>
    <row r="85" spans="1:37" x14ac:dyDescent="0.25">
      <c r="A85" s="91" t="s">
        <v>154</v>
      </c>
      <c r="B85" s="93">
        <f t="shared" ref="B85:AF85" si="17">IF(B67&lt;0,B67*-1,0)</f>
        <v>0</v>
      </c>
      <c r="C85" s="93">
        <f t="shared" si="17"/>
        <v>0</v>
      </c>
      <c r="D85" s="93">
        <f t="shared" si="17"/>
        <v>0</v>
      </c>
      <c r="E85" s="93">
        <f t="shared" si="17"/>
        <v>0</v>
      </c>
      <c r="F85" s="93">
        <f t="shared" si="17"/>
        <v>0</v>
      </c>
      <c r="G85" s="93">
        <f t="shared" si="17"/>
        <v>0</v>
      </c>
      <c r="H85" s="93">
        <f t="shared" si="17"/>
        <v>0</v>
      </c>
      <c r="I85" s="93">
        <f t="shared" si="17"/>
        <v>0</v>
      </c>
      <c r="J85" s="93">
        <f t="shared" si="17"/>
        <v>0</v>
      </c>
      <c r="K85" s="93">
        <f t="shared" si="17"/>
        <v>0</v>
      </c>
      <c r="L85" s="93">
        <f t="shared" si="17"/>
        <v>0</v>
      </c>
      <c r="M85" s="93">
        <f t="shared" si="17"/>
        <v>0</v>
      </c>
      <c r="N85" s="93">
        <f t="shared" si="17"/>
        <v>0</v>
      </c>
      <c r="O85" s="93">
        <f t="shared" si="17"/>
        <v>0</v>
      </c>
      <c r="P85" s="93">
        <f t="shared" si="17"/>
        <v>0</v>
      </c>
      <c r="Q85" s="93">
        <f t="shared" si="17"/>
        <v>0</v>
      </c>
      <c r="R85" s="93">
        <f t="shared" si="17"/>
        <v>0</v>
      </c>
      <c r="S85" s="93">
        <f t="shared" si="17"/>
        <v>0</v>
      </c>
      <c r="T85" s="93">
        <f t="shared" si="17"/>
        <v>0</v>
      </c>
      <c r="U85" s="93">
        <f t="shared" si="17"/>
        <v>0</v>
      </c>
      <c r="V85" s="93">
        <f t="shared" si="17"/>
        <v>0</v>
      </c>
      <c r="W85" s="93">
        <f t="shared" si="17"/>
        <v>0</v>
      </c>
      <c r="X85" s="93">
        <f t="shared" si="17"/>
        <v>0</v>
      </c>
      <c r="Y85" s="93">
        <f t="shared" si="17"/>
        <v>0</v>
      </c>
      <c r="Z85" s="93">
        <f t="shared" si="17"/>
        <v>0</v>
      </c>
      <c r="AA85" s="93">
        <f t="shared" si="17"/>
        <v>0</v>
      </c>
      <c r="AB85" s="93">
        <f t="shared" si="17"/>
        <v>0</v>
      </c>
      <c r="AC85" s="93">
        <f t="shared" si="17"/>
        <v>0</v>
      </c>
      <c r="AD85" s="93">
        <f t="shared" si="17"/>
        <v>0</v>
      </c>
      <c r="AE85" s="93">
        <f t="shared" si="17"/>
        <v>0</v>
      </c>
      <c r="AF85" s="93">
        <f t="shared" si="17"/>
        <v>0</v>
      </c>
      <c r="AG85" s="92"/>
      <c r="AH85" s="20">
        <f t="shared" si="10"/>
        <v>0</v>
      </c>
      <c r="AI85" s="19">
        <f t="shared" si="11"/>
        <v>0</v>
      </c>
    </row>
    <row r="86" spans="1:37" x14ac:dyDescent="0.25">
      <c r="A86" s="91" t="s">
        <v>153</v>
      </c>
      <c r="B86" s="93">
        <f t="shared" ref="B86:AF86" si="18">IF(B65&lt;0,B65*-1,0)</f>
        <v>413</v>
      </c>
      <c r="C86" s="93">
        <f t="shared" si="18"/>
        <v>396.9</v>
      </c>
      <c r="D86" s="93">
        <f t="shared" si="18"/>
        <v>425</v>
      </c>
      <c r="E86" s="93">
        <f t="shared" si="18"/>
        <v>425</v>
      </c>
      <c r="F86" s="93">
        <f t="shared" si="18"/>
        <v>412</v>
      </c>
      <c r="G86" s="93">
        <f t="shared" si="18"/>
        <v>390</v>
      </c>
      <c r="H86" s="93">
        <f t="shared" si="18"/>
        <v>422</v>
      </c>
      <c r="I86" s="93">
        <f t="shared" si="18"/>
        <v>412</v>
      </c>
      <c r="J86" s="93">
        <f t="shared" si="18"/>
        <v>422</v>
      </c>
      <c r="K86" s="93">
        <f t="shared" si="18"/>
        <v>390</v>
      </c>
      <c r="L86" s="93">
        <f t="shared" si="18"/>
        <v>379</v>
      </c>
      <c r="M86" s="93">
        <f t="shared" si="18"/>
        <v>364</v>
      </c>
      <c r="N86" s="93">
        <f t="shared" si="18"/>
        <v>401</v>
      </c>
      <c r="O86" s="93">
        <f t="shared" si="18"/>
        <v>389</v>
      </c>
      <c r="P86" s="93">
        <f t="shared" si="18"/>
        <v>398</v>
      </c>
      <c r="Q86" s="93">
        <f t="shared" si="18"/>
        <v>416</v>
      </c>
      <c r="R86" s="93">
        <f t="shared" si="18"/>
        <v>397</v>
      </c>
      <c r="S86" s="93">
        <f t="shared" si="18"/>
        <v>385</v>
      </c>
      <c r="T86" s="93">
        <f t="shared" si="18"/>
        <v>383</v>
      </c>
      <c r="U86" s="93">
        <f t="shared" si="18"/>
        <v>414</v>
      </c>
      <c r="V86" s="93">
        <f t="shared" si="18"/>
        <v>415.8</v>
      </c>
      <c r="W86" s="93">
        <f t="shared" si="18"/>
        <v>384</v>
      </c>
      <c r="X86" s="93">
        <f t="shared" si="18"/>
        <v>355</v>
      </c>
      <c r="Y86" s="93">
        <f t="shared" si="18"/>
        <v>307</v>
      </c>
      <c r="Z86" s="93">
        <f t="shared" si="18"/>
        <v>343</v>
      </c>
      <c r="AA86" s="93">
        <f t="shared" si="18"/>
        <v>381</v>
      </c>
      <c r="AB86" s="93">
        <f t="shared" si="18"/>
        <v>400</v>
      </c>
      <c r="AC86" s="93">
        <f t="shared" si="18"/>
        <v>410</v>
      </c>
      <c r="AD86" s="93">
        <f t="shared" si="18"/>
        <v>396</v>
      </c>
      <c r="AE86" s="93">
        <f t="shared" si="18"/>
        <v>414</v>
      </c>
      <c r="AF86" s="93">
        <f t="shared" si="18"/>
        <v>393</v>
      </c>
      <c r="AG86" s="92"/>
      <c r="AH86" s="20">
        <f t="shared" si="10"/>
        <v>425</v>
      </c>
      <c r="AI86" s="19">
        <f t="shared" si="11"/>
        <v>307</v>
      </c>
    </row>
    <row r="87" spans="1:37" x14ac:dyDescent="0.25">
      <c r="A87" s="91" t="s">
        <v>152</v>
      </c>
      <c r="B87" s="93">
        <f t="shared" ref="B87:AF87" si="19">IF(B63&lt;0,B63*-1,0)</f>
        <v>0</v>
      </c>
      <c r="C87" s="93">
        <f t="shared" si="19"/>
        <v>0</v>
      </c>
      <c r="D87" s="93">
        <f t="shared" si="19"/>
        <v>0</v>
      </c>
      <c r="E87" s="93">
        <f t="shared" si="19"/>
        <v>0</v>
      </c>
      <c r="F87" s="93">
        <f t="shared" si="19"/>
        <v>0</v>
      </c>
      <c r="G87" s="93">
        <f t="shared" si="19"/>
        <v>0</v>
      </c>
      <c r="H87" s="93">
        <f t="shared" si="19"/>
        <v>0</v>
      </c>
      <c r="I87" s="93">
        <f t="shared" si="19"/>
        <v>0</v>
      </c>
      <c r="J87" s="93">
        <f t="shared" si="19"/>
        <v>0</v>
      </c>
      <c r="K87" s="93">
        <f t="shared" si="19"/>
        <v>0</v>
      </c>
      <c r="L87" s="93">
        <f t="shared" si="19"/>
        <v>0</v>
      </c>
      <c r="M87" s="93">
        <f t="shared" si="19"/>
        <v>0</v>
      </c>
      <c r="N87" s="93">
        <f t="shared" si="19"/>
        <v>0</v>
      </c>
      <c r="O87" s="93">
        <f t="shared" si="19"/>
        <v>0</v>
      </c>
      <c r="P87" s="93">
        <f t="shared" si="19"/>
        <v>0</v>
      </c>
      <c r="Q87" s="93">
        <f t="shared" si="19"/>
        <v>0</v>
      </c>
      <c r="R87" s="93">
        <f t="shared" si="19"/>
        <v>0</v>
      </c>
      <c r="S87" s="93">
        <f t="shared" si="19"/>
        <v>0</v>
      </c>
      <c r="T87" s="93">
        <f t="shared" si="19"/>
        <v>0</v>
      </c>
      <c r="U87" s="93">
        <f t="shared" si="19"/>
        <v>0</v>
      </c>
      <c r="V87" s="93">
        <f t="shared" si="19"/>
        <v>0</v>
      </c>
      <c r="W87" s="93">
        <f t="shared" si="19"/>
        <v>0</v>
      </c>
      <c r="X87" s="93">
        <f t="shared" si="19"/>
        <v>0</v>
      </c>
      <c r="Y87" s="93">
        <f t="shared" si="19"/>
        <v>0</v>
      </c>
      <c r="Z87" s="93">
        <f t="shared" si="19"/>
        <v>0</v>
      </c>
      <c r="AA87" s="93">
        <f t="shared" si="19"/>
        <v>0</v>
      </c>
      <c r="AB87" s="93">
        <f t="shared" si="19"/>
        <v>0</v>
      </c>
      <c r="AC87" s="93">
        <f t="shared" si="19"/>
        <v>0</v>
      </c>
      <c r="AD87" s="93">
        <f t="shared" si="19"/>
        <v>0</v>
      </c>
      <c r="AE87" s="93">
        <f t="shared" si="19"/>
        <v>0</v>
      </c>
      <c r="AF87" s="93">
        <f t="shared" si="19"/>
        <v>0</v>
      </c>
      <c r="AG87" s="92"/>
      <c r="AH87" s="20">
        <f t="shared" si="10"/>
        <v>0</v>
      </c>
      <c r="AI87" s="19">
        <f t="shared" si="11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10"/>
        <v>0</v>
      </c>
      <c r="AI88" s="19">
        <f t="shared" si="11"/>
        <v>0</v>
      </c>
    </row>
    <row r="89" spans="1:37" ht="15.75" thickBot="1" x14ac:dyDescent="0.3">
      <c r="A89" s="88" t="s">
        <v>150</v>
      </c>
      <c r="B89" s="86">
        <f t="shared" ref="B89:AF89" si="20">SUM(B83:B88)</f>
        <v>413</v>
      </c>
      <c r="C89" s="86">
        <f t="shared" si="20"/>
        <v>396.9</v>
      </c>
      <c r="D89" s="86">
        <f t="shared" si="20"/>
        <v>425</v>
      </c>
      <c r="E89" s="86">
        <f t="shared" si="20"/>
        <v>425</v>
      </c>
      <c r="F89" s="86">
        <f t="shared" si="20"/>
        <v>412</v>
      </c>
      <c r="G89" s="86">
        <f t="shared" si="20"/>
        <v>390</v>
      </c>
      <c r="H89" s="86">
        <f t="shared" si="20"/>
        <v>422</v>
      </c>
      <c r="I89" s="86">
        <f t="shared" si="20"/>
        <v>412</v>
      </c>
      <c r="J89" s="86">
        <f t="shared" si="20"/>
        <v>422</v>
      </c>
      <c r="K89" s="86">
        <f t="shared" si="20"/>
        <v>390</v>
      </c>
      <c r="L89" s="86">
        <f t="shared" si="20"/>
        <v>379</v>
      </c>
      <c r="M89" s="86">
        <f t="shared" si="20"/>
        <v>364</v>
      </c>
      <c r="N89" s="86">
        <f t="shared" si="20"/>
        <v>401</v>
      </c>
      <c r="O89" s="86">
        <f t="shared" si="20"/>
        <v>389</v>
      </c>
      <c r="P89" s="86">
        <f t="shared" si="20"/>
        <v>398</v>
      </c>
      <c r="Q89" s="86">
        <f t="shared" si="20"/>
        <v>416</v>
      </c>
      <c r="R89" s="86">
        <f t="shared" si="20"/>
        <v>397</v>
      </c>
      <c r="S89" s="86">
        <f t="shared" si="20"/>
        <v>385</v>
      </c>
      <c r="T89" s="86">
        <f t="shared" si="20"/>
        <v>383</v>
      </c>
      <c r="U89" s="86">
        <f t="shared" si="20"/>
        <v>414</v>
      </c>
      <c r="V89" s="86">
        <f t="shared" si="20"/>
        <v>415.8</v>
      </c>
      <c r="W89" s="86">
        <f t="shared" si="20"/>
        <v>384</v>
      </c>
      <c r="X89" s="86">
        <f t="shared" si="20"/>
        <v>355</v>
      </c>
      <c r="Y89" s="86">
        <f t="shared" si="20"/>
        <v>307</v>
      </c>
      <c r="Z89" s="86">
        <f t="shared" si="20"/>
        <v>343</v>
      </c>
      <c r="AA89" s="86">
        <f t="shared" si="20"/>
        <v>381</v>
      </c>
      <c r="AB89" s="86">
        <f t="shared" si="20"/>
        <v>400</v>
      </c>
      <c r="AC89" s="86">
        <f t="shared" si="20"/>
        <v>410</v>
      </c>
      <c r="AD89" s="86">
        <f t="shared" si="20"/>
        <v>396</v>
      </c>
      <c r="AE89" s="86">
        <f t="shared" si="20"/>
        <v>414</v>
      </c>
      <c r="AF89" s="86">
        <f t="shared" si="20"/>
        <v>393</v>
      </c>
      <c r="AG89" s="85"/>
      <c r="AH89" s="20">
        <f t="shared" si="10"/>
        <v>425</v>
      </c>
      <c r="AI89" s="19">
        <f t="shared" si="11"/>
        <v>307</v>
      </c>
      <c r="AK89" s="41"/>
    </row>
    <row r="90" spans="1:37" ht="15.75" thickBot="1" x14ac:dyDescent="0.3">
      <c r="A90" s="87" t="s">
        <v>149</v>
      </c>
      <c r="B90" s="86">
        <f t="shared" ref="B90:AF90" si="21">B74-B89</f>
        <v>-413</v>
      </c>
      <c r="C90" s="86">
        <f t="shared" si="21"/>
        <v>-396.9</v>
      </c>
      <c r="D90" s="86">
        <f t="shared" si="21"/>
        <v>-425</v>
      </c>
      <c r="E90" s="86">
        <f t="shared" si="21"/>
        <v>-425</v>
      </c>
      <c r="F90" s="86">
        <f t="shared" si="21"/>
        <v>-412</v>
      </c>
      <c r="G90" s="86">
        <f t="shared" si="21"/>
        <v>-390</v>
      </c>
      <c r="H90" s="86">
        <f t="shared" si="21"/>
        <v>-422</v>
      </c>
      <c r="I90" s="86">
        <f t="shared" si="21"/>
        <v>-412</v>
      </c>
      <c r="J90" s="86">
        <f t="shared" si="21"/>
        <v>-422</v>
      </c>
      <c r="K90" s="86">
        <f t="shared" si="21"/>
        <v>-390</v>
      </c>
      <c r="L90" s="86">
        <f t="shared" si="21"/>
        <v>-379</v>
      </c>
      <c r="M90" s="86">
        <f t="shared" si="21"/>
        <v>-364</v>
      </c>
      <c r="N90" s="86">
        <f t="shared" si="21"/>
        <v>-370</v>
      </c>
      <c r="O90" s="86">
        <f t="shared" si="21"/>
        <v>-378.6</v>
      </c>
      <c r="P90" s="86">
        <f t="shared" si="21"/>
        <v>-383</v>
      </c>
      <c r="Q90" s="86">
        <f t="shared" si="21"/>
        <v>-395</v>
      </c>
      <c r="R90" s="86">
        <f t="shared" si="21"/>
        <v>-397</v>
      </c>
      <c r="S90" s="86">
        <f t="shared" si="21"/>
        <v>-385</v>
      </c>
      <c r="T90" s="86">
        <f t="shared" si="21"/>
        <v>-383</v>
      </c>
      <c r="U90" s="86">
        <f t="shared" si="21"/>
        <v>-414</v>
      </c>
      <c r="V90" s="86">
        <f t="shared" si="21"/>
        <v>-415.8</v>
      </c>
      <c r="W90" s="86">
        <f t="shared" si="21"/>
        <v>-384</v>
      </c>
      <c r="X90" s="86">
        <f t="shared" si="21"/>
        <v>-344</v>
      </c>
      <c r="Y90" s="86">
        <f t="shared" si="21"/>
        <v>-294</v>
      </c>
      <c r="Z90" s="86">
        <f t="shared" si="21"/>
        <v>-331.2</v>
      </c>
      <c r="AA90" s="86">
        <f t="shared" si="21"/>
        <v>-371</v>
      </c>
      <c r="AB90" s="86">
        <f t="shared" si="21"/>
        <v>-390</v>
      </c>
      <c r="AC90" s="86">
        <f t="shared" si="21"/>
        <v>-400</v>
      </c>
      <c r="AD90" s="86">
        <f t="shared" si="21"/>
        <v>-396</v>
      </c>
      <c r="AE90" s="86">
        <f t="shared" si="21"/>
        <v>-414</v>
      </c>
      <c r="AF90" s="86">
        <f t="shared" si="21"/>
        <v>-393</v>
      </c>
      <c r="AG90" s="85"/>
      <c r="AH90" s="20">
        <f t="shared" si="10"/>
        <v>-294</v>
      </c>
      <c r="AI90" s="19">
        <f t="shared" si="11"/>
        <v>-425</v>
      </c>
    </row>
    <row r="91" spans="1:37" x14ac:dyDescent="0.25">
      <c r="A91" s="47" t="s">
        <v>148</v>
      </c>
      <c r="B91" s="84">
        <v>49.99</v>
      </c>
      <c r="C91" s="84">
        <v>50</v>
      </c>
      <c r="D91" s="84">
        <v>50</v>
      </c>
      <c r="E91" s="84">
        <v>50</v>
      </c>
      <c r="F91" s="84">
        <v>49.99</v>
      </c>
      <c r="G91" s="84">
        <v>50.01</v>
      </c>
      <c r="H91" s="84">
        <v>50.01</v>
      </c>
      <c r="I91" s="84">
        <v>49.94</v>
      </c>
      <c r="J91" s="84">
        <v>49.94</v>
      </c>
      <c r="K91" s="84">
        <v>20.04</v>
      </c>
      <c r="L91" s="84">
        <v>50.01</v>
      </c>
      <c r="M91" s="84">
        <v>50.1</v>
      </c>
      <c r="N91" s="84">
        <v>49.941000000000003</v>
      </c>
      <c r="O91" s="84">
        <v>50</v>
      </c>
      <c r="P91" s="84">
        <v>50.018000000000001</v>
      </c>
      <c r="Q91" s="84">
        <v>50.015000000000001</v>
      </c>
      <c r="R91" s="84">
        <v>50.01</v>
      </c>
      <c r="S91" s="84">
        <v>50.036999999999999</v>
      </c>
      <c r="T91" s="84">
        <v>50.01</v>
      </c>
      <c r="U91" s="84">
        <v>49.926000000000002</v>
      </c>
      <c r="V91" s="84">
        <v>49.926000000000002</v>
      </c>
      <c r="W91" s="84">
        <v>49.77</v>
      </c>
      <c r="X91" s="84">
        <v>49.84</v>
      </c>
      <c r="Y91" s="84">
        <v>49.82</v>
      </c>
      <c r="Z91" s="84">
        <v>50</v>
      </c>
      <c r="AA91" s="84">
        <v>50.04</v>
      </c>
      <c r="AB91" s="84">
        <v>50.02</v>
      </c>
      <c r="AC91" s="84">
        <v>50</v>
      </c>
      <c r="AD91" s="84">
        <v>50.59</v>
      </c>
      <c r="AE91" s="84">
        <v>49.973999999999997</v>
      </c>
      <c r="AF91" s="84">
        <v>49.973999999999997</v>
      </c>
      <c r="AG91" s="83"/>
      <c r="AH91" s="20">
        <f t="shared" si="10"/>
        <v>50.59</v>
      </c>
      <c r="AI91" s="19">
        <f t="shared" si="11"/>
        <v>20.04</v>
      </c>
    </row>
    <row r="92" spans="1:37" x14ac:dyDescent="0.25">
      <c r="A92" s="44" t="s">
        <v>147</v>
      </c>
      <c r="B92" s="80">
        <v>127</v>
      </c>
      <c r="C92" s="80">
        <v>127</v>
      </c>
      <c r="D92" s="80">
        <v>127</v>
      </c>
      <c r="E92" s="80">
        <v>127</v>
      </c>
      <c r="F92" s="80">
        <v>127</v>
      </c>
      <c r="G92" s="80">
        <v>127.6</v>
      </c>
      <c r="H92" s="80">
        <v>127.6</v>
      </c>
      <c r="I92" s="80">
        <v>127.6</v>
      </c>
      <c r="J92" s="80">
        <v>127.6</v>
      </c>
      <c r="K92" s="80">
        <v>127.6</v>
      </c>
      <c r="L92" s="80">
        <v>125.7</v>
      </c>
      <c r="M92" s="80">
        <v>125.2</v>
      </c>
      <c r="N92" s="80">
        <v>124.4</v>
      </c>
      <c r="O92" s="80">
        <v>124</v>
      </c>
      <c r="P92" s="80">
        <v>124.8</v>
      </c>
      <c r="Q92" s="80">
        <v>124.6</v>
      </c>
      <c r="R92" s="80">
        <v>124.2</v>
      </c>
      <c r="S92" s="80">
        <v>124.8</v>
      </c>
      <c r="T92" s="80">
        <v>125.9</v>
      </c>
      <c r="U92" s="80">
        <v>125.1</v>
      </c>
      <c r="V92" s="80">
        <v>125.1</v>
      </c>
      <c r="W92" s="80">
        <v>123.7</v>
      </c>
      <c r="X92" s="80">
        <v>123.2</v>
      </c>
      <c r="Y92" s="80">
        <v>124</v>
      </c>
      <c r="Z92" s="80">
        <v>125.1</v>
      </c>
      <c r="AA92" s="80">
        <v>125.4</v>
      </c>
      <c r="AB92" s="80">
        <v>125.4</v>
      </c>
      <c r="AC92" s="80">
        <v>125.4</v>
      </c>
      <c r="AD92" s="80">
        <v>127.1</v>
      </c>
      <c r="AE92" s="80">
        <v>126.8</v>
      </c>
      <c r="AF92" s="80">
        <v>126.8</v>
      </c>
      <c r="AG92" s="79"/>
      <c r="AH92" s="20">
        <f t="shared" si="10"/>
        <v>127.6</v>
      </c>
      <c r="AI92" s="19">
        <f t="shared" si="11"/>
        <v>123.2</v>
      </c>
    </row>
    <row r="93" spans="1:37" x14ac:dyDescent="0.25">
      <c r="A93" s="44" t="s">
        <v>146</v>
      </c>
      <c r="B93" s="80">
        <v>131</v>
      </c>
      <c r="C93" s="80">
        <v>131</v>
      </c>
      <c r="D93" s="80">
        <v>131</v>
      </c>
      <c r="E93" s="80">
        <v>131</v>
      </c>
      <c r="F93" s="80">
        <v>131</v>
      </c>
      <c r="G93" s="80">
        <v>131.4</v>
      </c>
      <c r="H93" s="80">
        <v>131.4</v>
      </c>
      <c r="I93" s="80">
        <v>130.9</v>
      </c>
      <c r="J93" s="80">
        <v>130.9</v>
      </c>
      <c r="K93" s="80">
        <v>130.9</v>
      </c>
      <c r="L93" s="80">
        <v>128.69999999999999</v>
      </c>
      <c r="M93" s="80">
        <v>128.1</v>
      </c>
      <c r="N93" s="80">
        <v>127.1</v>
      </c>
      <c r="O93" s="80">
        <v>127.5</v>
      </c>
      <c r="P93" s="80">
        <v>128.19999999999999</v>
      </c>
      <c r="Q93" s="80">
        <v>128.30000000000001</v>
      </c>
      <c r="R93" s="80">
        <v>129</v>
      </c>
      <c r="S93" s="80">
        <v>130</v>
      </c>
      <c r="T93" s="80">
        <v>129.19999999999999</v>
      </c>
      <c r="U93" s="80">
        <v>128.5</v>
      </c>
      <c r="V93" s="80">
        <v>128.5</v>
      </c>
      <c r="W93" s="80">
        <v>127.1</v>
      </c>
      <c r="X93" s="80">
        <v>126.5</v>
      </c>
      <c r="Y93" s="80">
        <v>127.4</v>
      </c>
      <c r="Z93" s="80">
        <v>128.9</v>
      </c>
      <c r="AA93" s="80">
        <v>129</v>
      </c>
      <c r="AB93" s="80">
        <v>129</v>
      </c>
      <c r="AC93" s="80">
        <v>129</v>
      </c>
      <c r="AD93" s="80">
        <v>131.5</v>
      </c>
      <c r="AE93" s="80">
        <v>131.4</v>
      </c>
      <c r="AF93" s="80">
        <v>131.4</v>
      </c>
      <c r="AG93" s="79"/>
      <c r="AH93" s="20">
        <f t="shared" si="10"/>
        <v>131.5</v>
      </c>
      <c r="AI93" s="19">
        <f t="shared" si="11"/>
        <v>126.5</v>
      </c>
    </row>
    <row r="94" spans="1:37" x14ac:dyDescent="0.25">
      <c r="A94" s="44" t="s">
        <v>145</v>
      </c>
      <c r="B94" s="80">
        <v>130</v>
      </c>
      <c r="C94" s="80">
        <v>130</v>
      </c>
      <c r="D94" s="80">
        <v>130</v>
      </c>
      <c r="E94" s="80">
        <v>130</v>
      </c>
      <c r="F94" s="80">
        <v>130</v>
      </c>
      <c r="G94" s="80">
        <v>131.69999999999999</v>
      </c>
      <c r="H94" s="80">
        <v>131.69999999999999</v>
      </c>
      <c r="I94" s="80">
        <v>131.6</v>
      </c>
      <c r="J94" s="80">
        <v>131.6</v>
      </c>
      <c r="K94" s="80">
        <v>131.6</v>
      </c>
      <c r="L94" s="80">
        <v>130.9</v>
      </c>
      <c r="M94" s="80">
        <v>128.4</v>
      </c>
      <c r="N94" s="80">
        <v>128.6</v>
      </c>
      <c r="O94" s="80">
        <v>128.69999999999999</v>
      </c>
      <c r="P94" s="80">
        <v>129</v>
      </c>
      <c r="Q94" s="80">
        <v>127.7</v>
      </c>
      <c r="R94" s="80">
        <v>127.1</v>
      </c>
      <c r="S94" s="80">
        <v>126.4</v>
      </c>
      <c r="T94" s="80">
        <v>127.8</v>
      </c>
      <c r="U94" s="80">
        <v>127.7</v>
      </c>
      <c r="V94" s="80">
        <v>127.7</v>
      </c>
      <c r="W94" s="80">
        <v>129.1</v>
      </c>
      <c r="X94" s="80">
        <v>128.69999999999999</v>
      </c>
      <c r="Y94" s="80">
        <v>128.30000000000001</v>
      </c>
      <c r="Z94" s="80">
        <v>130.4</v>
      </c>
      <c r="AA94" s="80">
        <v>130.1</v>
      </c>
      <c r="AB94" s="80">
        <v>130.1</v>
      </c>
      <c r="AC94" s="80">
        <v>130.1</v>
      </c>
      <c r="AD94" s="80">
        <v>131.19999999999999</v>
      </c>
      <c r="AE94" s="80">
        <v>130.19999999999999</v>
      </c>
      <c r="AF94" s="80">
        <v>130.19999999999999</v>
      </c>
      <c r="AG94" s="79"/>
      <c r="AH94" s="20">
        <f t="shared" si="10"/>
        <v>131.69999999999999</v>
      </c>
      <c r="AI94" s="19">
        <f t="shared" si="11"/>
        <v>126.4</v>
      </c>
    </row>
    <row r="95" spans="1:37" x14ac:dyDescent="0.25">
      <c r="A95" s="82" t="s">
        <v>144</v>
      </c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>
        <v>131.6</v>
      </c>
      <c r="N95" s="80">
        <v>131.80000000000001</v>
      </c>
      <c r="O95" s="80"/>
      <c r="P95" s="80"/>
      <c r="Q95" s="80"/>
      <c r="R95" s="80">
        <v>131.6</v>
      </c>
      <c r="S95" s="80">
        <v>130.30000000000001</v>
      </c>
      <c r="T95" s="80">
        <v>131.1</v>
      </c>
      <c r="U95" s="80">
        <v>130.9</v>
      </c>
      <c r="V95" s="80">
        <v>130.9</v>
      </c>
      <c r="W95" s="80">
        <v>132.9</v>
      </c>
      <c r="X95" s="80">
        <v>128.5</v>
      </c>
      <c r="Y95" s="80">
        <v>131.4</v>
      </c>
      <c r="Z95" s="80">
        <v>133.69999999999999</v>
      </c>
      <c r="AA95" s="80">
        <v>133.80000000000001</v>
      </c>
      <c r="AB95" s="80">
        <v>133.80000000000001</v>
      </c>
      <c r="AC95" s="80">
        <v>133.80000000000001</v>
      </c>
      <c r="AD95" s="80">
        <v>130.80000000000001</v>
      </c>
      <c r="AE95" s="80">
        <v>134.6</v>
      </c>
      <c r="AF95" s="80">
        <v>134.6</v>
      </c>
      <c r="AG95" s="79"/>
      <c r="AH95" s="20">
        <f t="shared" si="10"/>
        <v>134.6</v>
      </c>
      <c r="AI95" s="19">
        <f t="shared" si="11"/>
        <v>128.5</v>
      </c>
    </row>
    <row r="96" spans="1:37" x14ac:dyDescent="0.25">
      <c r="A96" s="82" t="s">
        <v>143</v>
      </c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81"/>
      <c r="AH96" s="20">
        <f t="shared" si="10"/>
        <v>0</v>
      </c>
      <c r="AI96" s="19">
        <f t="shared" si="11"/>
        <v>0</v>
      </c>
    </row>
    <row r="97" spans="1:37" x14ac:dyDescent="0.25">
      <c r="A97" s="44" t="s">
        <v>142</v>
      </c>
      <c r="B97" s="80">
        <v>134</v>
      </c>
      <c r="C97" s="80">
        <v>135</v>
      </c>
      <c r="D97" s="80">
        <v>135</v>
      </c>
      <c r="E97" s="80">
        <v>135</v>
      </c>
      <c r="F97" s="80">
        <v>135</v>
      </c>
      <c r="G97" s="80">
        <v>133.1</v>
      </c>
      <c r="H97" s="80">
        <v>133.1</v>
      </c>
      <c r="I97" s="80">
        <v>131.5</v>
      </c>
      <c r="J97" s="80">
        <v>131.5</v>
      </c>
      <c r="K97" s="80">
        <v>131.5</v>
      </c>
      <c r="L97" s="80">
        <v>131.5</v>
      </c>
      <c r="M97" s="80">
        <v>132.6</v>
      </c>
      <c r="N97" s="80">
        <v>130.1</v>
      </c>
      <c r="O97" s="80">
        <v>133.69999999999999</v>
      </c>
      <c r="P97" s="80">
        <v>131</v>
      </c>
      <c r="Q97" s="80">
        <v>132</v>
      </c>
      <c r="R97" s="80">
        <v>129.19999999999999</v>
      </c>
      <c r="S97" s="80">
        <v>131.69999999999999</v>
      </c>
      <c r="T97" s="80">
        <v>131.9</v>
      </c>
      <c r="U97" s="80">
        <v>128.69999999999999</v>
      </c>
      <c r="V97" s="80">
        <v>128.69999999999999</v>
      </c>
      <c r="W97" s="80">
        <v>126.7</v>
      </c>
      <c r="X97" s="80">
        <v>126.7</v>
      </c>
      <c r="Y97" s="80">
        <v>127.7</v>
      </c>
      <c r="Z97" s="80">
        <v>133.4</v>
      </c>
      <c r="AA97" s="80">
        <v>132.19999999999999</v>
      </c>
      <c r="AB97" s="80">
        <v>132.19999999999999</v>
      </c>
      <c r="AC97" s="80">
        <v>132.19999999999999</v>
      </c>
      <c r="AD97" s="80">
        <v>131.5</v>
      </c>
      <c r="AE97" s="80">
        <v>132</v>
      </c>
      <c r="AF97" s="80">
        <v>132</v>
      </c>
      <c r="AG97" s="79"/>
      <c r="AH97" s="20">
        <f t="shared" si="10"/>
        <v>135</v>
      </c>
      <c r="AI97" s="19">
        <f t="shared" si="11"/>
        <v>126.7</v>
      </c>
    </row>
    <row r="98" spans="1:37" ht="15.75" thickBot="1" x14ac:dyDescent="0.3">
      <c r="A98" s="44" t="s">
        <v>141</v>
      </c>
      <c r="B98" s="77">
        <v>66</v>
      </c>
      <c r="C98" s="77">
        <v>66</v>
      </c>
      <c r="D98" s="77">
        <v>66</v>
      </c>
      <c r="E98" s="77">
        <v>66</v>
      </c>
      <c r="F98" s="77">
        <v>66</v>
      </c>
      <c r="G98" s="77">
        <v>66.400000000000006</v>
      </c>
      <c r="H98" s="77">
        <v>66.400000000000006</v>
      </c>
      <c r="I98" s="77">
        <v>65.900000000000006</v>
      </c>
      <c r="J98" s="77">
        <v>65.900000000000006</v>
      </c>
      <c r="K98" s="77">
        <v>65</v>
      </c>
      <c r="L98" s="77">
        <v>64.7</v>
      </c>
      <c r="M98" s="77">
        <v>64.3</v>
      </c>
      <c r="N98" s="77">
        <v>64.2</v>
      </c>
      <c r="O98" s="77">
        <v>64</v>
      </c>
      <c r="P98" s="77">
        <v>64.400000000000006</v>
      </c>
      <c r="Q98" s="77">
        <v>64.5</v>
      </c>
      <c r="R98" s="77">
        <v>64.8</v>
      </c>
      <c r="S98" s="77">
        <v>65.3</v>
      </c>
      <c r="T98" s="77">
        <v>64.900000000000006</v>
      </c>
      <c r="U98" s="77">
        <v>64.8</v>
      </c>
      <c r="V98" s="77">
        <v>64.8</v>
      </c>
      <c r="W98" s="77">
        <v>64.099999999999994</v>
      </c>
      <c r="X98" s="77">
        <v>63.8</v>
      </c>
      <c r="Y98" s="77">
        <v>63</v>
      </c>
      <c r="Z98" s="77">
        <v>65</v>
      </c>
      <c r="AA98" s="77">
        <v>65.400000000000006</v>
      </c>
      <c r="AB98" s="77">
        <v>65.400000000000006</v>
      </c>
      <c r="AC98" s="77">
        <v>65.400000000000006</v>
      </c>
      <c r="AD98" s="77">
        <v>66.599999999999994</v>
      </c>
      <c r="AE98" s="77">
        <v>66.3</v>
      </c>
      <c r="AF98" s="77">
        <v>66.3</v>
      </c>
      <c r="AG98" s="76"/>
      <c r="AH98" s="20">
        <f t="shared" si="10"/>
        <v>66.599999999999994</v>
      </c>
      <c r="AI98" s="19">
        <f t="shared" si="11"/>
        <v>63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10"/>
        <v>0</v>
      </c>
      <c r="AI99" s="19">
        <f t="shared" si="11"/>
        <v>0</v>
      </c>
    </row>
    <row r="100" spans="1:37" ht="15.75" thickBot="1" x14ac:dyDescent="0.3">
      <c r="A100" s="75" t="s">
        <v>140</v>
      </c>
      <c r="B100" s="74">
        <f t="shared" ref="B100:AF100" si="22">SUM(B15,B20,B22:B23,B48,B50:B51,B53,B55,B101:B105,B127,B133,B139,B148,B150,B162,B169,B172:B173,B180,B182,B184,B188:B190,B192:B194,B199,B205:B206,B208:B210,B218,B223)</f>
        <v>28.599999999999994</v>
      </c>
      <c r="C100" s="74">
        <f t="shared" si="22"/>
        <v>30.939999999999994</v>
      </c>
      <c r="D100" s="74">
        <f t="shared" si="22"/>
        <v>28.940000000000012</v>
      </c>
      <c r="E100" s="74">
        <f t="shared" si="22"/>
        <v>4.5399999999999965</v>
      </c>
      <c r="F100" s="74">
        <f t="shared" si="22"/>
        <v>2.0399999999999969</v>
      </c>
      <c r="G100" s="74">
        <f t="shared" si="22"/>
        <v>37.439999999999991</v>
      </c>
      <c r="H100" s="74">
        <f t="shared" si="22"/>
        <v>37.439999999999991</v>
      </c>
      <c r="I100" s="74">
        <f t="shared" si="22"/>
        <v>69.239999999999995</v>
      </c>
      <c r="J100" s="74">
        <f t="shared" si="22"/>
        <v>69.239999999999995</v>
      </c>
      <c r="K100" s="74">
        <f t="shared" si="22"/>
        <v>89.74</v>
      </c>
      <c r="L100" s="74">
        <f t="shared" si="22"/>
        <v>94.740000000000009</v>
      </c>
      <c r="M100" s="74">
        <f t="shared" si="22"/>
        <v>163.93999999999997</v>
      </c>
      <c r="N100" s="74">
        <f t="shared" si="22"/>
        <v>162.44</v>
      </c>
      <c r="O100" s="74">
        <f t="shared" si="22"/>
        <v>147.44</v>
      </c>
      <c r="P100" s="74">
        <f t="shared" si="22"/>
        <v>141.54</v>
      </c>
      <c r="Q100" s="74">
        <f t="shared" si="22"/>
        <v>126.39999999999998</v>
      </c>
      <c r="R100" s="74">
        <f t="shared" si="22"/>
        <v>126.20000000000002</v>
      </c>
      <c r="S100" s="74">
        <f t="shared" si="22"/>
        <v>144.4</v>
      </c>
      <c r="T100" s="74">
        <f t="shared" si="22"/>
        <v>130.10000000000002</v>
      </c>
      <c r="U100" s="74">
        <f t="shared" si="22"/>
        <v>143.69999999999999</v>
      </c>
      <c r="V100" s="74">
        <f t="shared" si="22"/>
        <v>149.20000000000002</v>
      </c>
      <c r="W100" s="74">
        <f t="shared" si="22"/>
        <v>170.10000000000002</v>
      </c>
      <c r="X100" s="74">
        <f t="shared" si="22"/>
        <v>235.3</v>
      </c>
      <c r="Y100" s="74">
        <f t="shared" si="22"/>
        <v>240.4</v>
      </c>
      <c r="Z100" s="74">
        <f t="shared" si="22"/>
        <v>226.90000000000003</v>
      </c>
      <c r="AA100" s="74">
        <f t="shared" si="22"/>
        <v>209.79999999999998</v>
      </c>
      <c r="AB100" s="74">
        <f t="shared" si="22"/>
        <v>175.7</v>
      </c>
      <c r="AC100" s="74">
        <f t="shared" si="22"/>
        <v>141.89999999999998</v>
      </c>
      <c r="AD100" s="74">
        <f t="shared" si="22"/>
        <v>97.299999999999983</v>
      </c>
      <c r="AE100" s="74">
        <f t="shared" si="22"/>
        <v>51.999999999999986</v>
      </c>
      <c r="AF100" s="74">
        <f t="shared" si="22"/>
        <v>43.299999999999976</v>
      </c>
      <c r="AG100" s="73"/>
      <c r="AH100" s="20">
        <f t="shared" si="10"/>
        <v>240.4</v>
      </c>
      <c r="AI100" s="19">
        <f t="shared" si="11"/>
        <v>2.0399999999999969</v>
      </c>
    </row>
    <row r="101" spans="1:37" x14ac:dyDescent="0.25">
      <c r="A101" s="47" t="s">
        <v>139</v>
      </c>
      <c r="B101" s="72">
        <v>13</v>
      </c>
      <c r="C101" s="72">
        <v>4.8</v>
      </c>
      <c r="D101" s="72">
        <v>6.8</v>
      </c>
      <c r="E101" s="72">
        <v>6.8</v>
      </c>
      <c r="F101" s="72">
        <v>6.8</v>
      </c>
      <c r="G101" s="72">
        <v>6.6</v>
      </c>
      <c r="H101" s="72">
        <v>6.6</v>
      </c>
      <c r="I101" s="72">
        <v>6.6</v>
      </c>
      <c r="J101" s="72">
        <v>6.6</v>
      </c>
      <c r="K101" s="72">
        <v>6.6</v>
      </c>
      <c r="L101" s="72">
        <v>7.5</v>
      </c>
      <c r="M101" s="72">
        <v>2.7</v>
      </c>
      <c r="N101" s="72">
        <v>16.8</v>
      </c>
      <c r="O101" s="72">
        <v>10.3</v>
      </c>
      <c r="P101" s="72">
        <v>9.6</v>
      </c>
      <c r="Q101" s="72">
        <v>16.5</v>
      </c>
      <c r="R101" s="72">
        <v>17.399999999999999</v>
      </c>
      <c r="S101" s="72">
        <v>21.5</v>
      </c>
      <c r="T101" s="72">
        <v>24.3</v>
      </c>
      <c r="U101" s="72">
        <v>28.6</v>
      </c>
      <c r="V101" s="72">
        <v>30.6</v>
      </c>
      <c r="W101" s="72">
        <v>30.9</v>
      </c>
      <c r="X101" s="72">
        <v>36</v>
      </c>
      <c r="Y101" s="72">
        <v>36</v>
      </c>
      <c r="Z101" s="72">
        <v>35.5</v>
      </c>
      <c r="AA101" s="72">
        <v>35.5</v>
      </c>
      <c r="AB101" s="72">
        <v>34</v>
      </c>
      <c r="AC101" s="72">
        <v>32.200000000000003</v>
      </c>
      <c r="AD101" s="72">
        <v>27</v>
      </c>
      <c r="AE101" s="72">
        <v>22</v>
      </c>
      <c r="AF101" s="72">
        <v>15.9</v>
      </c>
      <c r="AG101" s="70">
        <v>75</v>
      </c>
      <c r="AH101" s="20">
        <f t="shared" si="10"/>
        <v>36</v>
      </c>
      <c r="AI101" s="19">
        <f t="shared" si="11"/>
        <v>2.7</v>
      </c>
    </row>
    <row r="102" spans="1:37" x14ac:dyDescent="0.25">
      <c r="A102" s="44" t="s">
        <v>138</v>
      </c>
      <c r="B102" s="71">
        <v>25</v>
      </c>
      <c r="C102" s="71">
        <v>19.8</v>
      </c>
      <c r="D102" s="71">
        <v>23</v>
      </c>
      <c r="E102" s="71">
        <v>23</v>
      </c>
      <c r="F102" s="71">
        <v>23</v>
      </c>
      <c r="G102" s="71">
        <v>21.8</v>
      </c>
      <c r="H102" s="71">
        <v>21.8</v>
      </c>
      <c r="I102" s="71">
        <v>21</v>
      </c>
      <c r="J102" s="71">
        <v>21</v>
      </c>
      <c r="K102" s="71">
        <v>21</v>
      </c>
      <c r="L102" s="71">
        <v>23.5</v>
      </c>
      <c r="M102" s="71">
        <v>15.7</v>
      </c>
      <c r="N102" s="71">
        <v>35.6</v>
      </c>
      <c r="O102" s="71">
        <v>26.6</v>
      </c>
      <c r="P102" s="71">
        <v>26.2</v>
      </c>
      <c r="Q102" s="71">
        <v>30.7</v>
      </c>
      <c r="R102" s="71">
        <v>31.3</v>
      </c>
      <c r="S102" s="71">
        <v>36.799999999999997</v>
      </c>
      <c r="T102" s="71">
        <v>42</v>
      </c>
      <c r="U102" s="71">
        <v>48.1</v>
      </c>
      <c r="V102" s="71">
        <v>50.6</v>
      </c>
      <c r="W102" s="71">
        <v>50</v>
      </c>
      <c r="X102" s="71">
        <v>59.4</v>
      </c>
      <c r="Y102" s="71">
        <v>59.4</v>
      </c>
      <c r="Z102" s="71">
        <v>59.2</v>
      </c>
      <c r="AA102" s="71">
        <v>60.7</v>
      </c>
      <c r="AB102" s="71">
        <v>58</v>
      </c>
      <c r="AC102" s="71">
        <v>53.3</v>
      </c>
      <c r="AD102" s="71">
        <v>44</v>
      </c>
      <c r="AE102" s="71">
        <v>38</v>
      </c>
      <c r="AF102" s="71">
        <v>32.799999999999997</v>
      </c>
      <c r="AG102" s="70">
        <v>240</v>
      </c>
      <c r="AH102" s="20">
        <f t="shared" si="10"/>
        <v>60.7</v>
      </c>
      <c r="AI102" s="19">
        <f t="shared" si="11"/>
        <v>15.7</v>
      </c>
    </row>
    <row r="103" spans="1:37" x14ac:dyDescent="0.25">
      <c r="A103" s="44" t="s">
        <v>137</v>
      </c>
      <c r="B103" s="71">
        <v>-116</v>
      </c>
      <c r="C103" s="71">
        <v>-113</v>
      </c>
      <c r="D103" s="71">
        <v>-120</v>
      </c>
      <c r="E103" s="71">
        <v>-120</v>
      </c>
      <c r="F103" s="71">
        <v>-120</v>
      </c>
      <c r="G103" s="71">
        <f>-44.9-47.9</f>
        <v>-92.8</v>
      </c>
      <c r="H103" s="71">
        <f t="shared" ref="H103" si="23">-44.9-47.9</f>
        <v>-92.8</v>
      </c>
      <c r="I103" s="71">
        <f>-32-34.1</f>
        <v>-66.099999999999994</v>
      </c>
      <c r="J103" s="71">
        <f t="shared" ref="J103:K103" si="24">-32-34.1</f>
        <v>-66.099999999999994</v>
      </c>
      <c r="K103" s="71">
        <f t="shared" si="24"/>
        <v>-66.099999999999994</v>
      </c>
      <c r="L103" s="71">
        <f>-39.4-38.4</f>
        <v>-77.8</v>
      </c>
      <c r="M103" s="71">
        <f>-32.9-36</f>
        <v>-68.900000000000006</v>
      </c>
      <c r="N103" s="71">
        <v>-83.6</v>
      </c>
      <c r="O103" s="71">
        <f>-40-43</f>
        <v>-83</v>
      </c>
      <c r="P103" s="71">
        <f>-40-43</f>
        <v>-83</v>
      </c>
      <c r="Q103" s="71">
        <f>-47-50.2</f>
        <v>-97.2</v>
      </c>
      <c r="R103" s="71">
        <v>-79</v>
      </c>
      <c r="S103" s="71">
        <v>-76.2</v>
      </c>
      <c r="T103" s="71">
        <f>-47.7-51.4</f>
        <v>-99.1</v>
      </c>
      <c r="U103" s="71">
        <f>-46.7-50.4</f>
        <v>-97.1</v>
      </c>
      <c r="V103" s="71">
        <f>-46.7-50.4</f>
        <v>-97.1</v>
      </c>
      <c r="W103" s="71">
        <f>-41.5-44.5</f>
        <v>-86</v>
      </c>
      <c r="X103" s="71">
        <f>-36.7-39.7</f>
        <v>-76.400000000000006</v>
      </c>
      <c r="Y103" s="71">
        <f>-36.7-39.7</f>
        <v>-76.400000000000006</v>
      </c>
      <c r="Z103" s="71">
        <f>-44.6-48</f>
        <v>-92.6</v>
      </c>
      <c r="AA103" s="71">
        <f>-52.4-56.1</f>
        <v>-108.5</v>
      </c>
      <c r="AB103" s="71">
        <v>-100</v>
      </c>
      <c r="AC103" s="71">
        <v>-95</v>
      </c>
      <c r="AD103" s="71">
        <v>-113</v>
      </c>
      <c r="AE103" s="71">
        <v>-132</v>
      </c>
      <c r="AF103" s="71">
        <v>-125</v>
      </c>
      <c r="AG103" s="70">
        <v>240</v>
      </c>
      <c r="AH103" s="20">
        <f t="shared" si="10"/>
        <v>-66.099999999999994</v>
      </c>
      <c r="AI103" s="19">
        <f t="shared" si="11"/>
        <v>-132</v>
      </c>
    </row>
    <row r="104" spans="1:37" x14ac:dyDescent="0.25">
      <c r="A104" s="44" t="s">
        <v>136</v>
      </c>
      <c r="B104" s="71">
        <v>3</v>
      </c>
      <c r="C104" s="71">
        <v>2.4</v>
      </c>
      <c r="D104" s="71">
        <v>2.2000000000000002</v>
      </c>
      <c r="E104" s="71">
        <v>-4.2</v>
      </c>
      <c r="F104" s="71">
        <v>-6.7</v>
      </c>
      <c r="G104" s="71">
        <v>2.9</v>
      </c>
      <c r="H104" s="71">
        <v>2.9</v>
      </c>
      <c r="I104" s="71">
        <v>8.8000000000000007</v>
      </c>
      <c r="J104" s="71">
        <v>8.8000000000000007</v>
      </c>
      <c r="K104" s="71">
        <v>8.8000000000000007</v>
      </c>
      <c r="L104" s="71">
        <v>11.3</v>
      </c>
      <c r="M104" s="71">
        <v>12.5</v>
      </c>
      <c r="N104" s="71">
        <v>10.5</v>
      </c>
      <c r="O104" s="71">
        <v>11.5</v>
      </c>
      <c r="P104" s="71">
        <v>10.7</v>
      </c>
      <c r="Q104" s="71">
        <v>9.8000000000000007</v>
      </c>
      <c r="R104" s="71">
        <v>2.5</v>
      </c>
      <c r="S104" s="71">
        <v>4.3</v>
      </c>
      <c r="T104" s="71">
        <v>9.8000000000000007</v>
      </c>
      <c r="U104" s="71">
        <v>9.6</v>
      </c>
      <c r="V104" s="71">
        <v>13.4</v>
      </c>
      <c r="W104" s="71">
        <v>14.2</v>
      </c>
      <c r="X104" s="71">
        <v>15</v>
      </c>
      <c r="Y104" s="71">
        <v>15</v>
      </c>
      <c r="Z104" s="71">
        <v>12.6</v>
      </c>
      <c r="AA104" s="71">
        <v>9.5</v>
      </c>
      <c r="AB104" s="71">
        <v>9</v>
      </c>
      <c r="AC104" s="71">
        <v>8.6999999999999993</v>
      </c>
      <c r="AD104" s="71">
        <v>6.6</v>
      </c>
      <c r="AE104" s="71">
        <v>1.3</v>
      </c>
      <c r="AF104" s="71">
        <v>0.9</v>
      </c>
      <c r="AG104" s="70">
        <v>60</v>
      </c>
      <c r="AH104" s="20">
        <f t="shared" si="10"/>
        <v>15</v>
      </c>
      <c r="AI104" s="19">
        <f t="shared" si="11"/>
        <v>-6.7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65</v>
      </c>
      <c r="N105" s="68">
        <v>46.2</v>
      </c>
      <c r="O105" s="68">
        <v>55.1</v>
      </c>
      <c r="P105" s="68">
        <v>51.1</v>
      </c>
      <c r="Q105" s="68">
        <v>40.6</v>
      </c>
      <c r="R105" s="68">
        <v>28</v>
      </c>
      <c r="S105" s="68">
        <v>32</v>
      </c>
      <c r="T105" s="68">
        <v>27.1</v>
      </c>
      <c r="U105" s="68">
        <v>28.1</v>
      </c>
      <c r="V105" s="68">
        <v>25.3</v>
      </c>
      <c r="W105" s="68">
        <v>42.6</v>
      </c>
      <c r="X105" s="68">
        <v>58</v>
      </c>
      <c r="Y105" s="68">
        <v>58</v>
      </c>
      <c r="Z105" s="68">
        <v>63.8</v>
      </c>
      <c r="AA105" s="68">
        <v>63.9</v>
      </c>
      <c r="AB105" s="68">
        <v>22</v>
      </c>
      <c r="AC105" s="68">
        <v>0</v>
      </c>
      <c r="AD105" s="68">
        <v>0</v>
      </c>
      <c r="AE105" s="68">
        <v>0</v>
      </c>
      <c r="AF105" s="68">
        <v>0</v>
      </c>
      <c r="AG105" s="69">
        <v>120</v>
      </c>
      <c r="AH105" s="20">
        <f t="shared" si="10"/>
        <v>65</v>
      </c>
      <c r="AI105" s="19">
        <f t="shared" si="11"/>
        <v>0</v>
      </c>
    </row>
    <row r="106" spans="1:37" x14ac:dyDescent="0.25">
      <c r="A106" s="40" t="s">
        <v>134</v>
      </c>
      <c r="B106" s="68">
        <v>21.5</v>
      </c>
      <c r="C106" s="68">
        <v>41</v>
      </c>
      <c r="D106" s="68">
        <v>25.7</v>
      </c>
      <c r="E106" s="68">
        <v>30</v>
      </c>
      <c r="F106" s="68">
        <v>32</v>
      </c>
      <c r="G106" s="68">
        <v>43.1</v>
      </c>
      <c r="H106" s="68">
        <v>43.1</v>
      </c>
      <c r="I106" s="68">
        <v>47.8</v>
      </c>
      <c r="J106" s="68">
        <v>47.8</v>
      </c>
      <c r="K106" s="68">
        <v>47.8</v>
      </c>
      <c r="L106" s="68">
        <v>50.4</v>
      </c>
      <c r="M106" s="68">
        <v>52.3</v>
      </c>
      <c r="N106" s="68">
        <v>42.3</v>
      </c>
      <c r="O106" s="68">
        <v>55</v>
      </c>
      <c r="P106" s="68">
        <v>49.3</v>
      </c>
      <c r="Q106" s="68">
        <v>42.3</v>
      </c>
      <c r="R106" s="68">
        <v>39.5</v>
      </c>
      <c r="S106" s="68">
        <v>36</v>
      </c>
      <c r="T106" s="68">
        <v>26.3</v>
      </c>
      <c r="U106" s="68">
        <v>25.4</v>
      </c>
      <c r="V106" s="68">
        <v>14.6</v>
      </c>
      <c r="W106" s="68">
        <v>34.1</v>
      </c>
      <c r="X106" s="68">
        <v>45.9</v>
      </c>
      <c r="Y106" s="68">
        <v>45.9</v>
      </c>
      <c r="Z106" s="68">
        <v>37.4</v>
      </c>
      <c r="AA106" s="68">
        <v>22.8</v>
      </c>
      <c r="AB106" s="68">
        <v>23</v>
      </c>
      <c r="AC106" s="68">
        <v>37.5</v>
      </c>
      <c r="AD106" s="68">
        <v>21.5</v>
      </c>
      <c r="AE106" s="68">
        <v>13.9</v>
      </c>
      <c r="AF106" s="68">
        <v>13.9</v>
      </c>
      <c r="AG106" s="69"/>
      <c r="AH106" s="20">
        <f t="shared" si="10"/>
        <v>55</v>
      </c>
      <c r="AI106" s="19">
        <f t="shared" si="11"/>
        <v>13.9</v>
      </c>
    </row>
    <row r="107" spans="1:37" x14ac:dyDescent="0.25">
      <c r="A107" s="40" t="s">
        <v>133</v>
      </c>
      <c r="B107" s="68">
        <v>-5</v>
      </c>
      <c r="C107" s="68">
        <v>70.5</v>
      </c>
      <c r="D107" s="68">
        <v>73.3</v>
      </c>
      <c r="E107" s="68">
        <v>73.3</v>
      </c>
      <c r="F107" s="68">
        <v>42</v>
      </c>
      <c r="G107" s="68">
        <v>69</v>
      </c>
      <c r="H107" s="68">
        <v>69</v>
      </c>
      <c r="I107" s="68">
        <v>70</v>
      </c>
      <c r="J107" s="68">
        <v>79</v>
      </c>
      <c r="K107" s="68">
        <v>85.6</v>
      </c>
      <c r="L107" s="68">
        <v>85.1</v>
      </c>
      <c r="M107" s="68">
        <v>86.8</v>
      </c>
      <c r="N107" s="68">
        <v>68.2</v>
      </c>
      <c r="O107" s="68">
        <v>67.5</v>
      </c>
      <c r="P107" s="68">
        <v>70</v>
      </c>
      <c r="Q107" s="68">
        <v>47</v>
      </c>
      <c r="R107" s="68">
        <v>37</v>
      </c>
      <c r="S107" s="68">
        <v>32</v>
      </c>
      <c r="T107" s="68">
        <v>30.2</v>
      </c>
      <c r="U107" s="68">
        <v>27.8</v>
      </c>
      <c r="V107" s="68">
        <v>14.6</v>
      </c>
      <c r="W107" s="68">
        <v>17.899999999999999</v>
      </c>
      <c r="X107" s="68">
        <v>13.8</v>
      </c>
      <c r="Y107" s="68">
        <v>13.8</v>
      </c>
      <c r="Z107" s="68">
        <v>22.4</v>
      </c>
      <c r="AA107" s="68">
        <v>26.4</v>
      </c>
      <c r="AB107" s="68">
        <v>15</v>
      </c>
      <c r="AC107" s="68">
        <v>25.4</v>
      </c>
      <c r="AD107" s="68">
        <v>25</v>
      </c>
      <c r="AE107" s="68">
        <v>8.1</v>
      </c>
      <c r="AF107" s="68">
        <v>8.1</v>
      </c>
      <c r="AG107" s="48"/>
      <c r="AH107" s="20">
        <f t="shared" si="10"/>
        <v>86.8</v>
      </c>
      <c r="AI107" s="19">
        <f t="shared" si="11"/>
        <v>-5</v>
      </c>
    </row>
    <row r="108" spans="1:37" x14ac:dyDescent="0.25">
      <c r="A108" s="67" t="s">
        <v>132</v>
      </c>
      <c r="B108" s="66">
        <v>92</v>
      </c>
      <c r="C108" s="66">
        <v>110</v>
      </c>
      <c r="D108" s="66">
        <v>106</v>
      </c>
      <c r="E108" s="66">
        <v>106</v>
      </c>
      <c r="F108" s="66">
        <v>108</v>
      </c>
      <c r="G108" s="66">
        <v>105</v>
      </c>
      <c r="H108" s="66">
        <v>105</v>
      </c>
      <c r="I108" s="66">
        <v>115</v>
      </c>
      <c r="J108" s="66">
        <v>116</v>
      </c>
      <c r="K108" s="66">
        <v>110</v>
      </c>
      <c r="L108" s="66">
        <v>-7.6</v>
      </c>
      <c r="M108" s="66">
        <v>102.7</v>
      </c>
      <c r="N108" s="66">
        <v>120</v>
      </c>
      <c r="O108" s="66">
        <v>117</v>
      </c>
      <c r="P108" s="66">
        <v>115</v>
      </c>
      <c r="Q108" s="66">
        <v>117</v>
      </c>
      <c r="R108" s="66">
        <v>116</v>
      </c>
      <c r="S108" s="66">
        <v>108</v>
      </c>
      <c r="T108" s="66">
        <v>101.6</v>
      </c>
      <c r="U108" s="66">
        <v>116.1</v>
      </c>
      <c r="V108" s="66">
        <v>104</v>
      </c>
      <c r="W108" s="66">
        <v>97.1</v>
      </c>
      <c r="X108" s="66">
        <v>100.4</v>
      </c>
      <c r="Y108" s="66">
        <v>102.4</v>
      </c>
      <c r="Z108" s="66">
        <v>109.8</v>
      </c>
      <c r="AA108" s="66">
        <v>111.3</v>
      </c>
      <c r="AB108" s="66">
        <v>113</v>
      </c>
      <c r="AC108" s="66">
        <v>115</v>
      </c>
      <c r="AD108" s="66">
        <v>118</v>
      </c>
      <c r="AE108" s="66">
        <v>122</v>
      </c>
      <c r="AF108" s="66">
        <v>122</v>
      </c>
      <c r="AG108" s="48"/>
      <c r="AH108" s="20">
        <f t="shared" si="10"/>
        <v>122</v>
      </c>
      <c r="AI108" s="19">
        <f t="shared" si="11"/>
        <v>-7.6</v>
      </c>
    </row>
    <row r="109" spans="1:37" ht="15.75" thickBot="1" x14ac:dyDescent="0.3">
      <c r="A109" s="67" t="s">
        <v>131</v>
      </c>
      <c r="B109" s="66">
        <v>82</v>
      </c>
      <c r="C109" s="66">
        <v>66</v>
      </c>
      <c r="D109" s="66">
        <v>73</v>
      </c>
      <c r="E109" s="66">
        <v>69</v>
      </c>
      <c r="F109" s="66">
        <v>62</v>
      </c>
      <c r="G109" s="66">
        <v>56</v>
      </c>
      <c r="H109" s="66">
        <v>56</v>
      </c>
      <c r="I109" s="66">
        <v>38.6</v>
      </c>
      <c r="J109" s="66">
        <v>38.6</v>
      </c>
      <c r="K109" s="66">
        <v>38.700000000000003</v>
      </c>
      <c r="L109" s="66">
        <v>38.700000000000003</v>
      </c>
      <c r="M109" s="66"/>
      <c r="N109" s="66">
        <v>54.3</v>
      </c>
      <c r="O109" s="66">
        <v>46.6</v>
      </c>
      <c r="P109" s="66">
        <v>44.2</v>
      </c>
      <c r="Q109" s="66">
        <v>62</v>
      </c>
      <c r="R109" s="66">
        <v>61.3</v>
      </c>
      <c r="S109" s="66">
        <v>62.1</v>
      </c>
      <c r="T109" s="66">
        <v>65.599999999999994</v>
      </c>
      <c r="U109" s="66">
        <v>67.400000000000006</v>
      </c>
      <c r="V109" s="66">
        <v>66.2</v>
      </c>
      <c r="W109" s="66">
        <v>58.4</v>
      </c>
      <c r="X109" s="66">
        <v>54.2</v>
      </c>
      <c r="Y109" s="66">
        <v>38.700000000000003</v>
      </c>
      <c r="Z109" s="66">
        <v>64.8</v>
      </c>
      <c r="AA109" s="66">
        <v>69.900000000000006</v>
      </c>
      <c r="AB109" s="66">
        <v>68</v>
      </c>
      <c r="AC109" s="66">
        <v>62.9</v>
      </c>
      <c r="AD109" s="66">
        <v>73.599999999999994</v>
      </c>
      <c r="AE109" s="66">
        <v>85</v>
      </c>
      <c r="AF109" s="66">
        <v>85</v>
      </c>
      <c r="AG109" s="48"/>
      <c r="AH109" s="20">
        <f t="shared" si="10"/>
        <v>85</v>
      </c>
      <c r="AI109" s="19">
        <f t="shared" si="11"/>
        <v>38.6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5">SUM(B111:B215)</f>
        <v>0</v>
      </c>
      <c r="C216" s="36">
        <f t="shared" si="25"/>
        <v>0</v>
      </c>
      <c r="D216" s="36">
        <f t="shared" si="25"/>
        <v>0</v>
      </c>
      <c r="E216" s="36">
        <f t="shared" si="25"/>
        <v>0</v>
      </c>
      <c r="F216" s="36">
        <f t="shared" si="25"/>
        <v>0</v>
      </c>
      <c r="G216" s="36">
        <f t="shared" si="25"/>
        <v>0</v>
      </c>
      <c r="H216" s="36">
        <f t="shared" si="25"/>
        <v>0</v>
      </c>
      <c r="I216" s="36">
        <f t="shared" si="25"/>
        <v>0</v>
      </c>
      <c r="J216" s="36">
        <f t="shared" si="25"/>
        <v>0</v>
      </c>
      <c r="K216" s="36">
        <f t="shared" si="25"/>
        <v>0</v>
      </c>
      <c r="L216" s="36">
        <f t="shared" si="25"/>
        <v>0</v>
      </c>
      <c r="M216" s="36">
        <f t="shared" si="25"/>
        <v>0</v>
      </c>
      <c r="N216" s="36">
        <f t="shared" si="25"/>
        <v>0</v>
      </c>
      <c r="O216" s="36">
        <f t="shared" si="25"/>
        <v>0</v>
      </c>
      <c r="P216" s="36">
        <f t="shared" si="25"/>
        <v>0</v>
      </c>
      <c r="Q216" s="36">
        <f t="shared" si="25"/>
        <v>0</v>
      </c>
      <c r="R216" s="36">
        <f t="shared" si="25"/>
        <v>0</v>
      </c>
      <c r="S216" s="36">
        <f t="shared" si="25"/>
        <v>0</v>
      </c>
      <c r="T216" s="36">
        <f t="shared" si="25"/>
        <v>0</v>
      </c>
      <c r="U216" s="36">
        <f t="shared" si="25"/>
        <v>0</v>
      </c>
      <c r="V216" s="36">
        <f t="shared" si="25"/>
        <v>0</v>
      </c>
      <c r="W216" s="36">
        <f t="shared" si="25"/>
        <v>0</v>
      </c>
      <c r="X216" s="36">
        <f t="shared" si="25"/>
        <v>0</v>
      </c>
      <c r="Y216" s="36">
        <f t="shared" si="25"/>
        <v>0</v>
      </c>
      <c r="Z216" s="36">
        <f t="shared" si="25"/>
        <v>0</v>
      </c>
      <c r="AA216" s="36">
        <f t="shared" si="25"/>
        <v>0</v>
      </c>
      <c r="AB216" s="36">
        <f t="shared" si="25"/>
        <v>0</v>
      </c>
      <c r="AC216" s="36">
        <f t="shared" si="25"/>
        <v>0</v>
      </c>
      <c r="AD216" s="36">
        <f t="shared" si="25"/>
        <v>0</v>
      </c>
      <c r="AE216" s="36">
        <f t="shared" si="25"/>
        <v>0</v>
      </c>
      <c r="AF216" s="51">
        <f t="shared" si="25"/>
        <v>0</v>
      </c>
      <c r="AG216" s="50">
        <f t="shared" si="25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6">AF218</f>
        <v>0</v>
      </c>
      <c r="C218" s="46">
        <v>0.3</v>
      </c>
      <c r="D218" s="46">
        <f t="shared" ref="D218:P223" si="27">C218</f>
        <v>0.3</v>
      </c>
      <c r="E218" s="46">
        <f t="shared" si="27"/>
        <v>0.3</v>
      </c>
      <c r="F218" s="46">
        <f t="shared" si="27"/>
        <v>0.3</v>
      </c>
      <c r="G218" s="46">
        <f t="shared" si="27"/>
        <v>0.3</v>
      </c>
      <c r="H218" s="46">
        <f t="shared" si="27"/>
        <v>0.3</v>
      </c>
      <c r="I218" s="46">
        <f t="shared" si="27"/>
        <v>0.3</v>
      </c>
      <c r="J218" s="46">
        <f t="shared" si="27"/>
        <v>0.3</v>
      </c>
      <c r="K218" s="46">
        <f t="shared" si="27"/>
        <v>0.3</v>
      </c>
      <c r="L218" s="46">
        <f t="shared" si="27"/>
        <v>0.3</v>
      </c>
      <c r="M218" s="46">
        <f t="shared" si="27"/>
        <v>0.3</v>
      </c>
      <c r="N218" s="46">
        <f t="shared" si="27"/>
        <v>0.3</v>
      </c>
      <c r="O218" s="46">
        <f t="shared" si="27"/>
        <v>0.3</v>
      </c>
      <c r="P218" s="46">
        <f t="shared" si="27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6"/>
        <v>0</v>
      </c>
      <c r="C219" s="43">
        <v>0.4</v>
      </c>
      <c r="D219" s="43">
        <f t="shared" si="27"/>
        <v>0.4</v>
      </c>
      <c r="E219" s="43">
        <f t="shared" si="27"/>
        <v>0.4</v>
      </c>
      <c r="F219" s="43">
        <f t="shared" si="27"/>
        <v>0.4</v>
      </c>
      <c r="G219" s="43">
        <f t="shared" si="27"/>
        <v>0.4</v>
      </c>
      <c r="H219" s="43">
        <f t="shared" si="27"/>
        <v>0.4</v>
      </c>
      <c r="I219" s="43">
        <f t="shared" si="27"/>
        <v>0.4</v>
      </c>
      <c r="J219" s="43">
        <f t="shared" si="27"/>
        <v>0.4</v>
      </c>
      <c r="K219" s="43">
        <f t="shared" si="27"/>
        <v>0.4</v>
      </c>
      <c r="L219" s="43">
        <f t="shared" si="27"/>
        <v>0.4</v>
      </c>
      <c r="M219" s="43">
        <f t="shared" si="27"/>
        <v>0.4</v>
      </c>
      <c r="N219" s="43">
        <f t="shared" si="27"/>
        <v>0.4</v>
      </c>
      <c r="O219" s="43">
        <f t="shared" si="27"/>
        <v>0.4</v>
      </c>
      <c r="P219" s="43">
        <f t="shared" si="27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6"/>
        <v>0</v>
      </c>
      <c r="C220" s="43">
        <v>1.5</v>
      </c>
      <c r="D220" s="43">
        <f t="shared" si="27"/>
        <v>1.5</v>
      </c>
      <c r="E220" s="43">
        <f t="shared" si="27"/>
        <v>1.5</v>
      </c>
      <c r="F220" s="43">
        <f t="shared" si="27"/>
        <v>1.5</v>
      </c>
      <c r="G220" s="43">
        <f t="shared" si="27"/>
        <v>1.5</v>
      </c>
      <c r="H220" s="43">
        <f t="shared" si="27"/>
        <v>1.5</v>
      </c>
      <c r="I220" s="43">
        <f t="shared" si="27"/>
        <v>1.5</v>
      </c>
      <c r="J220" s="43">
        <f t="shared" si="27"/>
        <v>1.5</v>
      </c>
      <c r="K220" s="43">
        <f t="shared" si="27"/>
        <v>1.5</v>
      </c>
      <c r="L220" s="43">
        <f t="shared" si="27"/>
        <v>1.5</v>
      </c>
      <c r="M220" s="43">
        <f t="shared" si="27"/>
        <v>1.5</v>
      </c>
      <c r="N220" s="43">
        <f t="shared" si="27"/>
        <v>1.5</v>
      </c>
      <c r="O220" s="43">
        <f t="shared" si="27"/>
        <v>1.5</v>
      </c>
      <c r="P220" s="43">
        <f t="shared" si="27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6"/>
        <v>0</v>
      </c>
      <c r="C221" s="43">
        <v>0.3</v>
      </c>
      <c r="D221" s="43">
        <f t="shared" si="27"/>
        <v>0.3</v>
      </c>
      <c r="E221" s="43">
        <f t="shared" si="27"/>
        <v>0.3</v>
      </c>
      <c r="F221" s="43">
        <f t="shared" si="27"/>
        <v>0.3</v>
      </c>
      <c r="G221" s="43">
        <f t="shared" si="27"/>
        <v>0.3</v>
      </c>
      <c r="H221" s="43">
        <f t="shared" si="27"/>
        <v>0.3</v>
      </c>
      <c r="I221" s="43">
        <f t="shared" si="27"/>
        <v>0.3</v>
      </c>
      <c r="J221" s="43">
        <f t="shared" si="27"/>
        <v>0.3</v>
      </c>
      <c r="K221" s="43">
        <f t="shared" si="27"/>
        <v>0.3</v>
      </c>
      <c r="L221" s="43">
        <f t="shared" si="27"/>
        <v>0.3</v>
      </c>
      <c r="M221" s="43">
        <f t="shared" si="27"/>
        <v>0.3</v>
      </c>
      <c r="N221" s="43">
        <f t="shared" si="27"/>
        <v>0.3</v>
      </c>
      <c r="O221" s="43">
        <f t="shared" si="27"/>
        <v>0.3</v>
      </c>
      <c r="P221" s="43">
        <f t="shared" si="27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6"/>
        <v>0</v>
      </c>
      <c r="C222" s="43">
        <v>0.4</v>
      </c>
      <c r="D222" s="43">
        <f t="shared" si="27"/>
        <v>0.4</v>
      </c>
      <c r="E222" s="43">
        <f t="shared" si="27"/>
        <v>0.4</v>
      </c>
      <c r="F222" s="43">
        <f t="shared" si="27"/>
        <v>0.4</v>
      </c>
      <c r="G222" s="43">
        <f t="shared" si="27"/>
        <v>0.4</v>
      </c>
      <c r="H222" s="43">
        <f t="shared" si="27"/>
        <v>0.4</v>
      </c>
      <c r="I222" s="43">
        <f t="shared" si="27"/>
        <v>0.4</v>
      </c>
      <c r="J222" s="43">
        <f t="shared" si="27"/>
        <v>0.4</v>
      </c>
      <c r="K222" s="43">
        <f t="shared" si="27"/>
        <v>0.4</v>
      </c>
      <c r="L222" s="43">
        <f t="shared" si="27"/>
        <v>0.4</v>
      </c>
      <c r="M222" s="43">
        <f t="shared" si="27"/>
        <v>0.4</v>
      </c>
      <c r="N222" s="43">
        <f t="shared" si="27"/>
        <v>0.4</v>
      </c>
      <c r="O222" s="43">
        <f t="shared" si="27"/>
        <v>0.4</v>
      </c>
      <c r="P222" s="43">
        <f t="shared" si="27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6"/>
        <v>0</v>
      </c>
      <c r="C223" s="39">
        <v>0.64</v>
      </c>
      <c r="D223" s="39">
        <f t="shared" si="27"/>
        <v>0.64</v>
      </c>
      <c r="E223" s="39">
        <f t="shared" si="27"/>
        <v>0.64</v>
      </c>
      <c r="F223" s="39">
        <f t="shared" si="27"/>
        <v>0.64</v>
      </c>
      <c r="G223" s="39">
        <f t="shared" si="27"/>
        <v>0.64</v>
      </c>
      <c r="H223" s="39">
        <f t="shared" si="27"/>
        <v>0.64</v>
      </c>
      <c r="I223" s="39">
        <f t="shared" si="27"/>
        <v>0.64</v>
      </c>
      <c r="J223" s="39">
        <f t="shared" si="27"/>
        <v>0.64</v>
      </c>
      <c r="K223" s="39">
        <f t="shared" si="27"/>
        <v>0.64</v>
      </c>
      <c r="L223" s="39">
        <f t="shared" si="27"/>
        <v>0.64</v>
      </c>
      <c r="M223" s="39">
        <f t="shared" si="27"/>
        <v>0.64</v>
      </c>
      <c r="N223" s="39">
        <f t="shared" si="27"/>
        <v>0.64</v>
      </c>
      <c r="O223" s="39">
        <f t="shared" si="27"/>
        <v>0.64</v>
      </c>
      <c r="P223" s="39">
        <f t="shared" si="27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8">SUM(B218:B223)</f>
        <v>0</v>
      </c>
      <c r="C224" s="36">
        <f t="shared" si="28"/>
        <v>3.54</v>
      </c>
      <c r="D224" s="36">
        <f t="shared" si="28"/>
        <v>3.54</v>
      </c>
      <c r="E224" s="36">
        <f t="shared" si="28"/>
        <v>3.54</v>
      </c>
      <c r="F224" s="36">
        <f t="shared" si="28"/>
        <v>3.54</v>
      </c>
      <c r="G224" s="36">
        <f t="shared" si="28"/>
        <v>3.54</v>
      </c>
      <c r="H224" s="36">
        <f t="shared" si="28"/>
        <v>3.54</v>
      </c>
      <c r="I224" s="36">
        <f t="shared" si="28"/>
        <v>3.54</v>
      </c>
      <c r="J224" s="36">
        <f t="shared" si="28"/>
        <v>3.54</v>
      </c>
      <c r="K224" s="36">
        <f t="shared" si="28"/>
        <v>3.54</v>
      </c>
      <c r="L224" s="36">
        <f t="shared" si="28"/>
        <v>3.54</v>
      </c>
      <c r="M224" s="36">
        <f t="shared" si="28"/>
        <v>3.54</v>
      </c>
      <c r="N224" s="36">
        <f t="shared" si="28"/>
        <v>3.54</v>
      </c>
      <c r="O224" s="36">
        <f t="shared" si="28"/>
        <v>3.54</v>
      </c>
      <c r="P224" s="36">
        <f t="shared" si="28"/>
        <v>3.54</v>
      </c>
      <c r="Q224" s="36">
        <f t="shared" si="28"/>
        <v>0</v>
      </c>
      <c r="R224" s="36">
        <f t="shared" si="28"/>
        <v>0</v>
      </c>
      <c r="S224" s="36">
        <f t="shared" si="28"/>
        <v>0</v>
      </c>
      <c r="T224" s="36">
        <f t="shared" si="28"/>
        <v>0</v>
      </c>
      <c r="U224" s="36">
        <f t="shared" si="28"/>
        <v>0</v>
      </c>
      <c r="V224" s="36">
        <f t="shared" si="28"/>
        <v>0</v>
      </c>
      <c r="W224" s="36">
        <f t="shared" si="28"/>
        <v>0</v>
      </c>
      <c r="X224" s="36">
        <f t="shared" si="28"/>
        <v>0</v>
      </c>
      <c r="Y224" s="36">
        <f t="shared" si="28"/>
        <v>0</v>
      </c>
      <c r="Z224" s="36">
        <f t="shared" si="28"/>
        <v>0</v>
      </c>
      <c r="AA224" s="36">
        <f t="shared" si="28"/>
        <v>0</v>
      </c>
      <c r="AB224" s="36">
        <f t="shared" si="28"/>
        <v>0</v>
      </c>
      <c r="AC224" s="36">
        <f t="shared" si="28"/>
        <v>0</v>
      </c>
      <c r="AD224" s="36">
        <f t="shared" si="28"/>
        <v>0</v>
      </c>
      <c r="AE224" s="36">
        <f t="shared" si="28"/>
        <v>0</v>
      </c>
      <c r="AF224" s="36">
        <f t="shared" si="28"/>
        <v>0</v>
      </c>
      <c r="AG224" s="35">
        <f t="shared" si="28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1534.6399999999999</v>
      </c>
      <c r="C233" s="16">
        <f>INDEX(G9:N9,1,MATCH(MAX(G81:N81),G81:N81,0))</f>
        <v>0.375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24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2079/06/24)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2079/06/24)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9">B81</f>
        <v>1462.7399999999998</v>
      </c>
      <c r="U238" s="9">
        <f t="shared" si="29"/>
        <v>1463.74</v>
      </c>
      <c r="V238" s="9">
        <f t="shared" si="29"/>
        <v>1463.74</v>
      </c>
      <c r="W238" s="9">
        <f t="shared" si="29"/>
        <v>1409.74</v>
      </c>
      <c r="X238" s="9">
        <f t="shared" si="29"/>
        <v>1389.6399999999999</v>
      </c>
      <c r="Y238" s="9">
        <f t="shared" si="29"/>
        <v>1370.94</v>
      </c>
      <c r="Z238" s="9">
        <f t="shared" si="29"/>
        <v>1370.94</v>
      </c>
      <c r="AA238" s="9">
        <f t="shared" si="29"/>
        <v>1370.94</v>
      </c>
      <c r="AB238" s="9">
        <f t="shared" si="29"/>
        <v>1358.94</v>
      </c>
      <c r="AC238" s="9">
        <f t="shared" si="29"/>
        <v>1435.44</v>
      </c>
      <c r="AD238" s="9">
        <f t="shared" si="29"/>
        <v>1461.5400000000002</v>
      </c>
      <c r="AE238" s="9">
        <f t="shared" si="29"/>
        <v>1525.6399999999999</v>
      </c>
      <c r="AF238" s="9">
        <f t="shared" si="29"/>
        <v>1534.6399999999999</v>
      </c>
      <c r="AG238" s="9">
        <f t="shared" si="29"/>
        <v>1504.04</v>
      </c>
      <c r="AH238" s="9">
        <f t="shared" si="29"/>
        <v>1525.1399999999999</v>
      </c>
      <c r="AI238" s="9">
        <f t="shared" si="29"/>
        <v>1531.1399999999999</v>
      </c>
      <c r="AJ238" s="9">
        <f t="shared" si="29"/>
        <v>1510.1399999999999</v>
      </c>
      <c r="AK238" s="9">
        <f t="shared" si="29"/>
        <v>1539.1399999999999</v>
      </c>
      <c r="AL238" s="9">
        <f t="shared" si="29"/>
        <v>1515.04</v>
      </c>
      <c r="AM238" s="9">
        <f t="shared" si="29"/>
        <v>1516.2400000000002</v>
      </c>
      <c r="AN238" s="9">
        <f t="shared" si="29"/>
        <v>1527.2400000000002</v>
      </c>
      <c r="AO238" s="9">
        <f t="shared" si="29"/>
        <v>1574.04</v>
      </c>
      <c r="AP238" s="9">
        <f t="shared" si="29"/>
        <v>1664.74</v>
      </c>
      <c r="AQ238" s="9">
        <f t="shared" si="29"/>
        <v>1676.8400000000001</v>
      </c>
      <c r="AR238" s="9">
        <f t="shared" si="29"/>
        <v>1675.64</v>
      </c>
      <c r="AS238" s="9">
        <f t="shared" si="29"/>
        <v>1673.14</v>
      </c>
      <c r="AT238" s="9">
        <f t="shared" si="29"/>
        <v>1677.14</v>
      </c>
      <c r="AU238" s="9">
        <f t="shared" si="29"/>
        <v>1628.84</v>
      </c>
      <c r="AV238" s="9">
        <f t="shared" si="29"/>
        <v>1576.6399999999999</v>
      </c>
      <c r="AW238" s="9">
        <f t="shared" si="29"/>
        <v>1495.6399999999999</v>
      </c>
      <c r="AX238" s="9">
        <f t="shared" si="29"/>
        <v>1477.04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30">C223</f>
        <v>0.64</v>
      </c>
      <c r="C259" s="4">
        <f t="shared" si="30"/>
        <v>0.64</v>
      </c>
      <c r="D259" s="4">
        <f t="shared" si="30"/>
        <v>0.64</v>
      </c>
      <c r="E259" s="4">
        <f t="shared" si="30"/>
        <v>0.64</v>
      </c>
      <c r="F259" s="4">
        <f t="shared" si="30"/>
        <v>0.64</v>
      </c>
      <c r="G259" s="4">
        <f t="shared" si="30"/>
        <v>0.64</v>
      </c>
      <c r="H259" s="4">
        <f t="shared" si="30"/>
        <v>0.64</v>
      </c>
      <c r="I259" s="4">
        <f t="shared" si="30"/>
        <v>0.64</v>
      </c>
      <c r="J259" s="4">
        <f t="shared" si="30"/>
        <v>0.64</v>
      </c>
      <c r="K259" s="4">
        <f t="shared" si="30"/>
        <v>0.64</v>
      </c>
      <c r="L259" s="4">
        <f t="shared" si="30"/>
        <v>0.64</v>
      </c>
      <c r="M259" s="4">
        <f t="shared" si="30"/>
        <v>0.64</v>
      </c>
      <c r="N259" s="4">
        <f t="shared" si="30"/>
        <v>0.64</v>
      </c>
      <c r="O259" s="4">
        <f t="shared" si="30"/>
        <v>0.64</v>
      </c>
      <c r="P259" s="4">
        <f t="shared" si="30"/>
        <v>0</v>
      </c>
      <c r="Q259" s="4">
        <f t="shared" si="30"/>
        <v>0</v>
      </c>
      <c r="R259" s="4">
        <f t="shared" si="30"/>
        <v>0</v>
      </c>
      <c r="S259" s="4">
        <f t="shared" si="30"/>
        <v>0</v>
      </c>
      <c r="T259" s="4">
        <f t="shared" si="30"/>
        <v>0</v>
      </c>
      <c r="U259" s="4">
        <f t="shared" si="30"/>
        <v>0</v>
      </c>
      <c r="V259" s="4">
        <f t="shared" si="30"/>
        <v>0</v>
      </c>
      <c r="W259" s="4">
        <f t="shared" si="30"/>
        <v>0</v>
      </c>
      <c r="X259" s="4">
        <f t="shared" si="30"/>
        <v>0</v>
      </c>
      <c r="Y259" s="4">
        <f t="shared" si="30"/>
        <v>0</v>
      </c>
      <c r="Z259" s="4">
        <f t="shared" si="30"/>
        <v>0</v>
      </c>
      <c r="AA259" s="4">
        <f t="shared" si="30"/>
        <v>0</v>
      </c>
      <c r="AB259" s="4">
        <f t="shared" si="30"/>
        <v>0</v>
      </c>
      <c r="AC259" s="4">
        <f t="shared" si="30"/>
        <v>0</v>
      </c>
      <c r="AD259" s="4">
        <f t="shared" si="30"/>
        <v>0</v>
      </c>
      <c r="AE259" s="4">
        <f t="shared" si="30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31">IF(B227&lt;100,"",B227-520)</f>
        <v/>
      </c>
      <c r="C260" s="3" t="str">
        <f t="shared" si="31"/>
        <v/>
      </c>
      <c r="D260" s="3" t="str">
        <f t="shared" si="31"/>
        <v/>
      </c>
      <c r="E260" s="3" t="str">
        <f t="shared" si="31"/>
        <v/>
      </c>
      <c r="F260" s="3" t="str">
        <f t="shared" si="31"/>
        <v/>
      </c>
      <c r="G260" s="3" t="str">
        <f t="shared" si="31"/>
        <v/>
      </c>
      <c r="H260" s="3" t="str">
        <f t="shared" si="31"/>
        <v/>
      </c>
      <c r="I260" s="3" t="str">
        <f t="shared" si="31"/>
        <v/>
      </c>
      <c r="J260" s="3" t="str">
        <f t="shared" si="31"/>
        <v/>
      </c>
      <c r="K260" s="3" t="str">
        <f t="shared" si="31"/>
        <v/>
      </c>
      <c r="L260" s="3" t="str">
        <f t="shared" si="31"/>
        <v/>
      </c>
      <c r="M260" s="3" t="str">
        <f t="shared" si="31"/>
        <v/>
      </c>
      <c r="N260" s="3" t="str">
        <f t="shared" si="31"/>
        <v/>
      </c>
      <c r="O260" s="3" t="str">
        <f t="shared" si="31"/>
        <v/>
      </c>
      <c r="P260" s="3" t="str">
        <f t="shared" si="31"/>
        <v/>
      </c>
      <c r="Q260" s="3" t="str">
        <f t="shared" si="31"/>
        <v/>
      </c>
      <c r="R260" s="3" t="str">
        <f t="shared" si="31"/>
        <v/>
      </c>
      <c r="S260" s="3" t="str">
        <f t="shared" si="31"/>
        <v/>
      </c>
      <c r="T260" s="3" t="str">
        <f t="shared" si="31"/>
        <v/>
      </c>
      <c r="U260" s="3" t="str">
        <f t="shared" si="31"/>
        <v/>
      </c>
      <c r="V260" s="3" t="str">
        <f t="shared" si="31"/>
        <v/>
      </c>
      <c r="W260" s="3" t="str">
        <f t="shared" si="31"/>
        <v/>
      </c>
      <c r="X260" s="3" t="str">
        <f t="shared" si="31"/>
        <v/>
      </c>
      <c r="Y260" s="3" t="str">
        <f t="shared" si="31"/>
        <v/>
      </c>
      <c r="Z260" s="3" t="str">
        <f t="shared" si="31"/>
        <v/>
      </c>
      <c r="AA260" s="3" t="str">
        <f t="shared" si="31"/>
        <v/>
      </c>
      <c r="AB260" s="3" t="str">
        <f t="shared" si="31"/>
        <v/>
      </c>
      <c r="AC260" s="3" t="str">
        <f t="shared" si="31"/>
        <v/>
      </c>
      <c r="AD260" s="3" t="str">
        <f t="shared" si="31"/>
        <v/>
      </c>
      <c r="AE260" s="3" t="str">
        <f t="shared" si="31"/>
        <v/>
      </c>
      <c r="AF260" s="3" t="str">
        <f t="shared" si="31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32">IF(B228&lt;100,"",B228-620)</f>
        <v/>
      </c>
      <c r="C261" s="3" t="str">
        <f t="shared" si="32"/>
        <v/>
      </c>
      <c r="D261" s="3" t="str">
        <f t="shared" si="32"/>
        <v/>
      </c>
      <c r="E261" s="3" t="str">
        <f t="shared" si="32"/>
        <v/>
      </c>
      <c r="F261" s="3" t="str">
        <f t="shared" si="32"/>
        <v/>
      </c>
      <c r="G261" s="3" t="str">
        <f t="shared" si="32"/>
        <v/>
      </c>
      <c r="H261" s="3" t="str">
        <f t="shared" si="32"/>
        <v/>
      </c>
      <c r="I261" s="3" t="str">
        <f t="shared" si="32"/>
        <v/>
      </c>
      <c r="J261" s="3" t="str">
        <f t="shared" si="32"/>
        <v/>
      </c>
      <c r="K261" s="3" t="str">
        <f t="shared" si="32"/>
        <v/>
      </c>
      <c r="L261" s="3" t="str">
        <f t="shared" si="32"/>
        <v/>
      </c>
      <c r="M261" s="3" t="str">
        <f t="shared" si="32"/>
        <v/>
      </c>
      <c r="N261" s="3" t="str">
        <f t="shared" si="32"/>
        <v/>
      </c>
      <c r="O261" s="3" t="str">
        <f t="shared" si="32"/>
        <v/>
      </c>
      <c r="P261" s="3" t="str">
        <f t="shared" si="32"/>
        <v/>
      </c>
      <c r="Q261" s="3" t="str">
        <f t="shared" si="32"/>
        <v/>
      </c>
      <c r="R261" s="3" t="str">
        <f t="shared" si="32"/>
        <v/>
      </c>
      <c r="S261" s="3" t="str">
        <f t="shared" si="32"/>
        <v/>
      </c>
      <c r="T261" s="3" t="str">
        <f t="shared" si="32"/>
        <v/>
      </c>
      <c r="U261" s="3" t="str">
        <f t="shared" si="32"/>
        <v/>
      </c>
      <c r="V261" s="3" t="str">
        <f t="shared" si="32"/>
        <v/>
      </c>
      <c r="W261" s="3" t="str">
        <f t="shared" si="32"/>
        <v/>
      </c>
      <c r="X261" s="3" t="str">
        <f t="shared" si="32"/>
        <v/>
      </c>
      <c r="Y261" s="3" t="str">
        <f t="shared" si="32"/>
        <v/>
      </c>
      <c r="Z261" s="3" t="str">
        <f t="shared" si="32"/>
        <v/>
      </c>
      <c r="AA261" s="3" t="str">
        <f t="shared" si="32"/>
        <v/>
      </c>
      <c r="AB261" s="3" t="str">
        <f t="shared" si="32"/>
        <v/>
      </c>
      <c r="AC261" s="3" t="str">
        <f t="shared" si="32"/>
        <v/>
      </c>
      <c r="AD261" s="3" t="str">
        <f t="shared" si="32"/>
        <v/>
      </c>
      <c r="AE261" s="3" t="str">
        <f t="shared" si="32"/>
        <v/>
      </c>
      <c r="AF261" s="3" t="str">
        <f t="shared" si="32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3">IF(B229&lt;100,"",B229-330)</f>
        <v/>
      </c>
      <c r="C262" s="3" t="str">
        <f t="shared" si="33"/>
        <v/>
      </c>
      <c r="D262" s="3" t="str">
        <f t="shared" si="33"/>
        <v/>
      </c>
      <c r="E262" s="3" t="str">
        <f t="shared" si="33"/>
        <v/>
      </c>
      <c r="F262" s="3" t="str">
        <f t="shared" si="33"/>
        <v/>
      </c>
      <c r="G262" s="3" t="str">
        <f t="shared" si="33"/>
        <v/>
      </c>
      <c r="H262" s="3" t="str">
        <f t="shared" si="33"/>
        <v/>
      </c>
      <c r="I262" s="3" t="str">
        <f t="shared" si="33"/>
        <v/>
      </c>
      <c r="J262" s="3" t="str">
        <f t="shared" si="33"/>
        <v/>
      </c>
      <c r="K262" s="3" t="str">
        <f t="shared" si="33"/>
        <v/>
      </c>
      <c r="L262" s="3" t="str">
        <f t="shared" si="33"/>
        <v/>
      </c>
      <c r="M262" s="3" t="str">
        <f t="shared" si="33"/>
        <v/>
      </c>
      <c r="N262" s="3" t="str">
        <f t="shared" si="33"/>
        <v/>
      </c>
      <c r="O262" s="3" t="str">
        <f t="shared" si="33"/>
        <v/>
      </c>
      <c r="P262" s="3" t="str">
        <f t="shared" si="33"/>
        <v/>
      </c>
      <c r="Q262" s="3" t="str">
        <f t="shared" si="33"/>
        <v/>
      </c>
      <c r="R262" s="3" t="str">
        <f t="shared" si="33"/>
        <v/>
      </c>
      <c r="S262" s="3" t="str">
        <f t="shared" si="33"/>
        <v/>
      </c>
      <c r="T262" s="3" t="str">
        <f t="shared" si="33"/>
        <v/>
      </c>
      <c r="U262" s="3" t="str">
        <f t="shared" si="33"/>
        <v/>
      </c>
      <c r="V262" s="3" t="str">
        <f t="shared" si="33"/>
        <v/>
      </c>
      <c r="W262" s="3" t="str">
        <f t="shared" si="33"/>
        <v/>
      </c>
      <c r="X262" s="3" t="str">
        <f t="shared" si="33"/>
        <v/>
      </c>
      <c r="Y262" s="3" t="str">
        <f t="shared" si="33"/>
        <v/>
      </c>
      <c r="Z262" s="3" t="str">
        <f t="shared" si="33"/>
        <v/>
      </c>
      <c r="AA262" s="3" t="str">
        <f t="shared" si="33"/>
        <v/>
      </c>
      <c r="AB262" s="3" t="str">
        <f t="shared" si="33"/>
        <v/>
      </c>
      <c r="AC262" s="3" t="str">
        <f t="shared" si="33"/>
        <v/>
      </c>
      <c r="AD262" s="3" t="str">
        <f t="shared" si="33"/>
        <v/>
      </c>
      <c r="AE262" s="3" t="str">
        <f t="shared" si="33"/>
        <v/>
      </c>
      <c r="AF262" s="3" t="str">
        <f t="shared" si="33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4">IF(B230&lt;100,"",B230-1500)</f>
        <v/>
      </c>
      <c r="C263" s="3" t="str">
        <f t="shared" si="34"/>
        <v/>
      </c>
      <c r="D263" s="3" t="str">
        <f t="shared" si="34"/>
        <v/>
      </c>
      <c r="E263" s="3" t="str">
        <f t="shared" si="34"/>
        <v/>
      </c>
      <c r="F263" s="3" t="str">
        <f t="shared" si="34"/>
        <v/>
      </c>
      <c r="G263" s="3" t="str">
        <f t="shared" si="34"/>
        <v/>
      </c>
      <c r="H263" s="3" t="str">
        <f t="shared" si="34"/>
        <v/>
      </c>
      <c r="I263" s="3" t="str">
        <f t="shared" si="34"/>
        <v/>
      </c>
      <c r="J263" s="3" t="str">
        <f t="shared" si="34"/>
        <v/>
      </c>
      <c r="K263" s="3" t="str">
        <f t="shared" si="34"/>
        <v/>
      </c>
      <c r="L263" s="3" t="str">
        <f t="shared" si="34"/>
        <v/>
      </c>
      <c r="M263" s="3" t="str">
        <f t="shared" si="34"/>
        <v/>
      </c>
      <c r="N263" s="3" t="str">
        <f t="shared" si="34"/>
        <v/>
      </c>
      <c r="O263" s="3" t="str">
        <f t="shared" si="34"/>
        <v/>
      </c>
      <c r="P263" s="3" t="str">
        <f t="shared" si="34"/>
        <v/>
      </c>
      <c r="Q263" s="3" t="str">
        <f t="shared" si="34"/>
        <v/>
      </c>
      <c r="R263" s="3" t="str">
        <f t="shared" si="34"/>
        <v/>
      </c>
      <c r="S263" s="3" t="str">
        <f t="shared" si="34"/>
        <v/>
      </c>
      <c r="T263" s="3" t="str">
        <f t="shared" si="34"/>
        <v/>
      </c>
      <c r="U263" s="3" t="str">
        <f t="shared" si="34"/>
        <v/>
      </c>
      <c r="V263" s="3" t="str">
        <f t="shared" si="34"/>
        <v/>
      </c>
      <c r="W263" s="3" t="str">
        <f t="shared" si="34"/>
        <v/>
      </c>
      <c r="X263" s="3" t="str">
        <f t="shared" si="34"/>
        <v/>
      </c>
      <c r="Y263" s="3" t="str">
        <f t="shared" si="34"/>
        <v/>
      </c>
      <c r="Z263" s="3" t="str">
        <f t="shared" si="34"/>
        <v/>
      </c>
      <c r="AA263" s="3" t="str">
        <f t="shared" si="34"/>
        <v/>
      </c>
      <c r="AB263" s="3" t="str">
        <f t="shared" si="34"/>
        <v/>
      </c>
      <c r="AC263" s="3" t="str">
        <f t="shared" si="34"/>
        <v/>
      </c>
      <c r="AD263" s="3" t="str">
        <f t="shared" si="34"/>
        <v/>
      </c>
      <c r="AE263" s="3" t="str">
        <f t="shared" si="34"/>
        <v/>
      </c>
      <c r="AF263" s="3" t="str">
        <f t="shared" si="34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W11:AF11 B16:AF16 B20:AF23 C101:AF101 C103:AF108">
    <cfRule type="expression" dxfId="3362" priority="239">
      <formula>B$9&gt;=20/24</formula>
    </cfRule>
    <cfRule type="expression" dxfId="3361" priority="240">
      <formula>AND(B$9&gt;=14/24,B$9&lt;20/24)</formula>
    </cfRule>
    <cfRule type="expression" dxfId="3360" priority="241">
      <formula>AND(B$9&gt;=8/24,B$9&lt;14/24)</formula>
    </cfRule>
    <cfRule type="expression" dxfId="3359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3358" priority="234">
      <formula>S$9&gt;=20/24</formula>
    </cfRule>
    <cfRule type="expression" dxfId="3357" priority="235">
      <formula>AND(S$9&gt;=14/24,S$9&lt;20/24)</formula>
    </cfRule>
    <cfRule type="expression" dxfId="3356" priority="236">
      <formula>AND(S$9&gt;=8/24,S$9&lt;14/24)</formula>
    </cfRule>
    <cfRule type="expression" dxfId="3355" priority="237">
      <formula>S$9&lt;8/24</formula>
    </cfRule>
  </conditionalFormatting>
  <conditionalFormatting sqref="AG57 B12:V13 W11:X13 B14:X16 B18:AF18 B20:AF23 Y11:AF16 S39:AF39 B37:AF37">
    <cfRule type="expression" dxfId="3354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3353" priority="232">
      <formula>$AH11=0</formula>
    </cfRule>
  </conditionalFormatting>
  <conditionalFormatting sqref="A106">
    <cfRule type="expression" dxfId="3352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351" priority="229">
      <formula>$AH37=0</formula>
    </cfRule>
  </conditionalFormatting>
  <conditionalFormatting sqref="A90">
    <cfRule type="expression" dxfId="3350" priority="228">
      <formula>$AH90=0</formula>
    </cfRule>
  </conditionalFormatting>
  <conditionalFormatting sqref="A15">
    <cfRule type="expression" dxfId="3349" priority="227">
      <formula>$AH15=0</formula>
    </cfRule>
  </conditionalFormatting>
  <conditionalFormatting sqref="A188:A193">
    <cfRule type="expression" dxfId="3348" priority="226">
      <formula>$AH188=0</formula>
    </cfRule>
  </conditionalFormatting>
  <conditionalFormatting sqref="A182:A187">
    <cfRule type="expression" dxfId="3347" priority="225">
      <formula>$AH182=0</formula>
    </cfRule>
  </conditionalFormatting>
  <conditionalFormatting sqref="A50">
    <cfRule type="expression" dxfId="3346" priority="224">
      <formula>$AH50=0</formula>
    </cfRule>
  </conditionalFormatting>
  <conditionalFormatting sqref="A86">
    <cfRule type="expression" dxfId="3345" priority="223">
      <formula>$AH86=0</formula>
    </cfRule>
  </conditionalFormatting>
  <conditionalFormatting sqref="C91:AF91">
    <cfRule type="expression" dxfId="3344" priority="219">
      <formula>C$9&gt;=20/24</formula>
    </cfRule>
    <cfRule type="expression" dxfId="3343" priority="220">
      <formula>AND(C$9&gt;=14/24,C$9&lt;20/24)</formula>
    </cfRule>
    <cfRule type="expression" dxfId="3342" priority="221">
      <formula>AND(C$9&gt;=8/24,C$9&lt;14/24)</formula>
    </cfRule>
    <cfRule type="expression" dxfId="3341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340" priority="245">
      <formula>C$9&gt;=20/24</formula>
    </cfRule>
    <cfRule type="expression" dxfId="3339" priority="246">
      <formula>AND(C$9&gt;=14/24,C$9&lt;20/24)</formula>
    </cfRule>
    <cfRule type="expression" dxfId="3338" priority="247">
      <formula>AND(C$9&gt;=8/24,C$9&lt;14/24)</formula>
    </cfRule>
    <cfRule type="expression" dxfId="3337" priority="248">
      <formula>C$9&lt;8/24</formula>
    </cfRule>
  </conditionalFormatting>
  <conditionalFormatting sqref="A225">
    <cfRule type="expression" dxfId="3336" priority="249">
      <formula>$AH225=0</formula>
    </cfRule>
  </conditionalFormatting>
  <conditionalFormatting sqref="AG237">
    <cfRule type="expression" dxfId="3335" priority="250">
      <formula>B$9&gt;=20/24</formula>
    </cfRule>
    <cfRule type="expression" dxfId="3334" priority="251">
      <formula>AND(B$9&gt;=14/24,B$9&lt;20/24)</formula>
    </cfRule>
    <cfRule type="expression" dxfId="3333" priority="252">
      <formula>AND(B$9&gt;=8/24,B$9&lt;14/24)</formula>
    </cfRule>
    <cfRule type="expression" dxfId="3332" priority="253">
      <formula>B$9&lt;8/24</formula>
    </cfRule>
  </conditionalFormatting>
  <conditionalFormatting sqref="S8">
    <cfRule type="expression" dxfId="3331" priority="214">
      <formula>U$9&gt;=20/24</formula>
    </cfRule>
    <cfRule type="expression" dxfId="3330" priority="215">
      <formula>AND(U$9&gt;=14/24,U$9&lt;20/24)</formula>
    </cfRule>
    <cfRule type="expression" dxfId="3329" priority="216">
      <formula>AND(U$9&gt;=8/24,U$9&lt;14/24)</formula>
    </cfRule>
    <cfRule type="expression" dxfId="3328" priority="217">
      <formula>U$9&lt;8/24</formula>
    </cfRule>
  </conditionalFormatting>
  <conditionalFormatting sqref="AB8">
    <cfRule type="expression" dxfId="3327" priority="210">
      <formula>AD$9&gt;=20/24</formula>
    </cfRule>
    <cfRule type="expression" dxfId="3326" priority="211">
      <formula>AND(AD$9&gt;=14/24,AD$9&lt;20/24)</formula>
    </cfRule>
    <cfRule type="expression" dxfId="3325" priority="212">
      <formula>AND(AD$9&gt;=8/24,AD$9&lt;14/24)</formula>
    </cfRule>
    <cfRule type="expression" dxfId="3324" priority="213">
      <formula>AD$9&lt;8/24</formula>
    </cfRule>
  </conditionalFormatting>
  <conditionalFormatting sqref="AH237:AX237">
    <cfRule type="expression" dxfId="3323" priority="254">
      <formula>AG$9&gt;=20/24</formula>
    </cfRule>
    <cfRule type="expression" dxfId="3322" priority="255">
      <formula>AND(AG$9&gt;=14/24,AG$9&lt;20/24)</formula>
    </cfRule>
    <cfRule type="expression" dxfId="3321" priority="256">
      <formula>AND(AG$9&gt;=8/24,AG$9&lt;14/24)</formula>
    </cfRule>
    <cfRule type="expression" dxfId="3320" priority="257">
      <formula>AG$9&lt;8/24</formula>
    </cfRule>
  </conditionalFormatting>
  <conditionalFormatting sqref="T237">
    <cfRule type="expression" dxfId="3319" priority="258">
      <formula>AX$9&gt;=20/24</formula>
    </cfRule>
    <cfRule type="expression" dxfId="3318" priority="259">
      <formula>AND(AX$9&gt;=14/24,AX$9&lt;20/24)</formula>
    </cfRule>
    <cfRule type="expression" dxfId="3317" priority="260">
      <formula>AND(AX$9&gt;=8/24,AX$9&lt;14/24)</formula>
    </cfRule>
    <cfRule type="expression" dxfId="3316" priority="261">
      <formula>AX$9&lt;8/24</formula>
    </cfRule>
  </conditionalFormatting>
  <conditionalFormatting sqref="A107:A108">
    <cfRule type="expression" dxfId="3315" priority="209">
      <formula>$AH107=0</formula>
    </cfRule>
  </conditionalFormatting>
  <conditionalFormatting sqref="M46:M49 M63:AF63 AB38:AF38 U46:AF47">
    <cfRule type="expression" dxfId="3314" priority="205">
      <formula>M$9&gt;=20/24</formula>
    </cfRule>
    <cfRule type="expression" dxfId="3313" priority="206">
      <formula>AND(M$9&gt;=14/24,M$9&lt;20/24)</formula>
    </cfRule>
    <cfRule type="expression" dxfId="3312" priority="207">
      <formula>AND(M$9&gt;=8/24,M$9&lt;14/24)</formula>
    </cfRule>
    <cfRule type="expression" dxfId="3311" priority="208">
      <formula>M$9&lt;8/24</formula>
    </cfRule>
  </conditionalFormatting>
  <conditionalFormatting sqref="U45:AF45">
    <cfRule type="expression" dxfId="3310" priority="201">
      <formula>U$9&gt;=20/24</formula>
    </cfRule>
    <cfRule type="expression" dxfId="3309" priority="202">
      <formula>AND(U$9&gt;=14/24,U$9&lt;20/24)</formula>
    </cfRule>
    <cfRule type="expression" dxfId="3308" priority="203">
      <formula>AND(U$9&gt;=8/24,U$9&lt;14/24)</formula>
    </cfRule>
    <cfRule type="expression" dxfId="3307" priority="204">
      <formula>U$9&lt;8/24</formula>
    </cfRule>
  </conditionalFormatting>
  <conditionalFormatting sqref="M46:M49 AB38:AF38 U45:AF47">
    <cfRule type="expression" dxfId="3306" priority="200">
      <formula>M38&gt;$AG38</formula>
    </cfRule>
  </conditionalFormatting>
  <conditionalFormatting sqref="C88:AF88 C75:AF78 M39:R39 M64:T65 W12:X13 X14 U38:AA38 U64:AF73 W25:AF27 W18:AF18 Y12:AF14 V59:AF61 W29:AF29 W31:AF34 M92:AF98">
    <cfRule type="expression" dxfId="3305" priority="196">
      <formula>C$9&gt;=20/24</formula>
    </cfRule>
    <cfRule type="expression" dxfId="3304" priority="197">
      <formula>AND(C$9&gt;=14/24,C$9&lt;20/24)</formula>
    </cfRule>
    <cfRule type="expression" dxfId="3303" priority="198">
      <formula>AND(C$9&gt;=8/24,C$9&lt;14/24)</formula>
    </cfRule>
    <cfRule type="expression" dxfId="3302" priority="199">
      <formula>C$9&lt;8/24</formula>
    </cfRule>
  </conditionalFormatting>
  <conditionalFormatting sqref="W35:AF35">
    <cfRule type="expression" dxfId="3301" priority="192">
      <formula>W$9&gt;=20/24</formula>
    </cfRule>
    <cfRule type="expression" dxfId="3300" priority="193">
      <formula>AND(W$9&gt;=14/24,W$9&lt;20/24)</formula>
    </cfRule>
    <cfRule type="expression" dxfId="3299" priority="194">
      <formula>AND(W$9&gt;=8/24,W$9&lt;14/24)</formula>
    </cfRule>
    <cfRule type="expression" dxfId="3298" priority="195">
      <formula>W$9&lt;8/24</formula>
    </cfRule>
  </conditionalFormatting>
  <conditionalFormatting sqref="AF48:AF49 C57:AF57 M39:R39 U38:AA38 V59:AF61 W25:AF29 W31:AF35">
    <cfRule type="expression" dxfId="3297" priority="191">
      <formula>C25&gt;$AG25</formula>
    </cfRule>
  </conditionalFormatting>
  <conditionalFormatting sqref="W37:AF37">
    <cfRule type="expression" dxfId="3296" priority="187">
      <formula>W$9&gt;=20/24</formula>
    </cfRule>
    <cfRule type="expression" dxfId="3295" priority="188">
      <formula>AND(W$9&gt;=14/24,W$9&lt;20/24)</formula>
    </cfRule>
    <cfRule type="expression" dxfId="3294" priority="189">
      <formula>AND(W$9&gt;=8/24,W$9&lt;14/24)</formula>
    </cfRule>
    <cfRule type="expression" dxfId="3293" priority="190">
      <formula>W$9&lt;8/24</formula>
    </cfRule>
  </conditionalFormatting>
  <conditionalFormatting sqref="W15:AF15">
    <cfRule type="expression" dxfId="3292" priority="183">
      <formula>W$9&gt;=20/24</formula>
    </cfRule>
    <cfRule type="expression" dxfId="3291" priority="184">
      <formula>AND(W$9&gt;=14/24,W$9&lt;20/24)</formula>
    </cfRule>
    <cfRule type="expression" dxfId="3290" priority="185">
      <formula>AND(W$9&gt;=8/24,W$9&lt;14/24)</formula>
    </cfRule>
    <cfRule type="expression" dxfId="3289" priority="186">
      <formula>W$9&lt;8/24</formula>
    </cfRule>
  </conditionalFormatting>
  <conditionalFormatting sqref="W36:AF36">
    <cfRule type="expression" dxfId="3288" priority="179">
      <formula>W$9&gt;=20/24</formula>
    </cfRule>
    <cfRule type="expression" dxfId="3287" priority="180">
      <formula>AND(W$9&gt;=14/24,W$9&lt;20/24)</formula>
    </cfRule>
    <cfRule type="expression" dxfId="3286" priority="181">
      <formula>AND(W$9&gt;=8/24,W$9&lt;14/24)</formula>
    </cfRule>
    <cfRule type="expression" dxfId="3285" priority="182">
      <formula>W$9&lt;8/24</formula>
    </cfRule>
  </conditionalFormatting>
  <conditionalFormatting sqref="W36:AF36">
    <cfRule type="expression" dxfId="3284" priority="178">
      <formula>W36&gt;$AG36</formula>
    </cfRule>
  </conditionalFormatting>
  <conditionalFormatting sqref="AF50:AF56">
    <cfRule type="expression" dxfId="3283" priority="174">
      <formula>AF$9&gt;=20/24</formula>
    </cfRule>
    <cfRule type="expression" dxfId="3282" priority="175">
      <formula>AND(AF$9&gt;=14/24,AF$9&lt;20/24)</formula>
    </cfRule>
    <cfRule type="expression" dxfId="3281" priority="176">
      <formula>AND(AF$9&gt;=8/24,AF$9&lt;14/24)</formula>
    </cfRule>
    <cfRule type="expression" dxfId="3280" priority="177">
      <formula>AF$9&lt;8/24</formula>
    </cfRule>
  </conditionalFormatting>
  <conditionalFormatting sqref="AF50:AF56">
    <cfRule type="expression" dxfId="3279" priority="173">
      <formula>AF50&gt;$AG50</formula>
    </cfRule>
  </conditionalFormatting>
  <conditionalFormatting sqref="M45:N45 N46:N49 O45:T49 U48:AE50">
    <cfRule type="expression" dxfId="3278" priority="169">
      <formula>M$9&gt;=20/24</formula>
    </cfRule>
    <cfRule type="expression" dxfId="3277" priority="170">
      <formula>AND(M$9&gt;=14/24,M$9&lt;20/24)</formula>
    </cfRule>
    <cfRule type="expression" dxfId="3276" priority="171">
      <formula>AND(M$9&gt;=8/24,M$9&lt;14/24)</formula>
    </cfRule>
    <cfRule type="expression" dxfId="3275" priority="172">
      <formula>M$9&lt;8/24</formula>
    </cfRule>
  </conditionalFormatting>
  <conditionalFormatting sqref="M45:N45 N46:N49 O45:T49 U48:AE50">
    <cfRule type="expression" dxfId="3274" priority="168">
      <formula>M45&gt;$AG45</formula>
    </cfRule>
  </conditionalFormatting>
  <conditionalFormatting sqref="W28:AF28">
    <cfRule type="expression" dxfId="3273" priority="164">
      <formula>W$9&gt;=20/24</formula>
    </cfRule>
    <cfRule type="expression" dxfId="3272" priority="165">
      <formula>AND(W$9&gt;=14/24,W$9&lt;20/24)</formula>
    </cfRule>
    <cfRule type="expression" dxfId="3271" priority="166">
      <formula>AND(W$9&gt;=8/24,W$9&lt;14/24)</formula>
    </cfRule>
    <cfRule type="expression" dxfId="3270" priority="167">
      <formula>W$9&lt;8/24</formula>
    </cfRule>
  </conditionalFormatting>
  <conditionalFormatting sqref="P31:V31 W19:AF19 AB24:AF24">
    <cfRule type="expression" dxfId="3269" priority="160">
      <formula>P$9&gt;=20/24</formula>
    </cfRule>
    <cfRule type="expression" dxfId="3268" priority="161">
      <formula>AND(P$9&gt;=14/24,P$9&lt;20/24)</formula>
    </cfRule>
    <cfRule type="expression" dxfId="3267" priority="162">
      <formula>AND(P$9&gt;=8/24,P$9&lt;14/24)</formula>
    </cfRule>
    <cfRule type="expression" dxfId="3266" priority="163">
      <formula>P$9&lt;8/24</formula>
    </cfRule>
  </conditionalFormatting>
  <conditionalFormatting sqref="P31:V31 W19:AF19 AB24:AF24">
    <cfRule type="expression" dxfId="3265" priority="159">
      <formula>P19&gt;$AG19</formula>
    </cfRule>
  </conditionalFormatting>
  <conditionalFormatting sqref="B101 B80:AF80 B89:AF89 B103:B108 B11:V11">
    <cfRule type="expression" dxfId="3264" priority="141">
      <formula>B$9&gt;=20/24</formula>
    </cfRule>
    <cfRule type="expression" dxfId="3263" priority="142">
      <formula>AND(B$9&gt;=14/24,B$9&lt;20/24)</formula>
    </cfRule>
    <cfRule type="expression" dxfId="3262" priority="143">
      <formula>AND(B$9&gt;=8/24,B$9&lt;14/24)</formula>
    </cfRule>
    <cfRule type="expression" dxfId="3261" priority="144">
      <formula>B$9&lt;8/24</formula>
    </cfRule>
  </conditionalFormatting>
  <conditionalFormatting sqref="B39:L39">
    <cfRule type="expression" dxfId="3260" priority="137">
      <formula>B$9&gt;=20/24</formula>
    </cfRule>
    <cfRule type="expression" dxfId="3259" priority="138">
      <formula>AND(B$9&gt;=14/24,B$9&lt;20/24)</formula>
    </cfRule>
    <cfRule type="expression" dxfId="3258" priority="139">
      <formula>AND(B$9&gt;=8/24,B$9&lt;14/24)</formula>
    </cfRule>
    <cfRule type="expression" dxfId="3257" priority="140">
      <formula>B$9&lt;8/24</formula>
    </cfRule>
  </conditionalFormatting>
  <conditionalFormatting sqref="B39:L39 B11:V11">
    <cfRule type="expression" dxfId="3256" priority="136">
      <formula>B11&gt;$AG11</formula>
    </cfRule>
  </conditionalFormatting>
  <conditionalFormatting sqref="B91">
    <cfRule type="expression" dxfId="3255" priority="132">
      <formula>B$9&gt;=20/24</formula>
    </cfRule>
    <cfRule type="expression" dxfId="3254" priority="133">
      <formula>AND(B$9&gt;=14/24,B$9&lt;20/24)</formula>
    </cfRule>
    <cfRule type="expression" dxfId="3253" priority="134">
      <formula>AND(B$9&gt;=8/24,B$9&lt;14/24)</formula>
    </cfRule>
    <cfRule type="expression" dxfId="3252" priority="135">
      <formula>B$9&lt;8/24</formula>
    </cfRule>
  </conditionalFormatting>
  <conditionalFormatting sqref="B46:L47 B63:L63 B38:T38">
    <cfRule type="expression" dxfId="3251" priority="128">
      <formula>B$9&gt;=20/24</formula>
    </cfRule>
    <cfRule type="expression" dxfId="3250" priority="129">
      <formula>AND(B$9&gt;=14/24,B$9&lt;20/24)</formula>
    </cfRule>
    <cfRule type="expression" dxfId="3249" priority="130">
      <formula>AND(B$9&gt;=8/24,B$9&lt;14/24)</formula>
    </cfRule>
    <cfRule type="expression" dxfId="3248" priority="131">
      <formula>B$9&lt;8/24</formula>
    </cfRule>
  </conditionalFormatting>
  <conditionalFormatting sqref="B45:L45">
    <cfRule type="expression" dxfId="3247" priority="124">
      <formula>B$9&gt;=20/24</formula>
    </cfRule>
    <cfRule type="expression" dxfId="3246" priority="125">
      <formula>AND(B$9&gt;=14/24,B$9&lt;20/24)</formula>
    </cfRule>
    <cfRule type="expression" dxfId="3245" priority="126">
      <formula>AND(B$9&gt;=8/24,B$9&lt;14/24)</formula>
    </cfRule>
    <cfRule type="expression" dxfId="3244" priority="127">
      <formula>B$9&lt;8/24</formula>
    </cfRule>
  </conditionalFormatting>
  <conditionalFormatting sqref="B45:L47 B38:T38">
    <cfRule type="expression" dxfId="3243" priority="123">
      <formula>B38&gt;$AG38</formula>
    </cfRule>
  </conditionalFormatting>
  <conditionalFormatting sqref="B59:B62 B75:B79 B81:AF81 B88 C62:AG62 C79:AG79 B90:AF90 B64:L73 B92:L98 B31:O34 M66:T73 B29:V29 B12:V13 B18:V18 B25:V27 P32:V34 C59:U61 B14:W14">
    <cfRule type="expression" dxfId="3242" priority="119">
      <formula>B$9&gt;=20/24</formula>
    </cfRule>
    <cfRule type="expression" dxfId="3241" priority="120">
      <formula>AND(B$9&gt;=14/24,B$9&lt;20/24)</formula>
    </cfRule>
    <cfRule type="expression" dxfId="3240" priority="121">
      <formula>AND(B$9&gt;=8/24,B$9&lt;14/24)</formula>
    </cfRule>
    <cfRule type="expression" dxfId="3239" priority="122">
      <formula>B$9&lt;8/24</formula>
    </cfRule>
  </conditionalFormatting>
  <conditionalFormatting sqref="B35:V35">
    <cfRule type="expression" dxfId="3238" priority="115">
      <formula>B$9&gt;=20/24</formula>
    </cfRule>
    <cfRule type="expression" dxfId="3237" priority="116">
      <formula>AND(B$9&gt;=14/24,B$9&lt;20/24)</formula>
    </cfRule>
    <cfRule type="expression" dxfId="3236" priority="117">
      <formula>AND(B$9&gt;=8/24,B$9&lt;14/24)</formula>
    </cfRule>
    <cfRule type="expression" dxfId="3235" priority="118">
      <formula>B$9&lt;8/24</formula>
    </cfRule>
  </conditionalFormatting>
  <conditionalFormatting sqref="B57:B62 B40:AG40 C58:AG58 C62:AG62 B48:L49 B31:O35 B25:V29 P32:V35 C59:U61">
    <cfRule type="expression" dxfId="3234" priority="114">
      <formula>B25&gt;$AG25</formula>
    </cfRule>
  </conditionalFormatting>
  <conditionalFormatting sqref="B37:V37">
    <cfRule type="expression" dxfId="3233" priority="110">
      <formula>B$9&gt;=20/24</formula>
    </cfRule>
    <cfRule type="expression" dxfId="3232" priority="111">
      <formula>AND(B$9&gt;=14/24,B$9&lt;20/24)</formula>
    </cfRule>
    <cfRule type="expression" dxfId="3231" priority="112">
      <formula>AND(B$9&gt;=8/24,B$9&lt;14/24)</formula>
    </cfRule>
    <cfRule type="expression" dxfId="3230" priority="113">
      <formula>B$9&lt;8/24</formula>
    </cfRule>
  </conditionalFormatting>
  <conditionalFormatting sqref="B15:V15">
    <cfRule type="expression" dxfId="3229" priority="106">
      <formula>B$9&gt;=20/24</formula>
    </cfRule>
    <cfRule type="expression" dxfId="3228" priority="107">
      <formula>AND(B$9&gt;=14/24,B$9&lt;20/24)</formula>
    </cfRule>
    <cfRule type="expression" dxfId="3227" priority="108">
      <formula>AND(B$9&gt;=8/24,B$9&lt;14/24)</formula>
    </cfRule>
    <cfRule type="expression" dxfId="3226" priority="109">
      <formula>B$9&lt;8/24</formula>
    </cfRule>
  </conditionalFormatting>
  <conditionalFormatting sqref="B36:V36">
    <cfRule type="expression" dxfId="3225" priority="102">
      <formula>B$9&gt;=20/24</formula>
    </cfRule>
    <cfRule type="expression" dxfId="3224" priority="103">
      <formula>AND(B$9&gt;=14/24,B$9&lt;20/24)</formula>
    </cfRule>
    <cfRule type="expression" dxfId="3223" priority="104">
      <formula>AND(B$9&gt;=8/24,B$9&lt;14/24)</formula>
    </cfRule>
    <cfRule type="expression" dxfId="3222" priority="105">
      <formula>B$9&lt;8/24</formula>
    </cfRule>
  </conditionalFormatting>
  <conditionalFormatting sqref="B36:V36">
    <cfRule type="expression" dxfId="3221" priority="101">
      <formula>B36&gt;$AG36</formula>
    </cfRule>
  </conditionalFormatting>
  <conditionalFormatting sqref="B50:T56 U51:AE56">
    <cfRule type="expression" dxfId="3220" priority="97">
      <formula>B$9&gt;=20/24</formula>
    </cfRule>
    <cfRule type="expression" dxfId="3219" priority="98">
      <formula>AND(B$9&gt;=14/24,B$9&lt;20/24)</formula>
    </cfRule>
    <cfRule type="expression" dxfId="3218" priority="99">
      <formula>AND(B$9&gt;=8/24,B$9&lt;14/24)</formula>
    </cfRule>
    <cfRule type="expression" dxfId="3217" priority="100">
      <formula>B$9&lt;8/24</formula>
    </cfRule>
  </conditionalFormatting>
  <conditionalFormatting sqref="B50:T56 U51:AE56">
    <cfRule type="expression" dxfId="3216" priority="96">
      <formula>B50&gt;$AG50</formula>
    </cfRule>
  </conditionalFormatting>
  <conditionalFormatting sqref="B28:V28">
    <cfRule type="expression" dxfId="3215" priority="92">
      <formula>B$9&gt;=20/24</formula>
    </cfRule>
    <cfRule type="expression" dxfId="3214" priority="93">
      <formula>AND(B$9&gt;=14/24,B$9&lt;20/24)</formula>
    </cfRule>
    <cfRule type="expression" dxfId="3213" priority="94">
      <formula>AND(B$9&gt;=8/24,B$9&lt;14/24)</formula>
    </cfRule>
    <cfRule type="expression" dxfId="3212" priority="95">
      <formula>B$9&lt;8/24</formula>
    </cfRule>
  </conditionalFormatting>
  <conditionalFormatting sqref="B19:V19 B24:AA24">
    <cfRule type="expression" dxfId="3211" priority="88">
      <formula>B$9&gt;=20/24</formula>
    </cfRule>
    <cfRule type="expression" dxfId="3210" priority="89">
      <formula>AND(B$9&gt;=14/24,B$9&lt;20/24)</formula>
    </cfRule>
    <cfRule type="expression" dxfId="3209" priority="90">
      <formula>AND(B$9&gt;=8/24,B$9&lt;14/24)</formula>
    </cfRule>
    <cfRule type="expression" dxfId="3208" priority="91">
      <formula>B$9&lt;8/24</formula>
    </cfRule>
  </conditionalFormatting>
  <conditionalFormatting sqref="B19:V19 B24:AA24">
    <cfRule type="expression" dxfId="3207" priority="87">
      <formula>B19&gt;$AG19</formula>
    </cfRule>
  </conditionalFormatting>
  <conditionalFormatting sqref="A36">
    <cfRule type="expression" dxfId="3206" priority="86">
      <formula>$AH36=0</formula>
    </cfRule>
  </conditionalFormatting>
  <conditionalFormatting sqref="B74:AF74">
    <cfRule type="expression" dxfId="3205" priority="82">
      <formula>B$9&gt;=20/24</formula>
    </cfRule>
    <cfRule type="expression" dxfId="3204" priority="83">
      <formula>AND(B$9&gt;=14/24,B$9&lt;20/24)</formula>
    </cfRule>
    <cfRule type="expression" dxfId="3203" priority="84">
      <formula>AND(B$9&gt;=8/24,B$9&lt;14/24)</formula>
    </cfRule>
    <cfRule type="expression" dxfId="3202" priority="85">
      <formula>B$9&lt;8/24</formula>
    </cfRule>
  </conditionalFormatting>
  <conditionalFormatting sqref="B83:AF87">
    <cfRule type="expression" dxfId="3201" priority="78">
      <formula>B$9&gt;=20/24</formula>
    </cfRule>
    <cfRule type="expression" dxfId="3200" priority="79">
      <formula>AND(B$9&gt;=14/24,B$9&lt;20/24)</formula>
    </cfRule>
    <cfRule type="expression" dxfId="3199" priority="80">
      <formula>AND(B$9&gt;=8/24,B$9&lt;14/24)</formula>
    </cfRule>
    <cfRule type="expression" dxfId="3198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E41:L41 M41:AF43">
    <cfRule type="expression" dxfId="3197" priority="74">
      <formula>E$9&gt;=20/24</formula>
    </cfRule>
    <cfRule type="expression" dxfId="3196" priority="75">
      <formula>AND(E$9&gt;=14/24,E$9&lt;20/24)</formula>
    </cfRule>
    <cfRule type="expression" dxfId="3195" priority="76">
      <formula>AND(E$9&gt;=8/24,E$9&lt;14/24)</formula>
    </cfRule>
    <cfRule type="expression" dxfId="3194" priority="77">
      <formula>E$9&lt;8/24</formula>
    </cfRule>
  </conditionalFormatting>
  <conditionalFormatting sqref="E41:L41 M41:AF43">
    <cfRule type="expression" dxfId="3193" priority="73">
      <formula>E41&gt;$AG41</formula>
    </cfRule>
  </conditionalFormatting>
  <conditionalFormatting sqref="B41:B44 C44:AG44 C41:D43 E42:L43">
    <cfRule type="expression" dxfId="3192" priority="69">
      <formula>B$9&gt;=20/24</formula>
    </cfRule>
    <cfRule type="expression" dxfId="3191" priority="70">
      <formula>AND(B$9&gt;=14/24,B$9&lt;20/24)</formula>
    </cfRule>
    <cfRule type="expression" dxfId="3190" priority="71">
      <formula>AND(B$9&gt;=8/24,B$9&lt;14/24)</formula>
    </cfRule>
    <cfRule type="expression" dxfId="3189" priority="72">
      <formula>B$9&lt;8/24</formula>
    </cfRule>
  </conditionalFormatting>
  <conditionalFormatting sqref="B41:B44 C44:AG44 C41:D43 E42:L43">
    <cfRule type="expression" dxfId="3188" priority="68">
      <formula>B41&gt;$AG41</formula>
    </cfRule>
  </conditionalFormatting>
  <conditionalFormatting sqref="C99:AF99">
    <cfRule type="expression" dxfId="3187" priority="64">
      <formula>C$9&gt;=20/24</formula>
    </cfRule>
    <cfRule type="expression" dxfId="3186" priority="65">
      <formula>AND(C$9&gt;=14/24,C$9&lt;20/24)</formula>
    </cfRule>
    <cfRule type="expression" dxfId="3185" priority="66">
      <formula>AND(C$9&gt;=8/24,C$9&lt;14/24)</formula>
    </cfRule>
    <cfRule type="expression" dxfId="3184" priority="67">
      <formula>C$9&lt;8/24</formula>
    </cfRule>
  </conditionalFormatting>
  <conditionalFormatting sqref="B99">
    <cfRule type="expression" dxfId="3183" priority="60">
      <formula>B$9&gt;=20/24</formula>
    </cfRule>
    <cfRule type="expression" dxfId="3182" priority="61">
      <formula>AND(B$9&gt;=14/24,B$9&lt;20/24)</formula>
    </cfRule>
    <cfRule type="expression" dxfId="3181" priority="62">
      <formula>AND(B$9&gt;=8/24,B$9&lt;14/24)</formula>
    </cfRule>
    <cfRule type="expression" dxfId="3180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3179" priority="54">
      <formula>$AH33=0</formula>
    </cfRule>
  </conditionalFormatting>
  <conditionalFormatting sqref="A82">
    <cfRule type="expression" dxfId="3178" priority="52">
      <formula>$AH82=0</formula>
    </cfRule>
  </conditionalFormatting>
  <conditionalFormatting sqref="A79">
    <cfRule type="expression" dxfId="3177" priority="53">
      <formula>$AH79=0</formula>
    </cfRule>
  </conditionalFormatting>
  <conditionalFormatting sqref="A109">
    <cfRule type="expression" dxfId="3176" priority="43">
      <formula>$AH109=0</formula>
    </cfRule>
  </conditionalFormatting>
  <conditionalFormatting sqref="C102:AF102">
    <cfRule type="expression" dxfId="3175" priority="39">
      <formula>C$9&gt;=20/24</formula>
    </cfRule>
    <cfRule type="expression" dxfId="3174" priority="40">
      <formula>AND(C$9&gt;=14/24,C$9&lt;20/24)</formula>
    </cfRule>
    <cfRule type="expression" dxfId="3173" priority="41">
      <formula>AND(C$9&gt;=8/24,C$9&lt;14/24)</formula>
    </cfRule>
    <cfRule type="expression" dxfId="3172" priority="42">
      <formula>C$9&lt;8/24</formula>
    </cfRule>
  </conditionalFormatting>
  <conditionalFormatting sqref="A102">
    <cfRule type="expression" dxfId="3171" priority="38">
      <formula>$AH102=0</formula>
    </cfRule>
  </conditionalFormatting>
  <conditionalFormatting sqref="B102">
    <cfRule type="expression" dxfId="3170" priority="34">
      <formula>B$9&gt;=20/24</formula>
    </cfRule>
    <cfRule type="expression" dxfId="3169" priority="35">
      <formula>AND(B$9&gt;=14/24,B$9&lt;20/24)</formula>
    </cfRule>
    <cfRule type="expression" dxfId="3168" priority="36">
      <formula>AND(B$9&gt;=8/24,B$9&lt;14/24)</formula>
    </cfRule>
    <cfRule type="expression" dxfId="3167" priority="37">
      <formula>B$9&lt;8/24</formula>
    </cfRule>
  </conditionalFormatting>
  <conditionalFormatting sqref="B17:AF17">
    <cfRule type="expression" dxfId="3166" priority="27">
      <formula>B17&gt;$AG17</formula>
    </cfRule>
  </conditionalFormatting>
  <conditionalFormatting sqref="A17">
    <cfRule type="expression" dxfId="3165" priority="26">
      <formula>$AH17=0</formula>
    </cfRule>
  </conditionalFormatting>
  <conditionalFormatting sqref="W17:AF17">
    <cfRule type="expression" dxfId="3164" priority="22">
      <formula>W$9&gt;=20/24</formula>
    </cfRule>
    <cfRule type="expression" dxfId="3163" priority="23">
      <formula>AND(W$9&gt;=14/24,W$9&lt;20/24)</formula>
    </cfRule>
    <cfRule type="expression" dxfId="3162" priority="24">
      <formula>AND(W$9&gt;=8/24,W$9&lt;14/24)</formula>
    </cfRule>
    <cfRule type="expression" dxfId="3161" priority="25">
      <formula>W$9&lt;8/24</formula>
    </cfRule>
  </conditionalFormatting>
  <conditionalFormatting sqref="B17:V17">
    <cfRule type="expression" dxfId="3160" priority="18">
      <formula>B$9&gt;=20/24</formula>
    </cfRule>
    <cfRule type="expression" dxfId="3159" priority="19">
      <formula>AND(B$9&gt;=14/24,B$9&lt;20/24)</formula>
    </cfRule>
    <cfRule type="expression" dxfId="3158" priority="20">
      <formula>AND(B$9&gt;=8/24,B$9&lt;14/24)</formula>
    </cfRule>
    <cfRule type="expression" dxfId="3157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3156" priority="16">
      <formula>$AH30=0</formula>
    </cfRule>
  </conditionalFormatting>
  <conditionalFormatting sqref="W30:AF30">
    <cfRule type="expression" dxfId="3155" priority="12">
      <formula>W$9&gt;=20/24</formula>
    </cfRule>
    <cfRule type="expression" dxfId="3154" priority="13">
      <formula>AND(W$9&gt;=14/24,W$9&lt;20/24)</formula>
    </cfRule>
    <cfRule type="expression" dxfId="3153" priority="14">
      <formula>AND(W$9&gt;=8/24,W$9&lt;14/24)</formula>
    </cfRule>
    <cfRule type="expression" dxfId="3152" priority="15">
      <formula>W$9&lt;8/24</formula>
    </cfRule>
  </conditionalFormatting>
  <conditionalFormatting sqref="W30:AF30">
    <cfRule type="expression" dxfId="3151" priority="11">
      <formula>W30&gt;$AG30</formula>
    </cfRule>
  </conditionalFormatting>
  <conditionalFormatting sqref="B30:V30">
    <cfRule type="expression" dxfId="3150" priority="2">
      <formula>B$9&gt;=20/24</formula>
    </cfRule>
    <cfRule type="expression" dxfId="3149" priority="3">
      <formula>AND(B$9&gt;=14/24,B$9&lt;20/24)</formula>
    </cfRule>
    <cfRule type="expression" dxfId="3148" priority="4">
      <formula>AND(B$9&gt;=8/24,B$9&lt;14/24)</formula>
    </cfRule>
    <cfRule type="expression" dxfId="3147" priority="5">
      <formula>B$9&lt;8/24</formula>
    </cfRule>
  </conditionalFormatting>
  <conditionalFormatting sqref="B30:V30">
    <cfRule type="expression" dxfId="3146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2AEDEF72-5894-40C8-87F4-CD7E0D57DB6E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0F6C2A36-807D-41C6-8F3A-ECC7D522E5A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D7B288B2-BE12-43F8-970F-49A2DCF3463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3BF4E8A2-E635-4F9E-B67A-6607CF677BE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A2F0EDA8-CAA6-4048-94B2-4F25B946CE1A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F2104013-7EC8-4193-B09C-09D36A3DC79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89837004-68C2-4CC3-9B30-9340A25F3C4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8F0CAB04-672D-47D1-B6D2-D7C2FB845E3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D79D5C1B-1AFC-409E-8862-96F5206151A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337F3C8E-DD46-4A5A-BCCE-F3B3470ED26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CD88AB1A-6F9A-4B34-9871-D5C59B6DBF9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0416381C-BB02-4B29-854F-390AB96C867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J270"/>
  <sheetViews>
    <sheetView zoomScale="90" zoomScaleNormal="90" workbookViewId="0">
      <pane xSplit="1" ySplit="10" topLeftCell="B20" activePane="bottomRight" state="frozen"/>
      <selection activeCell="AF88" sqref="AF88"/>
      <selection pane="topRight" activeCell="AF88" sqref="AF88"/>
      <selection pane="bottomLeft" activeCell="AF88" sqref="AF88"/>
      <selection pane="bottomRight" activeCell="Y86" sqref="Y86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2079/06/25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11.41</v>
      </c>
      <c r="X5" s="148">
        <f t="shared" si="0"/>
        <v>34</v>
      </c>
      <c r="Y5" s="148">
        <f t="shared" si="0"/>
        <v>13</v>
      </c>
      <c r="Z5" s="148">
        <f t="shared" si="0"/>
        <v>13</v>
      </c>
      <c r="AA5" s="148">
        <f t="shared" si="0"/>
        <v>0</v>
      </c>
      <c r="AB5" s="148">
        <f t="shared" si="0"/>
        <v>0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B74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1505MW at 9:00hr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Load=1324</v>
      </c>
      <c r="B7" s="137">
        <f t="shared" ref="B7:AF7" si="1">B81</f>
        <v>1343.94</v>
      </c>
      <c r="C7" s="137">
        <f t="shared" si="1"/>
        <v>1420.1399999999999</v>
      </c>
      <c r="D7" s="137">
        <f t="shared" si="1"/>
        <v>1390.44</v>
      </c>
      <c r="E7" s="137">
        <f t="shared" si="1"/>
        <v>1387.74</v>
      </c>
      <c r="F7" s="137">
        <f t="shared" si="1"/>
        <v>1372.24</v>
      </c>
      <c r="G7" s="137">
        <f t="shared" si="1"/>
        <v>1372.24</v>
      </c>
      <c r="H7" s="137">
        <f t="shared" si="1"/>
        <v>1323.64</v>
      </c>
      <c r="I7" s="137">
        <f t="shared" si="1"/>
        <v>1397.74</v>
      </c>
      <c r="J7" s="137">
        <f t="shared" si="1"/>
        <v>1423.3400000000001</v>
      </c>
      <c r="K7" s="137">
        <f t="shared" si="1"/>
        <v>1461.8400000000001</v>
      </c>
      <c r="L7" s="137">
        <f t="shared" si="1"/>
        <v>1470.04</v>
      </c>
      <c r="M7" s="137">
        <f t="shared" si="1"/>
        <v>1498.3400000000001</v>
      </c>
      <c r="N7" s="137">
        <f t="shared" si="1"/>
        <v>1505.04</v>
      </c>
      <c r="O7" s="137">
        <f t="shared" si="1"/>
        <v>1528.44</v>
      </c>
      <c r="P7" s="137">
        <f t="shared" si="1"/>
        <v>1573.44</v>
      </c>
      <c r="Q7" s="137">
        <f t="shared" si="1"/>
        <v>1573.34</v>
      </c>
      <c r="R7" s="137">
        <f t="shared" si="1"/>
        <v>1495.94</v>
      </c>
      <c r="S7" s="137">
        <f t="shared" si="1"/>
        <v>1502.9399999999998</v>
      </c>
      <c r="T7" s="137">
        <f t="shared" si="1"/>
        <v>1556.14</v>
      </c>
      <c r="U7" s="137">
        <f t="shared" si="1"/>
        <v>1570.1399999999999</v>
      </c>
      <c r="V7" s="137">
        <f t="shared" si="1"/>
        <v>1570.1399999999999</v>
      </c>
      <c r="W7" s="137">
        <f t="shared" si="1"/>
        <v>1518.34</v>
      </c>
      <c r="X7" s="137">
        <f t="shared" si="1"/>
        <v>1558.65</v>
      </c>
      <c r="Y7" s="137">
        <f t="shared" si="1"/>
        <v>1468.24</v>
      </c>
      <c r="Z7" s="137">
        <f t="shared" si="1"/>
        <v>1572.4399999999998</v>
      </c>
      <c r="AA7" s="137">
        <f t="shared" si="1"/>
        <v>1687.04</v>
      </c>
      <c r="AB7" s="137">
        <f t="shared" si="1"/>
        <v>1646.64</v>
      </c>
      <c r="AC7" s="137">
        <f t="shared" si="1"/>
        <v>1603.8400000000001</v>
      </c>
      <c r="AD7" s="137">
        <f t="shared" si="1"/>
        <v>1518.1399999999999</v>
      </c>
      <c r="AE7" s="137">
        <f t="shared" si="1"/>
        <v>1474.04</v>
      </c>
      <c r="AF7" s="137">
        <f t="shared" si="1"/>
        <v>1465.2400000000002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27.5</v>
      </c>
      <c r="C11" s="105">
        <v>27.6</v>
      </c>
      <c r="D11" s="105">
        <v>27.5</v>
      </c>
      <c r="E11" s="105">
        <v>27.5</v>
      </c>
      <c r="F11" s="105">
        <v>27.5</v>
      </c>
      <c r="G11" s="105">
        <v>27.5</v>
      </c>
      <c r="H11" s="105">
        <v>27.5</v>
      </c>
      <c r="I11" s="105">
        <v>27.5</v>
      </c>
      <c r="J11" s="105">
        <v>27.5</v>
      </c>
      <c r="K11" s="105">
        <v>27.5</v>
      </c>
      <c r="L11" s="105">
        <v>27.5</v>
      </c>
      <c r="M11" s="105">
        <v>27.5</v>
      </c>
      <c r="N11" s="105">
        <v>27.5</v>
      </c>
      <c r="O11" s="105">
        <v>35</v>
      </c>
      <c r="P11" s="105">
        <v>53.3</v>
      </c>
      <c r="Q11" s="105">
        <v>53.4</v>
      </c>
      <c r="R11" s="105">
        <v>53.4</v>
      </c>
      <c r="S11" s="105">
        <v>53.4</v>
      </c>
      <c r="T11" s="105">
        <v>53.4</v>
      </c>
      <c r="U11" s="105">
        <v>53.4</v>
      </c>
      <c r="V11" s="105">
        <v>53.4</v>
      </c>
      <c r="W11" s="105">
        <v>53.4</v>
      </c>
      <c r="X11" s="105">
        <v>53.4</v>
      </c>
      <c r="Y11" s="105">
        <v>53.4</v>
      </c>
      <c r="Z11" s="128">
        <v>53.4</v>
      </c>
      <c r="AA11" s="128">
        <v>53.4</v>
      </c>
      <c r="AB11" s="128">
        <v>53.4</v>
      </c>
      <c r="AC11" s="128">
        <v>53.4</v>
      </c>
      <c r="AD11" s="128">
        <v>53.4</v>
      </c>
      <c r="AE11" s="128">
        <v>27.9</v>
      </c>
      <c r="AF11" s="128">
        <v>27.9</v>
      </c>
      <c r="AG11" s="127">
        <v>52.4</v>
      </c>
      <c r="AH11" s="20">
        <f>MAX(B11:AF11)</f>
        <v>53.4</v>
      </c>
      <c r="AI11" s="19">
        <f>MIN(B11:AF11)</f>
        <v>27.5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50.6</v>
      </c>
      <c r="C12" s="105">
        <v>50.6</v>
      </c>
      <c r="D12" s="105">
        <v>50.4</v>
      </c>
      <c r="E12" s="105">
        <v>50.4</v>
      </c>
      <c r="F12" s="105">
        <v>50.4</v>
      </c>
      <c r="G12" s="105">
        <v>50.4</v>
      </c>
      <c r="H12" s="105">
        <v>50.4</v>
      </c>
      <c r="I12" s="105">
        <v>50.4</v>
      </c>
      <c r="J12" s="105">
        <v>50.4</v>
      </c>
      <c r="K12" s="105">
        <v>50.4</v>
      </c>
      <c r="L12" s="105">
        <v>50.4</v>
      </c>
      <c r="M12" s="105">
        <v>50.5</v>
      </c>
      <c r="N12" s="105">
        <v>50.5</v>
      </c>
      <c r="O12" s="105">
        <v>50.5</v>
      </c>
      <c r="P12" s="105">
        <v>50.5</v>
      </c>
      <c r="Q12" s="105">
        <v>50.4</v>
      </c>
      <c r="R12" s="105">
        <v>50.4</v>
      </c>
      <c r="S12" s="105">
        <v>50.4</v>
      </c>
      <c r="T12" s="105">
        <v>50.4</v>
      </c>
      <c r="U12" s="105">
        <v>50.4</v>
      </c>
      <c r="V12" s="105">
        <v>50.4</v>
      </c>
      <c r="W12" s="105">
        <v>50.4</v>
      </c>
      <c r="X12" s="105">
        <v>50.4</v>
      </c>
      <c r="Y12" s="105">
        <v>50.4</v>
      </c>
      <c r="Z12" s="105">
        <v>50.4</v>
      </c>
      <c r="AA12" s="105">
        <v>50.4</v>
      </c>
      <c r="AB12" s="105">
        <v>50.4</v>
      </c>
      <c r="AC12" s="105">
        <v>50.4</v>
      </c>
      <c r="AD12" s="105">
        <v>50.4</v>
      </c>
      <c r="AE12" s="105">
        <v>50.4</v>
      </c>
      <c r="AF12" s="105">
        <v>50.4</v>
      </c>
      <c r="AG12" s="126">
        <v>50</v>
      </c>
      <c r="AH12" s="20">
        <f t="shared" ref="AH12:AH75" si="2">MAX(B12:AF12)</f>
        <v>50.6</v>
      </c>
      <c r="AI12" s="19">
        <f t="shared" ref="AI12:AI75" si="3">MIN(B12:AF12)</f>
        <v>50.4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37.299999999999997</v>
      </c>
      <c r="C13" s="105">
        <v>46.2</v>
      </c>
      <c r="D13" s="105">
        <v>37.700000000000003</v>
      </c>
      <c r="E13" s="105">
        <v>37.700000000000003</v>
      </c>
      <c r="F13" s="105">
        <v>37.700000000000003</v>
      </c>
      <c r="G13" s="105">
        <v>37.700000000000003</v>
      </c>
      <c r="H13" s="105">
        <v>37.700000000000003</v>
      </c>
      <c r="I13" s="105">
        <v>37.700000000000003</v>
      </c>
      <c r="J13" s="105">
        <v>37.700000000000003</v>
      </c>
      <c r="K13" s="105">
        <v>37.700000000000003</v>
      </c>
      <c r="L13" s="105">
        <v>45.9</v>
      </c>
      <c r="M13" s="105">
        <v>45.9</v>
      </c>
      <c r="N13" s="105">
        <v>45.9</v>
      </c>
      <c r="O13" s="105">
        <v>45.9</v>
      </c>
      <c r="P13" s="105">
        <v>45.9</v>
      </c>
      <c r="Q13" s="105">
        <v>45.9</v>
      </c>
      <c r="R13" s="105">
        <v>45.9</v>
      </c>
      <c r="S13" s="105">
        <v>45.9</v>
      </c>
      <c r="T13" s="105">
        <v>45.9</v>
      </c>
      <c r="U13" s="105">
        <v>45.9</v>
      </c>
      <c r="V13" s="105">
        <v>45.9</v>
      </c>
      <c r="W13" s="105">
        <v>45.9</v>
      </c>
      <c r="X13" s="105">
        <v>45.9</v>
      </c>
      <c r="Y13" s="105">
        <v>45.9</v>
      </c>
      <c r="Z13" s="105">
        <v>45.9</v>
      </c>
      <c r="AA13" s="105">
        <v>45.9</v>
      </c>
      <c r="AB13" s="105">
        <v>45.9</v>
      </c>
      <c r="AC13" s="105">
        <v>45.9</v>
      </c>
      <c r="AD13" s="105">
        <v>38</v>
      </c>
      <c r="AE13" s="105">
        <v>38</v>
      </c>
      <c r="AF13" s="105">
        <v>38</v>
      </c>
      <c r="AG13" s="126">
        <v>45</v>
      </c>
      <c r="AH13" s="20">
        <f t="shared" si="2"/>
        <v>46.2</v>
      </c>
      <c r="AI13" s="19">
        <f t="shared" si="3"/>
        <v>37.299999999999997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20</v>
      </c>
      <c r="C14" s="105">
        <v>20</v>
      </c>
      <c r="D14" s="105">
        <v>20</v>
      </c>
      <c r="E14" s="105">
        <v>20</v>
      </c>
      <c r="F14" s="105">
        <v>20</v>
      </c>
      <c r="G14" s="105">
        <v>20</v>
      </c>
      <c r="H14" s="105">
        <v>20</v>
      </c>
      <c r="I14" s="105">
        <v>20</v>
      </c>
      <c r="J14" s="105">
        <v>20</v>
      </c>
      <c r="K14" s="105">
        <v>20</v>
      </c>
      <c r="L14" s="105">
        <v>20</v>
      </c>
      <c r="M14" s="105">
        <v>20</v>
      </c>
      <c r="N14" s="105">
        <v>20</v>
      </c>
      <c r="O14" s="105">
        <v>20</v>
      </c>
      <c r="P14" s="105">
        <v>28</v>
      </c>
      <c r="Q14" s="105">
        <v>28</v>
      </c>
      <c r="R14" s="105">
        <v>20</v>
      </c>
      <c r="S14" s="105">
        <v>20</v>
      </c>
      <c r="T14" s="105">
        <v>20</v>
      </c>
      <c r="U14" s="105">
        <v>20</v>
      </c>
      <c r="V14" s="105">
        <v>20</v>
      </c>
      <c r="W14" s="105">
        <v>20</v>
      </c>
      <c r="X14" s="105">
        <v>20</v>
      </c>
      <c r="Y14" s="105">
        <v>0</v>
      </c>
      <c r="Z14" s="105">
        <v>32</v>
      </c>
      <c r="AA14" s="105">
        <v>30</v>
      </c>
      <c r="AB14" s="105">
        <v>27</v>
      </c>
      <c r="AC14" s="105">
        <v>27</v>
      </c>
      <c r="AD14" s="105">
        <v>27</v>
      </c>
      <c r="AE14" s="105">
        <v>27</v>
      </c>
      <c r="AF14" s="105">
        <v>20</v>
      </c>
      <c r="AG14" s="126">
        <v>42</v>
      </c>
      <c r="AH14" s="20">
        <f t="shared" si="2"/>
        <v>32</v>
      </c>
      <c r="AI14" s="19">
        <f t="shared" si="3"/>
        <v>0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0</v>
      </c>
      <c r="N15" s="105">
        <v>0</v>
      </c>
      <c r="O15" s="105">
        <v>0</v>
      </c>
      <c r="P15" s="105">
        <v>0</v>
      </c>
      <c r="Q15" s="105">
        <v>0</v>
      </c>
      <c r="R15" s="105">
        <v>0</v>
      </c>
      <c r="S15" s="105">
        <v>0</v>
      </c>
      <c r="T15" s="105">
        <v>0</v>
      </c>
      <c r="U15" s="105">
        <v>0</v>
      </c>
      <c r="V15" s="105">
        <v>0</v>
      </c>
      <c r="W15" s="105">
        <v>0</v>
      </c>
      <c r="X15" s="105">
        <v>5</v>
      </c>
      <c r="Y15" s="105">
        <v>0</v>
      </c>
      <c r="Z15" s="105">
        <v>30</v>
      </c>
      <c r="AA15" s="105">
        <v>30</v>
      </c>
      <c r="AB15" s="105">
        <v>10</v>
      </c>
      <c r="AC15" s="105">
        <v>0</v>
      </c>
      <c r="AD15" s="105">
        <v>0</v>
      </c>
      <c r="AE15" s="105">
        <v>0</v>
      </c>
      <c r="AF15" s="105">
        <v>0</v>
      </c>
      <c r="AG15" s="96">
        <v>30</v>
      </c>
      <c r="AH15" s="20">
        <f t="shared" si="2"/>
        <v>30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11</v>
      </c>
      <c r="C16" s="105">
        <v>20</v>
      </c>
      <c r="D16" s="105">
        <v>10.7</v>
      </c>
      <c r="E16" s="105">
        <v>10.7</v>
      </c>
      <c r="F16" s="105">
        <v>10.7</v>
      </c>
      <c r="G16" s="105">
        <v>10.7</v>
      </c>
      <c r="H16" s="105">
        <v>10.7</v>
      </c>
      <c r="I16" s="105">
        <v>10.7</v>
      </c>
      <c r="J16" s="105">
        <v>10.7</v>
      </c>
      <c r="K16" s="105">
        <v>10.7</v>
      </c>
      <c r="L16" s="105">
        <v>10.7</v>
      </c>
      <c r="M16" s="105">
        <v>10.7</v>
      </c>
      <c r="N16" s="105">
        <v>10.7</v>
      </c>
      <c r="O16" s="105">
        <v>20.6</v>
      </c>
      <c r="P16" s="105">
        <v>25.6</v>
      </c>
      <c r="Q16" s="105">
        <v>25.6</v>
      </c>
      <c r="R16" s="105">
        <v>25.6</v>
      </c>
      <c r="S16" s="105">
        <v>25.6</v>
      </c>
      <c r="T16" s="105">
        <v>28</v>
      </c>
      <c r="U16" s="105">
        <v>28</v>
      </c>
      <c r="V16" s="105">
        <v>28</v>
      </c>
      <c r="W16" s="105">
        <v>25.3</v>
      </c>
      <c r="X16" s="105">
        <v>33.200000000000003</v>
      </c>
      <c r="Y16" s="105">
        <v>33.200000000000003</v>
      </c>
      <c r="Z16" s="105">
        <v>33.200000000000003</v>
      </c>
      <c r="AA16" s="105">
        <v>33.200000000000003</v>
      </c>
      <c r="AB16" s="105">
        <v>25.3</v>
      </c>
      <c r="AC16" s="105">
        <v>25.3</v>
      </c>
      <c r="AD16" s="105">
        <v>25.6</v>
      </c>
      <c r="AE16" s="105">
        <v>10.5</v>
      </c>
      <c r="AF16" s="105">
        <v>10.5</v>
      </c>
      <c r="AG16" s="126">
        <v>24.2</v>
      </c>
      <c r="AH16" s="20">
        <f t="shared" si="2"/>
        <v>33.200000000000003</v>
      </c>
      <c r="AI16" s="19">
        <f t="shared" si="3"/>
        <v>10.5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0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5">
        <v>0</v>
      </c>
      <c r="O17" s="105">
        <v>1</v>
      </c>
      <c r="P17" s="105">
        <v>1</v>
      </c>
      <c r="Q17" s="105">
        <v>0</v>
      </c>
      <c r="R17" s="105">
        <v>0</v>
      </c>
      <c r="S17" s="105">
        <v>0</v>
      </c>
      <c r="T17" s="105">
        <v>0</v>
      </c>
      <c r="U17" s="105">
        <v>0</v>
      </c>
      <c r="V17" s="105">
        <v>0</v>
      </c>
      <c r="W17" s="105">
        <v>0</v>
      </c>
      <c r="X17" s="105">
        <v>3</v>
      </c>
      <c r="Y17" s="105">
        <v>3</v>
      </c>
      <c r="Z17" s="105">
        <v>27</v>
      </c>
      <c r="AA17" s="105">
        <v>27</v>
      </c>
      <c r="AB17" s="105">
        <v>20</v>
      </c>
      <c r="AC17" s="105">
        <v>0</v>
      </c>
      <c r="AD17" s="105">
        <v>0</v>
      </c>
      <c r="AE17" s="105">
        <v>0</v>
      </c>
      <c r="AF17" s="105">
        <v>0</v>
      </c>
      <c r="AG17" s="96">
        <v>30</v>
      </c>
      <c r="AH17" s="20">
        <f t="shared" si="2"/>
        <v>27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0</v>
      </c>
      <c r="C18" s="105">
        <v>0</v>
      </c>
      <c r="D18" s="105">
        <v>20</v>
      </c>
      <c r="E18" s="105">
        <v>20</v>
      </c>
      <c r="F18" s="105">
        <v>20</v>
      </c>
      <c r="G18" s="105">
        <v>20</v>
      </c>
      <c r="H18" s="105">
        <v>20</v>
      </c>
      <c r="I18" s="105">
        <v>20</v>
      </c>
      <c r="J18" s="105">
        <v>20</v>
      </c>
      <c r="K18" s="105">
        <v>20</v>
      </c>
      <c r="L18" s="105">
        <v>20</v>
      </c>
      <c r="M18" s="105">
        <v>20.5</v>
      </c>
      <c r="N18" s="105">
        <v>20.5</v>
      </c>
      <c r="O18" s="105">
        <v>20.5</v>
      </c>
      <c r="P18" s="105">
        <v>20.5</v>
      </c>
      <c r="Q18" s="105">
        <v>15.5</v>
      </c>
      <c r="R18" s="105">
        <v>15.5</v>
      </c>
      <c r="S18" s="105">
        <v>26.5</v>
      </c>
      <c r="T18" s="105">
        <v>26.5</v>
      </c>
      <c r="U18" s="105">
        <v>25.3</v>
      </c>
      <c r="V18" s="105">
        <v>25.3</v>
      </c>
      <c r="W18" s="105">
        <v>20</v>
      </c>
      <c r="X18" s="105">
        <v>20</v>
      </c>
      <c r="Y18" s="105">
        <v>0</v>
      </c>
      <c r="Z18" s="105">
        <v>26.2</v>
      </c>
      <c r="AA18" s="105">
        <v>26.2</v>
      </c>
      <c r="AB18" s="105">
        <v>26.2</v>
      </c>
      <c r="AC18" s="105">
        <v>25</v>
      </c>
      <c r="AD18" s="105">
        <v>25</v>
      </c>
      <c r="AE18" s="105">
        <v>25</v>
      </c>
      <c r="AF18" s="105">
        <v>25</v>
      </c>
      <c r="AG18" s="126">
        <v>25</v>
      </c>
      <c r="AH18" s="20">
        <f t="shared" si="2"/>
        <v>26.5</v>
      </c>
      <c r="AI18" s="19">
        <f t="shared" si="3"/>
        <v>0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15</v>
      </c>
      <c r="C19" s="105">
        <v>15</v>
      </c>
      <c r="D19" s="105">
        <v>15</v>
      </c>
      <c r="E19" s="105">
        <v>15</v>
      </c>
      <c r="F19" s="105">
        <v>15</v>
      </c>
      <c r="G19" s="105">
        <v>15</v>
      </c>
      <c r="H19" s="105">
        <v>15</v>
      </c>
      <c r="I19" s="105">
        <v>15</v>
      </c>
      <c r="J19" s="105">
        <v>15</v>
      </c>
      <c r="K19" s="105">
        <v>15</v>
      </c>
      <c r="L19" s="105">
        <v>15</v>
      </c>
      <c r="M19" s="105">
        <v>20</v>
      </c>
      <c r="N19" s="105">
        <v>20</v>
      </c>
      <c r="O19" s="105">
        <v>20</v>
      </c>
      <c r="P19" s="105">
        <v>20</v>
      </c>
      <c r="Q19" s="105">
        <v>20</v>
      </c>
      <c r="R19" s="105">
        <v>20</v>
      </c>
      <c r="S19" s="105">
        <v>20</v>
      </c>
      <c r="T19" s="105">
        <v>20</v>
      </c>
      <c r="U19" s="105">
        <v>25</v>
      </c>
      <c r="V19" s="105">
        <v>25</v>
      </c>
      <c r="W19" s="105">
        <v>25</v>
      </c>
      <c r="X19" s="105">
        <v>25</v>
      </c>
      <c r="Y19" s="105">
        <v>25</v>
      </c>
      <c r="Z19" s="105">
        <v>25</v>
      </c>
      <c r="AA19" s="105">
        <v>25</v>
      </c>
      <c r="AB19" s="105">
        <v>25</v>
      </c>
      <c r="AC19" s="105">
        <v>25</v>
      </c>
      <c r="AD19" s="105">
        <v>20</v>
      </c>
      <c r="AE19" s="105">
        <v>20</v>
      </c>
      <c r="AF19" s="105">
        <v>20</v>
      </c>
      <c r="AG19" s="126">
        <v>25</v>
      </c>
      <c r="AH19" s="20">
        <f t="shared" si="2"/>
        <v>25</v>
      </c>
      <c r="AI19" s="19">
        <f t="shared" si="3"/>
        <v>15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15</v>
      </c>
      <c r="C20" s="105">
        <v>15</v>
      </c>
      <c r="D20" s="105">
        <v>15</v>
      </c>
      <c r="E20" s="105">
        <v>15</v>
      </c>
      <c r="F20" s="105">
        <v>15</v>
      </c>
      <c r="G20" s="105">
        <v>15</v>
      </c>
      <c r="H20" s="105">
        <v>15</v>
      </c>
      <c r="I20" s="105">
        <v>15</v>
      </c>
      <c r="J20" s="105">
        <v>15</v>
      </c>
      <c r="K20" s="105">
        <v>15</v>
      </c>
      <c r="L20" s="105">
        <v>15</v>
      </c>
      <c r="M20" s="105">
        <v>15</v>
      </c>
      <c r="N20" s="105">
        <v>15</v>
      </c>
      <c r="O20" s="105">
        <v>20</v>
      </c>
      <c r="P20" s="105">
        <v>20</v>
      </c>
      <c r="Q20" s="105">
        <v>20</v>
      </c>
      <c r="R20" s="105">
        <v>20</v>
      </c>
      <c r="S20" s="105">
        <v>20</v>
      </c>
      <c r="T20" s="105">
        <v>20</v>
      </c>
      <c r="U20" s="105">
        <v>25</v>
      </c>
      <c r="V20" s="105">
        <v>25</v>
      </c>
      <c r="W20" s="105">
        <v>25</v>
      </c>
      <c r="X20" s="105">
        <v>25</v>
      </c>
      <c r="Y20" s="105">
        <v>25</v>
      </c>
      <c r="Z20" s="105">
        <v>25</v>
      </c>
      <c r="AA20" s="105">
        <v>25</v>
      </c>
      <c r="AB20" s="105">
        <v>25</v>
      </c>
      <c r="AC20" s="105">
        <v>25</v>
      </c>
      <c r="AD20" s="105">
        <v>25</v>
      </c>
      <c r="AE20" s="105">
        <v>25</v>
      </c>
      <c r="AF20" s="105">
        <v>25</v>
      </c>
      <c r="AG20" s="126">
        <v>25</v>
      </c>
      <c r="AH20" s="20">
        <f t="shared" si="2"/>
        <v>25</v>
      </c>
      <c r="AI20" s="19">
        <f t="shared" si="3"/>
        <v>15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18.5</v>
      </c>
      <c r="C21" s="105">
        <v>18.5</v>
      </c>
      <c r="D21" s="105">
        <v>18.5</v>
      </c>
      <c r="E21" s="105">
        <v>18.5</v>
      </c>
      <c r="F21" s="105">
        <v>18.5</v>
      </c>
      <c r="G21" s="105">
        <v>18.5</v>
      </c>
      <c r="H21" s="105">
        <v>18.5</v>
      </c>
      <c r="I21" s="105">
        <v>18.5</v>
      </c>
      <c r="J21" s="105">
        <v>18.5</v>
      </c>
      <c r="K21" s="105">
        <v>18.5</v>
      </c>
      <c r="L21" s="105">
        <v>18.5</v>
      </c>
      <c r="M21" s="105">
        <v>11.5</v>
      </c>
      <c r="N21" s="105">
        <v>11.5</v>
      </c>
      <c r="O21" s="105">
        <v>11.5</v>
      </c>
      <c r="P21" s="105">
        <v>24.2</v>
      </c>
      <c r="Q21" s="105">
        <v>23.9</v>
      </c>
      <c r="R21" s="105">
        <v>23.9</v>
      </c>
      <c r="S21" s="105">
        <v>23.9</v>
      </c>
      <c r="T21" s="105">
        <v>23.9</v>
      </c>
      <c r="U21" s="105">
        <v>23.9</v>
      </c>
      <c r="V21" s="105">
        <v>23.9</v>
      </c>
      <c r="W21" s="105">
        <v>23.9</v>
      </c>
      <c r="X21" s="105">
        <v>23.9</v>
      </c>
      <c r="Y21" s="105">
        <v>23.9</v>
      </c>
      <c r="Z21" s="105">
        <v>23.9</v>
      </c>
      <c r="AA21" s="105">
        <v>23.9</v>
      </c>
      <c r="AB21" s="105">
        <v>23.9</v>
      </c>
      <c r="AC21" s="105">
        <v>23.9</v>
      </c>
      <c r="AD21" s="105">
        <v>19.100000000000001</v>
      </c>
      <c r="AE21" s="105">
        <v>19.100000000000001</v>
      </c>
      <c r="AF21" s="105">
        <v>19</v>
      </c>
      <c r="AG21" s="126">
        <v>23.5</v>
      </c>
      <c r="AH21" s="20">
        <f t="shared" si="2"/>
        <v>24.2</v>
      </c>
      <c r="AI21" s="19">
        <f t="shared" si="3"/>
        <v>11.5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12</v>
      </c>
      <c r="C22" s="105">
        <v>12</v>
      </c>
      <c r="D22" s="105">
        <v>12</v>
      </c>
      <c r="E22" s="105">
        <v>12</v>
      </c>
      <c r="F22" s="105">
        <v>12</v>
      </c>
      <c r="G22" s="105">
        <v>12</v>
      </c>
      <c r="H22" s="105">
        <v>12</v>
      </c>
      <c r="I22" s="105">
        <v>12</v>
      </c>
      <c r="J22" s="105">
        <v>12</v>
      </c>
      <c r="K22" s="105">
        <v>12</v>
      </c>
      <c r="L22" s="105">
        <v>12</v>
      </c>
      <c r="M22" s="105">
        <v>12</v>
      </c>
      <c r="N22" s="105">
        <v>12</v>
      </c>
      <c r="O22" s="105">
        <v>12</v>
      </c>
      <c r="P22" s="105">
        <v>12</v>
      </c>
      <c r="Q22" s="105">
        <v>12</v>
      </c>
      <c r="R22" s="105">
        <v>12</v>
      </c>
      <c r="S22" s="105">
        <v>20</v>
      </c>
      <c r="T22" s="105">
        <v>20</v>
      </c>
      <c r="U22" s="105">
        <v>20</v>
      </c>
      <c r="V22" s="105">
        <v>20</v>
      </c>
      <c r="W22" s="105">
        <v>20</v>
      </c>
      <c r="X22" s="105">
        <v>20</v>
      </c>
      <c r="Y22" s="105">
        <v>20</v>
      </c>
      <c r="Z22" s="105">
        <v>20</v>
      </c>
      <c r="AA22" s="105">
        <v>20</v>
      </c>
      <c r="AB22" s="105">
        <v>20</v>
      </c>
      <c r="AC22" s="105">
        <v>20</v>
      </c>
      <c r="AD22" s="105">
        <v>20</v>
      </c>
      <c r="AE22" s="105">
        <v>20</v>
      </c>
      <c r="AF22" s="105">
        <v>20</v>
      </c>
      <c r="AG22" s="126">
        <v>22.2</v>
      </c>
      <c r="AH22" s="20">
        <f t="shared" si="2"/>
        <v>20</v>
      </c>
      <c r="AI22" s="19">
        <f t="shared" si="3"/>
        <v>12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0</v>
      </c>
      <c r="C23" s="105">
        <v>0</v>
      </c>
      <c r="D23" s="105">
        <v>22</v>
      </c>
      <c r="E23" s="105">
        <v>18</v>
      </c>
      <c r="F23" s="105">
        <v>18</v>
      </c>
      <c r="G23" s="105">
        <v>18</v>
      </c>
      <c r="H23" s="105">
        <v>18</v>
      </c>
      <c r="I23" s="105">
        <v>18</v>
      </c>
      <c r="J23" s="105">
        <v>18</v>
      </c>
      <c r="K23" s="105">
        <v>18</v>
      </c>
      <c r="L23" s="105">
        <v>18</v>
      </c>
      <c r="M23" s="105">
        <v>18</v>
      </c>
      <c r="N23" s="105">
        <v>18</v>
      </c>
      <c r="O23" s="105">
        <v>18</v>
      </c>
      <c r="P23" s="105">
        <v>18</v>
      </c>
      <c r="Q23" s="105">
        <v>18</v>
      </c>
      <c r="R23" s="105">
        <v>18</v>
      </c>
      <c r="S23" s="105">
        <v>18</v>
      </c>
      <c r="T23" s="105">
        <v>18</v>
      </c>
      <c r="U23" s="105">
        <v>22</v>
      </c>
      <c r="V23" s="105">
        <v>22</v>
      </c>
      <c r="W23" s="105">
        <v>22</v>
      </c>
      <c r="X23" s="105">
        <v>22</v>
      </c>
      <c r="Y23" s="105">
        <v>22</v>
      </c>
      <c r="Z23" s="105">
        <v>22</v>
      </c>
      <c r="AA23" s="105">
        <v>22</v>
      </c>
      <c r="AB23" s="105">
        <v>22</v>
      </c>
      <c r="AC23" s="105">
        <v>22</v>
      </c>
      <c r="AD23" s="105">
        <v>15</v>
      </c>
      <c r="AE23" s="105">
        <v>15</v>
      </c>
      <c r="AF23" s="105">
        <v>15</v>
      </c>
      <c r="AG23" s="126">
        <v>22.1</v>
      </c>
      <c r="AH23" s="20">
        <f t="shared" si="2"/>
        <v>22</v>
      </c>
      <c r="AI23" s="19">
        <f t="shared" si="3"/>
        <v>0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15</v>
      </c>
      <c r="C24" s="105">
        <v>15</v>
      </c>
      <c r="D24" s="105">
        <v>15</v>
      </c>
      <c r="E24" s="105">
        <v>15</v>
      </c>
      <c r="F24" s="105">
        <v>15</v>
      </c>
      <c r="G24" s="105">
        <v>15</v>
      </c>
      <c r="H24" s="105">
        <v>15</v>
      </c>
      <c r="I24" s="105">
        <v>15</v>
      </c>
      <c r="J24" s="105">
        <v>15</v>
      </c>
      <c r="K24" s="105">
        <v>15</v>
      </c>
      <c r="L24" s="105">
        <v>15</v>
      </c>
      <c r="M24" s="105">
        <v>15</v>
      </c>
      <c r="N24" s="105">
        <v>20</v>
      </c>
      <c r="O24" s="105">
        <v>20</v>
      </c>
      <c r="P24" s="105">
        <v>21</v>
      </c>
      <c r="Q24" s="105">
        <v>21</v>
      </c>
      <c r="R24" s="105">
        <v>21</v>
      </c>
      <c r="S24" s="105">
        <v>21</v>
      </c>
      <c r="T24" s="105">
        <v>21</v>
      </c>
      <c r="U24" s="105">
        <v>21</v>
      </c>
      <c r="V24" s="105">
        <v>21</v>
      </c>
      <c r="W24" s="105">
        <v>21</v>
      </c>
      <c r="X24" s="105">
        <v>21</v>
      </c>
      <c r="Y24" s="105">
        <v>21</v>
      </c>
      <c r="Z24" s="105">
        <v>22</v>
      </c>
      <c r="AA24" s="105">
        <v>22</v>
      </c>
      <c r="AB24" s="105">
        <v>22</v>
      </c>
      <c r="AC24" s="105">
        <v>22</v>
      </c>
      <c r="AD24" s="105">
        <v>18</v>
      </c>
      <c r="AE24" s="105">
        <v>18</v>
      </c>
      <c r="AF24" s="105">
        <v>18</v>
      </c>
      <c r="AG24" s="126">
        <v>22</v>
      </c>
      <c r="AH24" s="20">
        <f t="shared" si="2"/>
        <v>22</v>
      </c>
      <c r="AI24" s="19">
        <f t="shared" si="3"/>
        <v>15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22</v>
      </c>
      <c r="C25" s="105">
        <v>22</v>
      </c>
      <c r="D25" s="105">
        <v>22</v>
      </c>
      <c r="E25" s="105">
        <v>18</v>
      </c>
      <c r="F25" s="105">
        <v>18</v>
      </c>
      <c r="G25" s="105">
        <v>18</v>
      </c>
      <c r="H25" s="105">
        <v>18</v>
      </c>
      <c r="I25" s="105">
        <v>18</v>
      </c>
      <c r="J25" s="105">
        <v>18</v>
      </c>
      <c r="K25" s="105">
        <v>18</v>
      </c>
      <c r="L25" s="105">
        <v>18</v>
      </c>
      <c r="M25" s="105">
        <v>22</v>
      </c>
      <c r="N25" s="105">
        <v>22</v>
      </c>
      <c r="O25" s="105">
        <v>22</v>
      </c>
      <c r="P25" s="105">
        <v>22</v>
      </c>
      <c r="Q25" s="105">
        <v>22</v>
      </c>
      <c r="R25" s="105">
        <v>22</v>
      </c>
      <c r="S25" s="105">
        <v>22</v>
      </c>
      <c r="T25" s="105">
        <v>22</v>
      </c>
      <c r="U25" s="105">
        <v>22</v>
      </c>
      <c r="V25" s="105">
        <v>22</v>
      </c>
      <c r="W25" s="105">
        <v>22</v>
      </c>
      <c r="X25" s="105">
        <v>22</v>
      </c>
      <c r="Y25" s="105">
        <v>22</v>
      </c>
      <c r="Z25" s="105">
        <v>22</v>
      </c>
      <c r="AA25" s="105">
        <v>22</v>
      </c>
      <c r="AB25" s="105">
        <v>22</v>
      </c>
      <c r="AC25" s="105">
        <v>22</v>
      </c>
      <c r="AD25" s="105">
        <v>22</v>
      </c>
      <c r="AE25" s="105">
        <v>22</v>
      </c>
      <c r="AF25" s="105">
        <v>22</v>
      </c>
      <c r="AG25" s="126">
        <v>22</v>
      </c>
      <c r="AH25" s="20">
        <f t="shared" si="2"/>
        <v>22</v>
      </c>
      <c r="AI25" s="19">
        <f t="shared" si="3"/>
        <v>18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5">
        <v>0</v>
      </c>
      <c r="M26" s="105">
        <v>0</v>
      </c>
      <c r="N26" s="105">
        <v>0</v>
      </c>
      <c r="O26" s="105">
        <v>0</v>
      </c>
      <c r="P26" s="105">
        <v>0</v>
      </c>
      <c r="Q26" s="105">
        <v>0</v>
      </c>
      <c r="R26" s="105">
        <v>0</v>
      </c>
      <c r="S26" s="105">
        <v>0</v>
      </c>
      <c r="T26" s="105">
        <v>0</v>
      </c>
      <c r="U26" s="105">
        <v>0</v>
      </c>
      <c r="V26" s="105">
        <v>0</v>
      </c>
      <c r="W26" s="105">
        <v>0</v>
      </c>
      <c r="X26" s="105">
        <v>5</v>
      </c>
      <c r="Y26" s="105">
        <v>5</v>
      </c>
      <c r="Z26" s="105">
        <v>10</v>
      </c>
      <c r="AA26" s="105">
        <v>10</v>
      </c>
      <c r="AB26" s="105">
        <v>10</v>
      </c>
      <c r="AC26" s="105">
        <v>0</v>
      </c>
      <c r="AD26" s="105">
        <v>0</v>
      </c>
      <c r="AE26" s="105">
        <v>0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</v>
      </c>
      <c r="C27" s="105">
        <v>0</v>
      </c>
      <c r="D27" s="105">
        <v>0</v>
      </c>
      <c r="E27" s="105">
        <v>8</v>
      </c>
      <c r="F27" s="105">
        <v>8</v>
      </c>
      <c r="G27" s="105">
        <v>8</v>
      </c>
      <c r="H27" s="105">
        <v>8</v>
      </c>
      <c r="I27" s="105">
        <v>8</v>
      </c>
      <c r="J27" s="105">
        <v>8</v>
      </c>
      <c r="K27" s="105">
        <v>8</v>
      </c>
      <c r="L27" s="105">
        <v>8</v>
      </c>
      <c r="M27" s="105">
        <v>8</v>
      </c>
      <c r="N27" s="105">
        <v>8</v>
      </c>
      <c r="O27" s="105">
        <v>8</v>
      </c>
      <c r="P27" s="105">
        <v>8</v>
      </c>
      <c r="Q27" s="105">
        <v>8</v>
      </c>
      <c r="R27" s="105">
        <v>8</v>
      </c>
      <c r="S27" s="105">
        <v>8</v>
      </c>
      <c r="T27" s="105">
        <v>8</v>
      </c>
      <c r="U27" s="105">
        <v>8</v>
      </c>
      <c r="V27" s="105">
        <v>8</v>
      </c>
      <c r="W27" s="105">
        <v>8</v>
      </c>
      <c r="X27" s="105">
        <v>8</v>
      </c>
      <c r="Y27" s="105">
        <v>8</v>
      </c>
      <c r="Z27" s="105">
        <v>8</v>
      </c>
      <c r="AA27" s="105">
        <v>8</v>
      </c>
      <c r="AB27" s="105">
        <v>14.5</v>
      </c>
      <c r="AC27" s="105">
        <v>14.5</v>
      </c>
      <c r="AD27" s="105">
        <v>10</v>
      </c>
      <c r="AE27" s="105">
        <v>10</v>
      </c>
      <c r="AF27" s="105">
        <v>10</v>
      </c>
      <c r="AG27" s="126">
        <v>14.9</v>
      </c>
      <c r="AH27" s="20">
        <f t="shared" si="2"/>
        <v>14.5</v>
      </c>
      <c r="AI27" s="19">
        <f t="shared" si="3"/>
        <v>0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>
        <v>6.8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>
        <v>6.8</v>
      </c>
      <c r="AE28" s="105">
        <v>6.8</v>
      </c>
      <c r="AF28" s="105">
        <v>6.8</v>
      </c>
      <c r="AG28" s="126">
        <v>13.6</v>
      </c>
      <c r="AH28" s="20">
        <f t="shared" si="2"/>
        <v>6.8</v>
      </c>
      <c r="AI28" s="19">
        <f t="shared" si="3"/>
        <v>6.8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12</v>
      </c>
      <c r="C29" s="105">
        <v>6</v>
      </c>
      <c r="D29" s="105">
        <v>6</v>
      </c>
      <c r="E29" s="105">
        <v>6</v>
      </c>
      <c r="F29" s="105">
        <v>6</v>
      </c>
      <c r="G29" s="105">
        <v>6</v>
      </c>
      <c r="H29" s="105">
        <v>6</v>
      </c>
      <c r="I29" s="105">
        <v>6</v>
      </c>
      <c r="J29" s="105">
        <v>6</v>
      </c>
      <c r="K29" s="105">
        <v>6</v>
      </c>
      <c r="L29" s="105">
        <v>6</v>
      </c>
      <c r="M29" s="105">
        <v>11</v>
      </c>
      <c r="N29" s="105">
        <v>11</v>
      </c>
      <c r="O29" s="105">
        <v>11</v>
      </c>
      <c r="P29" s="105">
        <v>11</v>
      </c>
      <c r="Q29" s="105">
        <v>11</v>
      </c>
      <c r="R29" s="105">
        <v>11</v>
      </c>
      <c r="S29" s="105">
        <v>11</v>
      </c>
      <c r="T29" s="105">
        <v>11</v>
      </c>
      <c r="U29" s="105">
        <v>11</v>
      </c>
      <c r="V29" s="105">
        <v>11</v>
      </c>
      <c r="W29" s="105">
        <v>10</v>
      </c>
      <c r="X29" s="105">
        <v>10</v>
      </c>
      <c r="Y29" s="105">
        <v>10</v>
      </c>
      <c r="Z29" s="105">
        <v>10</v>
      </c>
      <c r="AA29" s="105">
        <v>10</v>
      </c>
      <c r="AB29" s="105">
        <v>10</v>
      </c>
      <c r="AC29" s="105">
        <v>10</v>
      </c>
      <c r="AD29" s="105">
        <v>10</v>
      </c>
      <c r="AE29" s="105">
        <v>10</v>
      </c>
      <c r="AF29" s="105">
        <v>10</v>
      </c>
      <c r="AG29" s="126">
        <v>13</v>
      </c>
      <c r="AH29" s="20">
        <f t="shared" si="2"/>
        <v>12</v>
      </c>
      <c r="AI29" s="19">
        <f t="shared" si="3"/>
        <v>6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0</v>
      </c>
      <c r="N30" s="105">
        <v>0</v>
      </c>
      <c r="O30" s="105">
        <v>0</v>
      </c>
      <c r="P30" s="105">
        <v>0</v>
      </c>
      <c r="Q30" s="105">
        <v>0</v>
      </c>
      <c r="R30" s="105">
        <v>0</v>
      </c>
      <c r="S30" s="105">
        <v>0</v>
      </c>
      <c r="T30" s="105">
        <v>0</v>
      </c>
      <c r="U30" s="105">
        <v>0</v>
      </c>
      <c r="V30" s="105">
        <v>0</v>
      </c>
      <c r="W30" s="105">
        <v>0</v>
      </c>
      <c r="X30" s="105">
        <v>5</v>
      </c>
      <c r="Y30" s="105">
        <v>5</v>
      </c>
      <c r="Z30" s="105">
        <v>12</v>
      </c>
      <c r="AA30" s="105">
        <v>12</v>
      </c>
      <c r="AB30" s="105">
        <v>12</v>
      </c>
      <c r="AC30" s="105">
        <v>12</v>
      </c>
      <c r="AD30" s="105">
        <v>0</v>
      </c>
      <c r="AE30" s="105">
        <v>0</v>
      </c>
      <c r="AF30" s="105">
        <v>0</v>
      </c>
      <c r="AG30" s="126">
        <v>12</v>
      </c>
      <c r="AH30" s="20">
        <f t="shared" si="2"/>
        <v>12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8</v>
      </c>
      <c r="C31" s="105">
        <v>8</v>
      </c>
      <c r="D31" s="105">
        <v>12.3</v>
      </c>
      <c r="E31" s="105">
        <v>12.3</v>
      </c>
      <c r="F31" s="105">
        <v>12.3</v>
      </c>
      <c r="G31" s="105">
        <v>12.3</v>
      </c>
      <c r="H31" s="105">
        <v>12.3</v>
      </c>
      <c r="I31" s="105">
        <v>12.3</v>
      </c>
      <c r="J31" s="105">
        <v>12.3</v>
      </c>
      <c r="K31" s="105">
        <v>12.3</v>
      </c>
      <c r="L31" s="105">
        <v>12.3</v>
      </c>
      <c r="M31" s="105">
        <v>12.3</v>
      </c>
      <c r="N31" s="105">
        <v>12.3</v>
      </c>
      <c r="O31" s="105">
        <v>12.3</v>
      </c>
      <c r="P31" s="105">
        <v>12.3</v>
      </c>
      <c r="Q31" s="105">
        <v>12.3</v>
      </c>
      <c r="R31" s="105">
        <v>12.3</v>
      </c>
      <c r="S31" s="105">
        <v>12.3</v>
      </c>
      <c r="T31" s="105">
        <v>12.3</v>
      </c>
      <c r="U31" s="105">
        <v>12.3</v>
      </c>
      <c r="V31" s="105">
        <v>12.3</v>
      </c>
      <c r="W31" s="105">
        <v>12.3</v>
      </c>
      <c r="X31" s="105">
        <v>12.3</v>
      </c>
      <c r="Y31" s="105">
        <v>12.3</v>
      </c>
      <c r="Z31" s="105">
        <v>12.3</v>
      </c>
      <c r="AA31" s="105">
        <v>12.3</v>
      </c>
      <c r="AB31" s="105">
        <v>12.3</v>
      </c>
      <c r="AC31" s="105">
        <v>12.3</v>
      </c>
      <c r="AD31" s="105">
        <v>12.3</v>
      </c>
      <c r="AE31" s="105">
        <v>12.3</v>
      </c>
      <c r="AF31" s="105">
        <v>12.3</v>
      </c>
      <c r="AG31" s="126">
        <v>12</v>
      </c>
      <c r="AH31" s="20">
        <f t="shared" si="2"/>
        <v>12.3</v>
      </c>
      <c r="AI31" s="19">
        <f t="shared" si="3"/>
        <v>8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0</v>
      </c>
      <c r="C32" s="105">
        <v>0</v>
      </c>
      <c r="D32" s="105">
        <v>0</v>
      </c>
      <c r="E32" s="105">
        <v>0</v>
      </c>
      <c r="F32" s="105">
        <v>0</v>
      </c>
      <c r="G32" s="105">
        <v>0</v>
      </c>
      <c r="H32" s="105">
        <v>0</v>
      </c>
      <c r="I32" s="105">
        <v>0</v>
      </c>
      <c r="J32" s="105">
        <v>0</v>
      </c>
      <c r="K32" s="105">
        <v>0</v>
      </c>
      <c r="L32" s="105">
        <v>0</v>
      </c>
      <c r="M32" s="105">
        <v>0</v>
      </c>
      <c r="N32" s="105">
        <v>0</v>
      </c>
      <c r="O32" s="105">
        <v>0</v>
      </c>
      <c r="P32" s="105">
        <v>0</v>
      </c>
      <c r="Q32" s="105">
        <v>0</v>
      </c>
      <c r="R32" s="105">
        <v>0</v>
      </c>
      <c r="S32" s="105">
        <v>0</v>
      </c>
      <c r="T32" s="105">
        <v>0</v>
      </c>
      <c r="U32" s="105">
        <v>0</v>
      </c>
      <c r="V32" s="105">
        <v>0</v>
      </c>
      <c r="W32" s="105">
        <v>0</v>
      </c>
      <c r="X32" s="105">
        <v>0</v>
      </c>
      <c r="Y32" s="105">
        <v>0</v>
      </c>
      <c r="Z32" s="105">
        <v>0</v>
      </c>
      <c r="AA32" s="105">
        <v>0</v>
      </c>
      <c r="AB32" s="105">
        <v>0</v>
      </c>
      <c r="AC32" s="105">
        <v>0</v>
      </c>
      <c r="AD32" s="105">
        <v>0</v>
      </c>
      <c r="AE32" s="105">
        <v>0</v>
      </c>
      <c r="AF32" s="105">
        <v>0</v>
      </c>
      <c r="AG32" s="126">
        <v>12</v>
      </c>
      <c r="AH32" s="20">
        <f t="shared" si="2"/>
        <v>0</v>
      </c>
      <c r="AI32" s="19">
        <f t="shared" si="3"/>
        <v>0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0</v>
      </c>
      <c r="C33" s="105">
        <v>0</v>
      </c>
      <c r="D33" s="105">
        <v>0</v>
      </c>
      <c r="E33" s="105">
        <v>0</v>
      </c>
      <c r="F33" s="105">
        <v>0</v>
      </c>
      <c r="G33" s="105">
        <v>0</v>
      </c>
      <c r="H33" s="105">
        <v>0</v>
      </c>
      <c r="I33" s="105">
        <v>0</v>
      </c>
      <c r="J33" s="105">
        <v>0</v>
      </c>
      <c r="K33" s="105">
        <v>0</v>
      </c>
      <c r="L33" s="105">
        <v>0</v>
      </c>
      <c r="M33" s="105">
        <v>0</v>
      </c>
      <c r="N33" s="105">
        <v>0</v>
      </c>
      <c r="O33" s="105">
        <v>0</v>
      </c>
      <c r="P33" s="105">
        <v>0</v>
      </c>
      <c r="Q33" s="105">
        <v>0</v>
      </c>
      <c r="R33" s="105">
        <v>0</v>
      </c>
      <c r="S33" s="105">
        <v>0</v>
      </c>
      <c r="T33" s="105">
        <v>0</v>
      </c>
      <c r="U33" s="105">
        <v>0</v>
      </c>
      <c r="V33" s="105">
        <v>0</v>
      </c>
      <c r="W33" s="105">
        <v>0</v>
      </c>
      <c r="X33" s="105">
        <v>0</v>
      </c>
      <c r="Y33" s="105">
        <v>0</v>
      </c>
      <c r="Z33" s="105">
        <v>0</v>
      </c>
      <c r="AA33" s="105">
        <v>0</v>
      </c>
      <c r="AB33" s="105">
        <v>0</v>
      </c>
      <c r="AC33" s="105">
        <v>0</v>
      </c>
      <c r="AD33" s="105">
        <v>0</v>
      </c>
      <c r="AE33" s="105">
        <v>0</v>
      </c>
      <c r="AF33" s="105">
        <v>0</v>
      </c>
      <c r="AG33" s="125">
        <v>22</v>
      </c>
      <c r="AH33" s="20">
        <f t="shared" si="2"/>
        <v>0</v>
      </c>
      <c r="AI33" s="19">
        <f t="shared" si="3"/>
        <v>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5</v>
      </c>
      <c r="C34" s="105">
        <v>0</v>
      </c>
      <c r="D34" s="105">
        <v>5</v>
      </c>
      <c r="E34" s="105">
        <v>5</v>
      </c>
      <c r="F34" s="105">
        <v>5</v>
      </c>
      <c r="G34" s="105">
        <v>5</v>
      </c>
      <c r="H34" s="105">
        <v>5</v>
      </c>
      <c r="I34" s="105">
        <v>5</v>
      </c>
      <c r="J34" s="105">
        <v>5</v>
      </c>
      <c r="K34" s="105">
        <v>5</v>
      </c>
      <c r="L34" s="105">
        <v>5</v>
      </c>
      <c r="M34" s="105">
        <v>10</v>
      </c>
      <c r="N34" s="105">
        <v>10</v>
      </c>
      <c r="O34" s="105">
        <v>10</v>
      </c>
      <c r="P34" s="105">
        <v>10</v>
      </c>
      <c r="Q34" s="105">
        <v>10</v>
      </c>
      <c r="R34" s="105">
        <v>10</v>
      </c>
      <c r="S34" s="105">
        <v>11.8</v>
      </c>
      <c r="T34" s="105">
        <v>11.8</v>
      </c>
      <c r="U34" s="105">
        <v>11.8</v>
      </c>
      <c r="V34" s="105">
        <v>11.8</v>
      </c>
      <c r="W34" s="105">
        <v>10</v>
      </c>
      <c r="X34" s="105">
        <v>10</v>
      </c>
      <c r="Y34" s="105">
        <v>10</v>
      </c>
      <c r="Z34" s="105">
        <v>10</v>
      </c>
      <c r="AA34" s="105">
        <v>10</v>
      </c>
      <c r="AB34" s="105">
        <v>10</v>
      </c>
      <c r="AC34" s="105">
        <v>10</v>
      </c>
      <c r="AD34" s="105">
        <v>10</v>
      </c>
      <c r="AE34" s="105">
        <v>10</v>
      </c>
      <c r="AF34" s="105">
        <v>10</v>
      </c>
      <c r="AG34" s="96">
        <v>11.88</v>
      </c>
      <c r="AH34" s="20">
        <f t="shared" si="2"/>
        <v>11.8</v>
      </c>
      <c r="AI34" s="19">
        <f t="shared" si="3"/>
        <v>0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>
        <v>11</v>
      </c>
      <c r="AG35" s="94">
        <v>11</v>
      </c>
      <c r="AH35" s="20">
        <f t="shared" si="2"/>
        <v>11</v>
      </c>
      <c r="AI35" s="19">
        <f t="shared" si="3"/>
        <v>11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8</v>
      </c>
      <c r="N36" s="105">
        <v>8</v>
      </c>
      <c r="O36" s="105">
        <v>8</v>
      </c>
      <c r="P36" s="105">
        <v>8</v>
      </c>
      <c r="Q36" s="105">
        <v>8</v>
      </c>
      <c r="R36" s="105">
        <v>8</v>
      </c>
      <c r="S36" s="105">
        <v>8</v>
      </c>
      <c r="T36" s="105">
        <v>8</v>
      </c>
      <c r="U36" s="105">
        <v>8</v>
      </c>
      <c r="V36" s="105">
        <v>8</v>
      </c>
      <c r="W36" s="105">
        <v>8</v>
      </c>
      <c r="X36" s="105">
        <v>8</v>
      </c>
      <c r="Y36" s="105">
        <v>8</v>
      </c>
      <c r="Z36" s="105">
        <v>8</v>
      </c>
      <c r="AA36" s="105">
        <v>8</v>
      </c>
      <c r="AB36" s="105">
        <v>8</v>
      </c>
      <c r="AC36" s="105">
        <v>8</v>
      </c>
      <c r="AD36" s="105">
        <v>8</v>
      </c>
      <c r="AE36" s="105">
        <v>8</v>
      </c>
      <c r="AF36" s="105">
        <v>8</v>
      </c>
      <c r="AG36" s="94">
        <v>10</v>
      </c>
      <c r="AH36" s="20">
        <f t="shared" si="2"/>
        <v>8</v>
      </c>
      <c r="AI36" s="19">
        <f t="shared" si="3"/>
        <v>0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2</v>
      </c>
      <c r="N37" s="105">
        <v>2</v>
      </c>
      <c r="O37" s="105">
        <v>2</v>
      </c>
      <c r="P37" s="105">
        <v>2</v>
      </c>
      <c r="Q37" s="105">
        <v>2</v>
      </c>
      <c r="R37" s="105">
        <v>2</v>
      </c>
      <c r="S37" s="105">
        <v>2</v>
      </c>
      <c r="T37" s="105">
        <v>2</v>
      </c>
      <c r="U37" s="105">
        <v>2</v>
      </c>
      <c r="V37" s="105">
        <v>2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2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v>153</v>
      </c>
      <c r="C39" s="119">
        <v>145</v>
      </c>
      <c r="D39" s="119">
        <v>142</v>
      </c>
      <c r="E39" s="119">
        <v>156</v>
      </c>
      <c r="F39" s="119">
        <v>156</v>
      </c>
      <c r="G39" s="119">
        <v>156</v>
      </c>
      <c r="H39" s="119">
        <v>156</v>
      </c>
      <c r="I39" s="119">
        <v>160</v>
      </c>
      <c r="J39" s="119">
        <v>160</v>
      </c>
      <c r="K39" s="119">
        <v>160</v>
      </c>
      <c r="L39" s="119">
        <v>160</v>
      </c>
      <c r="M39" s="113">
        <f>70.2+90.9</f>
        <v>161.10000000000002</v>
      </c>
      <c r="N39" s="113">
        <f>71.1+96.3</f>
        <v>167.39999999999998</v>
      </c>
      <c r="O39" s="113">
        <f>60.9+96.8</f>
        <v>157.69999999999999</v>
      </c>
      <c r="P39" s="113">
        <f>72.6+94.9</f>
        <v>167.5</v>
      </c>
      <c r="Q39" s="113">
        <f>74.1+96.6</f>
        <v>170.7</v>
      </c>
      <c r="R39" s="113">
        <f>76.8+98.3</f>
        <v>175.1</v>
      </c>
      <c r="S39" s="119">
        <f>99.5+77.3</f>
        <v>176.8</v>
      </c>
      <c r="T39" s="119">
        <v>0</v>
      </c>
      <c r="U39" s="119">
        <f>90+80</f>
        <v>170</v>
      </c>
      <c r="V39" s="119">
        <f>96.8+76.1</f>
        <v>172.89999999999998</v>
      </c>
      <c r="W39" s="119">
        <f>95.5+74.7</f>
        <v>170.2</v>
      </c>
      <c r="X39" s="119">
        <f>94.3+74</f>
        <v>168.3</v>
      </c>
      <c r="Y39" s="119"/>
      <c r="Z39" s="119">
        <v>168.3</v>
      </c>
      <c r="AA39" s="119">
        <f>97.2+81.8</f>
        <v>179</v>
      </c>
      <c r="AB39" s="119">
        <f>82.2+98.1</f>
        <v>180.3</v>
      </c>
      <c r="AC39" s="119">
        <f>82.4+98.4</f>
        <v>180.8</v>
      </c>
      <c r="AD39" s="119">
        <f>69.3+91.6</f>
        <v>160.89999999999998</v>
      </c>
      <c r="AE39" s="119">
        <f>70.2+92</f>
        <v>162.19999999999999</v>
      </c>
      <c r="AF39" s="119">
        <f>68.9+91.5</f>
        <v>160.4</v>
      </c>
      <c r="AG39" s="94">
        <v>240</v>
      </c>
      <c r="AH39" s="20">
        <f t="shared" si="2"/>
        <v>180.8</v>
      </c>
      <c r="AI39" s="19">
        <f t="shared" si="3"/>
        <v>0</v>
      </c>
      <c r="AK39" s="41"/>
    </row>
    <row r="40" spans="1:88" ht="15.75" thickBot="1" x14ac:dyDescent="0.3">
      <c r="A40" s="118" t="s">
        <v>195</v>
      </c>
      <c r="B40" s="86">
        <f t="shared" ref="B40:AG40" si="4">SUM(B11:B38)</f>
        <v>600.70000000000005</v>
      </c>
      <c r="C40" s="86">
        <f t="shared" si="4"/>
        <v>593.70000000000005</v>
      </c>
      <c r="D40" s="86">
        <f t="shared" si="4"/>
        <v>626.90000000000009</v>
      </c>
      <c r="E40" s="86">
        <f t="shared" si="4"/>
        <v>626.90000000000009</v>
      </c>
      <c r="F40" s="86">
        <f t="shared" si="4"/>
        <v>626.90000000000009</v>
      </c>
      <c r="G40" s="86">
        <f t="shared" si="4"/>
        <v>626.90000000000009</v>
      </c>
      <c r="H40" s="86">
        <f t="shared" si="4"/>
        <v>626.90000000000009</v>
      </c>
      <c r="I40" s="86">
        <f t="shared" si="4"/>
        <v>626.90000000000009</v>
      </c>
      <c r="J40" s="86">
        <f t="shared" si="4"/>
        <v>626.90000000000009</v>
      </c>
      <c r="K40" s="86">
        <f t="shared" si="4"/>
        <v>626.90000000000009</v>
      </c>
      <c r="L40" s="86">
        <f t="shared" si="4"/>
        <v>635.1</v>
      </c>
      <c r="M40" s="86">
        <f t="shared" si="4"/>
        <v>657.7</v>
      </c>
      <c r="N40" s="86">
        <f t="shared" si="4"/>
        <v>662.7</v>
      </c>
      <c r="O40" s="86">
        <f t="shared" si="4"/>
        <v>686.1</v>
      </c>
      <c r="P40" s="86">
        <f t="shared" si="4"/>
        <v>731.09999999999991</v>
      </c>
      <c r="Q40" s="86">
        <f t="shared" si="4"/>
        <v>724.8</v>
      </c>
      <c r="R40" s="86">
        <f t="shared" si="4"/>
        <v>716.8</v>
      </c>
      <c r="S40" s="86">
        <f t="shared" si="4"/>
        <v>737.59999999999991</v>
      </c>
      <c r="T40" s="86">
        <f t="shared" si="4"/>
        <v>740</v>
      </c>
      <c r="U40" s="86">
        <f t="shared" si="4"/>
        <v>752.8</v>
      </c>
      <c r="V40" s="86">
        <f t="shared" si="4"/>
        <v>752.8</v>
      </c>
      <c r="W40" s="86">
        <f t="shared" si="4"/>
        <v>740</v>
      </c>
      <c r="X40" s="86">
        <f t="shared" si="4"/>
        <v>765.9</v>
      </c>
      <c r="Y40" s="86">
        <f t="shared" si="4"/>
        <v>720.9</v>
      </c>
      <c r="Z40" s="86">
        <f t="shared" si="4"/>
        <v>846.09999999999991</v>
      </c>
      <c r="AA40" s="86">
        <f t="shared" si="4"/>
        <v>844.09999999999991</v>
      </c>
      <c r="AB40" s="86">
        <f t="shared" si="4"/>
        <v>812.7</v>
      </c>
      <c r="AC40" s="86">
        <f t="shared" si="4"/>
        <v>771.5</v>
      </c>
      <c r="AD40" s="86">
        <f t="shared" si="4"/>
        <v>726.6</v>
      </c>
      <c r="AE40" s="86">
        <f t="shared" si="4"/>
        <v>686</v>
      </c>
      <c r="AF40" s="86">
        <f t="shared" si="4"/>
        <v>678.90000000000009</v>
      </c>
      <c r="AG40" s="101">
        <f t="shared" si="4"/>
        <v>707.78000000000009</v>
      </c>
      <c r="AH40" s="20">
        <f t="shared" si="2"/>
        <v>846.09999999999991</v>
      </c>
      <c r="AI40" s="19">
        <f t="shared" si="3"/>
        <v>593.70000000000005</v>
      </c>
      <c r="AK40" s="41"/>
    </row>
    <row r="41" spans="1:88" x14ac:dyDescent="0.25">
      <c r="A41" s="117" t="s">
        <v>194</v>
      </c>
      <c r="B41" s="105">
        <v>456</v>
      </c>
      <c r="C41" s="105">
        <v>456</v>
      </c>
      <c r="D41" s="105">
        <v>456</v>
      </c>
      <c r="E41" s="105">
        <v>456</v>
      </c>
      <c r="F41" s="105">
        <v>456</v>
      </c>
      <c r="G41" s="105">
        <v>456</v>
      </c>
      <c r="H41" s="105">
        <v>400</v>
      </c>
      <c r="I41" s="105">
        <v>456</v>
      </c>
      <c r="J41" s="105">
        <v>456</v>
      </c>
      <c r="K41" s="105">
        <v>456</v>
      </c>
      <c r="L41" s="105">
        <v>456</v>
      </c>
      <c r="M41" s="105">
        <v>456</v>
      </c>
      <c r="N41" s="105">
        <v>456</v>
      </c>
      <c r="O41" s="105">
        <v>456</v>
      </c>
      <c r="P41" s="105">
        <v>456</v>
      </c>
      <c r="Q41" s="105">
        <v>456</v>
      </c>
      <c r="R41" s="105">
        <v>430</v>
      </c>
      <c r="S41" s="105">
        <v>430</v>
      </c>
      <c r="T41" s="105">
        <v>456</v>
      </c>
      <c r="U41" s="105">
        <v>456</v>
      </c>
      <c r="V41" s="105">
        <v>456</v>
      </c>
      <c r="W41" s="105">
        <v>456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456</v>
      </c>
      <c r="AD41" s="105">
        <v>436</v>
      </c>
      <c r="AE41" s="105">
        <v>436</v>
      </c>
      <c r="AF41" s="105">
        <v>436</v>
      </c>
      <c r="AG41" s="96">
        <v>456</v>
      </c>
      <c r="AH41" s="20">
        <f t="shared" si="2"/>
        <v>456</v>
      </c>
      <c r="AI41" s="19">
        <f t="shared" si="3"/>
        <v>400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>
        <v>60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>
        <v>22</v>
      </c>
      <c r="S43" s="107">
        <v>22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>
        <v>22</v>
      </c>
      <c r="AG43" s="106">
        <v>22.1</v>
      </c>
      <c r="AH43" s="20">
        <f t="shared" si="2"/>
        <v>22</v>
      </c>
      <c r="AI43" s="19">
        <f t="shared" si="3"/>
        <v>22</v>
      </c>
      <c r="AK43" s="41"/>
    </row>
    <row r="44" spans="1:88" ht="15.75" thickBot="1" x14ac:dyDescent="0.3">
      <c r="A44" s="114" t="s">
        <v>191</v>
      </c>
      <c r="B44" s="86">
        <f t="shared" ref="B44:AG44" si="5">SUM(B41:B43)</f>
        <v>538</v>
      </c>
      <c r="C44" s="86">
        <f t="shared" si="5"/>
        <v>538</v>
      </c>
      <c r="D44" s="86">
        <f t="shared" si="5"/>
        <v>538</v>
      </c>
      <c r="E44" s="86">
        <f t="shared" si="5"/>
        <v>538</v>
      </c>
      <c r="F44" s="86">
        <f t="shared" si="5"/>
        <v>538</v>
      </c>
      <c r="G44" s="86">
        <f t="shared" si="5"/>
        <v>538</v>
      </c>
      <c r="H44" s="86">
        <f t="shared" si="5"/>
        <v>482</v>
      </c>
      <c r="I44" s="86">
        <f t="shared" si="5"/>
        <v>538</v>
      </c>
      <c r="J44" s="86">
        <f t="shared" si="5"/>
        <v>538</v>
      </c>
      <c r="K44" s="86">
        <f t="shared" si="5"/>
        <v>538</v>
      </c>
      <c r="L44" s="86">
        <f t="shared" si="5"/>
        <v>538</v>
      </c>
      <c r="M44" s="86">
        <f t="shared" si="5"/>
        <v>538</v>
      </c>
      <c r="N44" s="86">
        <f t="shared" si="5"/>
        <v>538</v>
      </c>
      <c r="O44" s="86">
        <f t="shared" si="5"/>
        <v>538</v>
      </c>
      <c r="P44" s="86">
        <f t="shared" si="5"/>
        <v>538</v>
      </c>
      <c r="Q44" s="86">
        <f t="shared" si="5"/>
        <v>538</v>
      </c>
      <c r="R44" s="86">
        <f t="shared" si="5"/>
        <v>512</v>
      </c>
      <c r="S44" s="86">
        <f t="shared" si="5"/>
        <v>512</v>
      </c>
      <c r="T44" s="86">
        <f t="shared" si="5"/>
        <v>538</v>
      </c>
      <c r="U44" s="86">
        <f t="shared" si="5"/>
        <v>538</v>
      </c>
      <c r="V44" s="86">
        <f t="shared" si="5"/>
        <v>538</v>
      </c>
      <c r="W44" s="86">
        <f t="shared" si="5"/>
        <v>538</v>
      </c>
      <c r="X44" s="86">
        <f t="shared" si="5"/>
        <v>538</v>
      </c>
      <c r="Y44" s="86">
        <f t="shared" si="5"/>
        <v>538</v>
      </c>
      <c r="Z44" s="86">
        <f t="shared" si="5"/>
        <v>538</v>
      </c>
      <c r="AA44" s="86">
        <f t="shared" si="5"/>
        <v>538</v>
      </c>
      <c r="AB44" s="86">
        <f t="shared" si="5"/>
        <v>538</v>
      </c>
      <c r="AC44" s="86">
        <f t="shared" si="5"/>
        <v>538</v>
      </c>
      <c r="AD44" s="86">
        <f t="shared" si="5"/>
        <v>518</v>
      </c>
      <c r="AE44" s="86">
        <f t="shared" si="5"/>
        <v>518</v>
      </c>
      <c r="AF44" s="86">
        <f t="shared" si="5"/>
        <v>518</v>
      </c>
      <c r="AG44" s="101">
        <f t="shared" si="5"/>
        <v>538.1</v>
      </c>
      <c r="AH44" s="20">
        <f t="shared" si="2"/>
        <v>538</v>
      </c>
      <c r="AI44" s="19">
        <f t="shared" si="3"/>
        <v>482</v>
      </c>
      <c r="AK44" s="41"/>
    </row>
    <row r="45" spans="1:88" x14ac:dyDescent="0.25">
      <c r="A45" s="97" t="s">
        <v>190</v>
      </c>
      <c r="B45" s="105">
        <v>0</v>
      </c>
      <c r="C45" s="105">
        <v>76.2</v>
      </c>
      <c r="D45" s="105">
        <v>60</v>
      </c>
      <c r="E45" s="105">
        <v>65.7</v>
      </c>
      <c r="F45" s="105">
        <v>61</v>
      </c>
      <c r="G45" s="105">
        <v>61</v>
      </c>
      <c r="H45" s="105">
        <v>60.9</v>
      </c>
      <c r="I45" s="105">
        <v>76</v>
      </c>
      <c r="J45" s="105">
        <v>75.900000000000006</v>
      </c>
      <c r="K45" s="105">
        <v>94.3</v>
      </c>
      <c r="L45" s="105">
        <v>94.3</v>
      </c>
      <c r="M45" s="105">
        <v>94.2</v>
      </c>
      <c r="N45" s="105">
        <v>94.2</v>
      </c>
      <c r="O45" s="105">
        <v>94.2</v>
      </c>
      <c r="P45" s="105">
        <v>94.2</v>
      </c>
      <c r="Q45" s="105">
        <v>94.4</v>
      </c>
      <c r="R45" s="105">
        <v>75.400000000000006</v>
      </c>
      <c r="S45" s="105">
        <v>66</v>
      </c>
      <c r="T45" s="105">
        <v>90.8</v>
      </c>
      <c r="U45" s="105">
        <v>86</v>
      </c>
      <c r="V45" s="105">
        <v>86</v>
      </c>
      <c r="W45" s="105">
        <v>68</v>
      </c>
      <c r="X45" s="105">
        <v>68</v>
      </c>
      <c r="Y45" s="105">
        <v>0</v>
      </c>
      <c r="Z45" s="105">
        <v>0</v>
      </c>
      <c r="AA45" s="105">
        <v>92.6</v>
      </c>
      <c r="AB45" s="105">
        <v>92.6</v>
      </c>
      <c r="AC45" s="105">
        <v>91.6</v>
      </c>
      <c r="AD45" s="105">
        <v>91.6</v>
      </c>
      <c r="AE45" s="105">
        <v>90.1</v>
      </c>
      <c r="AF45" s="105">
        <v>90.1</v>
      </c>
      <c r="AG45" s="96">
        <v>144</v>
      </c>
      <c r="AH45" s="20">
        <f t="shared" si="2"/>
        <v>94.4</v>
      </c>
      <c r="AI45" s="19">
        <f t="shared" si="3"/>
        <v>0</v>
      </c>
      <c r="AK45" s="41"/>
    </row>
    <row r="46" spans="1:88" x14ac:dyDescent="0.25">
      <c r="A46" s="95" t="s">
        <v>189</v>
      </c>
      <c r="B46" s="80">
        <v>67.2</v>
      </c>
      <c r="C46" s="80">
        <v>70</v>
      </c>
      <c r="D46" s="80">
        <v>52.5</v>
      </c>
      <c r="E46" s="80">
        <v>52.9</v>
      </c>
      <c r="F46" s="80">
        <v>52.9</v>
      </c>
      <c r="G46" s="80">
        <v>52.9</v>
      </c>
      <c r="H46" s="80">
        <v>52.9</v>
      </c>
      <c r="I46" s="80">
        <v>52.6</v>
      </c>
      <c r="J46" s="80">
        <v>61.1</v>
      </c>
      <c r="K46" s="80">
        <v>72.2</v>
      </c>
      <c r="L46" s="80">
        <v>72.2</v>
      </c>
      <c r="M46" s="80">
        <v>71.599999999999994</v>
      </c>
      <c r="N46" s="105">
        <v>70.7</v>
      </c>
      <c r="O46" s="105">
        <v>70.7</v>
      </c>
      <c r="P46" s="105">
        <v>70.7</v>
      </c>
      <c r="Q46" s="105">
        <v>72.400000000000006</v>
      </c>
      <c r="R46" s="105">
        <v>55.4</v>
      </c>
      <c r="S46" s="105">
        <v>51</v>
      </c>
      <c r="T46" s="105">
        <v>51</v>
      </c>
      <c r="U46" s="105">
        <v>57</v>
      </c>
      <c r="V46" s="105">
        <v>57</v>
      </c>
      <c r="W46" s="105">
        <v>48</v>
      </c>
      <c r="X46" s="105">
        <v>48</v>
      </c>
      <c r="Y46" s="105">
        <v>48</v>
      </c>
      <c r="Z46" s="105">
        <v>48</v>
      </c>
      <c r="AA46" s="105">
        <v>72</v>
      </c>
      <c r="AB46" s="105">
        <v>72</v>
      </c>
      <c r="AC46" s="105">
        <v>71.7</v>
      </c>
      <c r="AD46" s="105">
        <v>71.7</v>
      </c>
      <c r="AE46" s="105">
        <v>72.099999999999994</v>
      </c>
      <c r="AF46" s="80">
        <v>71</v>
      </c>
      <c r="AG46" s="94">
        <v>70</v>
      </c>
      <c r="AH46" s="20">
        <f t="shared" si="2"/>
        <v>72.400000000000006</v>
      </c>
      <c r="AI46" s="19">
        <f t="shared" si="3"/>
        <v>48</v>
      </c>
      <c r="AK46" s="41"/>
    </row>
    <row r="47" spans="1:88" x14ac:dyDescent="0.25">
      <c r="A47" s="95" t="s">
        <v>188</v>
      </c>
      <c r="B47" s="80">
        <v>17.100000000000001</v>
      </c>
      <c r="C47" s="80">
        <v>60.6</v>
      </c>
      <c r="D47" s="80">
        <v>34.200000000000003</v>
      </c>
      <c r="E47" s="80">
        <v>34.700000000000003</v>
      </c>
      <c r="F47" s="80">
        <v>34.700000000000003</v>
      </c>
      <c r="G47" s="80">
        <v>34.700000000000003</v>
      </c>
      <c r="H47" s="80">
        <v>42.2</v>
      </c>
      <c r="I47" s="80">
        <v>41.5</v>
      </c>
      <c r="J47" s="80">
        <v>41.8</v>
      </c>
      <c r="K47" s="80">
        <v>40.799999999999997</v>
      </c>
      <c r="L47" s="80">
        <v>40.799999999999997</v>
      </c>
      <c r="M47" s="80">
        <v>40.9</v>
      </c>
      <c r="N47" s="105">
        <v>41.2</v>
      </c>
      <c r="O47" s="105">
        <v>41.2</v>
      </c>
      <c r="P47" s="105">
        <v>41.2</v>
      </c>
      <c r="Q47" s="105">
        <v>41.5</v>
      </c>
      <c r="R47" s="105">
        <v>41.5</v>
      </c>
      <c r="S47" s="105">
        <v>41.5</v>
      </c>
      <c r="T47" s="105">
        <v>41.5</v>
      </c>
      <c r="U47" s="105">
        <v>41.5</v>
      </c>
      <c r="V47" s="105">
        <v>41.5</v>
      </c>
      <c r="W47" s="105">
        <v>41.5</v>
      </c>
      <c r="X47" s="105">
        <v>41.5</v>
      </c>
      <c r="Y47" s="105">
        <v>41.5</v>
      </c>
      <c r="Z47" s="105">
        <v>41.5</v>
      </c>
      <c r="AA47" s="105">
        <v>41.5</v>
      </c>
      <c r="AB47" s="105">
        <v>41.5</v>
      </c>
      <c r="AC47" s="105">
        <v>41</v>
      </c>
      <c r="AD47" s="105">
        <v>41</v>
      </c>
      <c r="AE47" s="105">
        <v>41.6</v>
      </c>
      <c r="AF47" s="80">
        <v>41.1</v>
      </c>
      <c r="AG47" s="94">
        <v>69</v>
      </c>
      <c r="AH47" s="20">
        <f t="shared" si="2"/>
        <v>60.6</v>
      </c>
      <c r="AI47" s="19">
        <f t="shared" si="3"/>
        <v>17.100000000000001</v>
      </c>
      <c r="AK47" s="41"/>
    </row>
    <row r="48" spans="1:88" x14ac:dyDescent="0.25">
      <c r="A48" s="95" t="s">
        <v>187</v>
      </c>
      <c r="B48" s="113">
        <v>52</v>
      </c>
      <c r="C48" s="113">
        <v>52.5</v>
      </c>
      <c r="D48" s="113">
        <v>50</v>
      </c>
      <c r="E48" s="113">
        <v>40.799999999999997</v>
      </c>
      <c r="F48" s="113">
        <v>30</v>
      </c>
      <c r="G48" s="113">
        <v>30</v>
      </c>
      <c r="H48" s="113">
        <v>30</v>
      </c>
      <c r="I48" s="113">
        <v>30</v>
      </c>
      <c r="J48" s="113">
        <v>50</v>
      </c>
      <c r="K48" s="113">
        <v>60</v>
      </c>
      <c r="L48" s="113">
        <v>60</v>
      </c>
      <c r="M48" s="80">
        <v>60.2</v>
      </c>
      <c r="N48" s="105">
        <v>60.2</v>
      </c>
      <c r="O48" s="105">
        <v>60.2</v>
      </c>
      <c r="P48" s="105">
        <v>60.2</v>
      </c>
      <c r="Q48" s="105">
        <v>60.2</v>
      </c>
      <c r="R48" s="105">
        <v>60.2</v>
      </c>
      <c r="S48" s="105">
        <v>60.2</v>
      </c>
      <c r="T48" s="105">
        <v>60.2</v>
      </c>
      <c r="U48" s="105">
        <v>60.2</v>
      </c>
      <c r="V48" s="105">
        <v>60.2</v>
      </c>
      <c r="W48" s="105">
        <v>60.2</v>
      </c>
      <c r="X48" s="105">
        <v>60.2</v>
      </c>
      <c r="Y48" s="105">
        <v>60.2</v>
      </c>
      <c r="Z48" s="105">
        <v>60.2</v>
      </c>
      <c r="AA48" s="105">
        <v>60.2</v>
      </c>
      <c r="AB48" s="105">
        <v>60.2</v>
      </c>
      <c r="AC48" s="105">
        <v>60.2</v>
      </c>
      <c r="AD48" s="105">
        <v>39.4</v>
      </c>
      <c r="AE48" s="105">
        <v>40.799999999999997</v>
      </c>
      <c r="AF48" s="113">
        <v>40.799999999999997</v>
      </c>
      <c r="AG48" s="94">
        <v>60</v>
      </c>
      <c r="AH48" s="20">
        <f t="shared" si="2"/>
        <v>60.2</v>
      </c>
      <c r="AI48" s="19">
        <f t="shared" si="3"/>
        <v>30</v>
      </c>
      <c r="AK48" s="41"/>
    </row>
    <row r="49" spans="1:41" x14ac:dyDescent="0.25">
      <c r="A49" s="95" t="s">
        <v>186</v>
      </c>
      <c r="B49" s="113">
        <v>0</v>
      </c>
      <c r="C49" s="113">
        <v>0</v>
      </c>
      <c r="D49" s="113">
        <v>0</v>
      </c>
      <c r="E49" s="113">
        <v>0</v>
      </c>
      <c r="F49" s="113">
        <v>0</v>
      </c>
      <c r="G49" s="113">
        <v>0</v>
      </c>
      <c r="H49" s="113">
        <v>0</v>
      </c>
      <c r="I49" s="113">
        <v>0</v>
      </c>
      <c r="J49" s="113">
        <v>0</v>
      </c>
      <c r="K49" s="113">
        <v>0</v>
      </c>
      <c r="L49" s="113">
        <v>0</v>
      </c>
      <c r="M49" s="80">
        <v>0</v>
      </c>
      <c r="N49" s="105">
        <v>0</v>
      </c>
      <c r="O49" s="105">
        <v>0</v>
      </c>
      <c r="P49" s="105">
        <v>0</v>
      </c>
      <c r="Q49" s="105">
        <v>0</v>
      </c>
      <c r="R49" s="105">
        <v>0</v>
      </c>
      <c r="S49" s="105">
        <v>0</v>
      </c>
      <c r="T49" s="105">
        <v>0</v>
      </c>
      <c r="U49" s="105">
        <v>0</v>
      </c>
      <c r="V49" s="105">
        <v>0</v>
      </c>
      <c r="W49" s="105">
        <v>0</v>
      </c>
      <c r="X49" s="105">
        <v>0</v>
      </c>
      <c r="Y49" s="105">
        <v>0</v>
      </c>
      <c r="Z49" s="105">
        <v>0</v>
      </c>
      <c r="AA49" s="105">
        <v>0</v>
      </c>
      <c r="AB49" s="105">
        <v>0</v>
      </c>
      <c r="AC49" s="105">
        <v>0</v>
      </c>
      <c r="AD49" s="105">
        <v>0</v>
      </c>
      <c r="AE49" s="105">
        <v>0</v>
      </c>
      <c r="AF49" s="113">
        <v>0</v>
      </c>
      <c r="AG49" s="94">
        <v>30</v>
      </c>
      <c r="AH49" s="20">
        <f t="shared" si="2"/>
        <v>0</v>
      </c>
      <c r="AI49" s="19">
        <f t="shared" si="3"/>
        <v>0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8</v>
      </c>
      <c r="N50" s="80">
        <v>10</v>
      </c>
      <c r="O50" s="80">
        <v>10</v>
      </c>
      <c r="P50" s="80">
        <v>10</v>
      </c>
      <c r="Q50" s="80">
        <v>12</v>
      </c>
      <c r="R50" s="80">
        <v>12</v>
      </c>
      <c r="S50" s="80">
        <v>12</v>
      </c>
      <c r="T50" s="80">
        <v>12</v>
      </c>
      <c r="U50" s="80">
        <v>12</v>
      </c>
      <c r="V50" s="80">
        <v>12</v>
      </c>
      <c r="W50" s="80">
        <v>0</v>
      </c>
      <c r="X50" s="80">
        <v>0</v>
      </c>
      <c r="Y50" s="80">
        <v>0</v>
      </c>
      <c r="Z50" s="80">
        <v>0</v>
      </c>
      <c r="AA50" s="80">
        <v>0</v>
      </c>
      <c r="AB50" s="80">
        <v>0</v>
      </c>
      <c r="AC50" s="80">
        <v>0</v>
      </c>
      <c r="AD50" s="80">
        <v>0</v>
      </c>
      <c r="AE50" s="80">
        <v>0</v>
      </c>
      <c r="AF50" s="80">
        <v>0</v>
      </c>
      <c r="AG50" s="94">
        <v>25</v>
      </c>
      <c r="AH50" s="20">
        <f t="shared" si="2"/>
        <v>12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0</v>
      </c>
      <c r="C51" s="80">
        <v>0</v>
      </c>
      <c r="D51" s="80">
        <v>0</v>
      </c>
      <c r="E51" s="80">
        <v>0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>
        <v>0</v>
      </c>
      <c r="L51" s="80">
        <v>0</v>
      </c>
      <c r="M51" s="80">
        <v>0</v>
      </c>
      <c r="N51" s="80">
        <v>0</v>
      </c>
      <c r="O51" s="80">
        <v>0</v>
      </c>
      <c r="P51" s="80">
        <v>0</v>
      </c>
      <c r="Q51" s="80">
        <v>0</v>
      </c>
      <c r="R51" s="80">
        <v>0</v>
      </c>
      <c r="S51" s="80">
        <v>0</v>
      </c>
      <c r="T51" s="80">
        <v>0</v>
      </c>
      <c r="U51" s="80">
        <v>0</v>
      </c>
      <c r="V51" s="80">
        <v>0</v>
      </c>
      <c r="W51" s="80">
        <v>0</v>
      </c>
      <c r="X51" s="80">
        <v>0</v>
      </c>
      <c r="Y51" s="80">
        <v>0</v>
      </c>
      <c r="Z51" s="80">
        <v>0</v>
      </c>
      <c r="AA51" s="80">
        <v>0</v>
      </c>
      <c r="AB51" s="80">
        <v>0</v>
      </c>
      <c r="AC51" s="80">
        <v>0</v>
      </c>
      <c r="AD51" s="80">
        <v>0</v>
      </c>
      <c r="AE51" s="80">
        <v>0</v>
      </c>
      <c r="AF51" s="80">
        <v>0</v>
      </c>
      <c r="AG51" s="94">
        <v>24</v>
      </c>
      <c r="AH51" s="20">
        <f t="shared" si="2"/>
        <v>0</v>
      </c>
      <c r="AI51" s="19">
        <f t="shared" si="3"/>
        <v>0</v>
      </c>
      <c r="AK51" s="41"/>
    </row>
    <row r="52" spans="1:41" x14ac:dyDescent="0.25">
      <c r="A52" s="95" t="s">
        <v>183</v>
      </c>
      <c r="B52" s="80">
        <v>0</v>
      </c>
      <c r="C52" s="80">
        <v>0</v>
      </c>
      <c r="D52" s="80">
        <v>0</v>
      </c>
      <c r="E52" s="80">
        <v>0</v>
      </c>
      <c r="F52" s="80">
        <v>0</v>
      </c>
      <c r="G52" s="80">
        <v>0</v>
      </c>
      <c r="H52" s="80">
        <v>0</v>
      </c>
      <c r="I52" s="80">
        <v>0</v>
      </c>
      <c r="J52" s="80">
        <v>0</v>
      </c>
      <c r="K52" s="80">
        <v>0</v>
      </c>
      <c r="L52" s="80">
        <v>0</v>
      </c>
      <c r="M52" s="80">
        <v>0</v>
      </c>
      <c r="N52" s="80">
        <v>0</v>
      </c>
      <c r="O52" s="80">
        <v>0</v>
      </c>
      <c r="P52" s="80">
        <v>0</v>
      </c>
      <c r="Q52" s="80">
        <v>0</v>
      </c>
      <c r="R52" s="80">
        <v>0</v>
      </c>
      <c r="S52" s="80">
        <v>0</v>
      </c>
      <c r="T52" s="80">
        <v>0</v>
      </c>
      <c r="U52" s="80">
        <v>0</v>
      </c>
      <c r="V52" s="80">
        <v>0</v>
      </c>
      <c r="W52" s="80">
        <v>0</v>
      </c>
      <c r="X52" s="80">
        <v>0</v>
      </c>
      <c r="Y52" s="80">
        <v>0</v>
      </c>
      <c r="Z52" s="80">
        <v>0</v>
      </c>
      <c r="AA52" s="80">
        <v>0</v>
      </c>
      <c r="AB52" s="80">
        <v>0</v>
      </c>
      <c r="AC52" s="80">
        <v>0</v>
      </c>
      <c r="AD52" s="80">
        <v>0</v>
      </c>
      <c r="AE52" s="80">
        <v>0</v>
      </c>
      <c r="AF52" s="80">
        <v>0</v>
      </c>
      <c r="AG52" s="94">
        <v>15</v>
      </c>
      <c r="AH52" s="20">
        <f t="shared" si="2"/>
        <v>0</v>
      </c>
      <c r="AI52" s="19">
        <f t="shared" si="3"/>
        <v>0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0</v>
      </c>
      <c r="C53" s="80">
        <v>0</v>
      </c>
      <c r="D53" s="80">
        <v>0</v>
      </c>
      <c r="E53" s="80">
        <v>0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>
        <v>0</v>
      </c>
      <c r="L53" s="80">
        <v>0</v>
      </c>
      <c r="M53" s="80">
        <v>0</v>
      </c>
      <c r="N53" s="80">
        <v>0</v>
      </c>
      <c r="O53" s="80">
        <v>0</v>
      </c>
      <c r="P53" s="80">
        <v>0</v>
      </c>
      <c r="Q53" s="80">
        <v>0</v>
      </c>
      <c r="R53" s="80">
        <v>0</v>
      </c>
      <c r="S53" s="80">
        <v>0</v>
      </c>
      <c r="T53" s="80">
        <v>0</v>
      </c>
      <c r="U53" s="80">
        <v>0</v>
      </c>
      <c r="V53" s="80">
        <v>0</v>
      </c>
      <c r="W53" s="80">
        <v>0</v>
      </c>
      <c r="X53" s="80">
        <v>0</v>
      </c>
      <c r="Y53" s="80">
        <v>0</v>
      </c>
      <c r="Z53" s="80">
        <v>0</v>
      </c>
      <c r="AA53" s="80">
        <v>0</v>
      </c>
      <c r="AB53" s="80">
        <v>0</v>
      </c>
      <c r="AC53" s="80">
        <v>0</v>
      </c>
      <c r="AD53" s="80">
        <v>0</v>
      </c>
      <c r="AE53" s="80">
        <v>0</v>
      </c>
      <c r="AF53" s="80">
        <v>0</v>
      </c>
      <c r="AG53" s="94">
        <v>14.1</v>
      </c>
      <c r="AH53" s="20">
        <f t="shared" si="2"/>
        <v>0</v>
      </c>
      <c r="AI53" s="19">
        <f t="shared" si="3"/>
        <v>0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0</v>
      </c>
      <c r="C54" s="80">
        <v>10.199999999999999</v>
      </c>
      <c r="D54" s="80">
        <v>10.1</v>
      </c>
      <c r="E54" s="80">
        <v>10</v>
      </c>
      <c r="F54" s="80">
        <v>10</v>
      </c>
      <c r="G54" s="80">
        <v>10</v>
      </c>
      <c r="H54" s="80">
        <v>10</v>
      </c>
      <c r="I54" s="80">
        <v>14</v>
      </c>
      <c r="J54" s="80">
        <v>14</v>
      </c>
      <c r="K54" s="80">
        <v>14</v>
      </c>
      <c r="L54" s="80">
        <v>14</v>
      </c>
      <c r="M54" s="80">
        <v>14.3</v>
      </c>
      <c r="N54" s="80">
        <v>14.5</v>
      </c>
      <c r="O54" s="80">
        <v>14.5</v>
      </c>
      <c r="P54" s="80">
        <v>14.5</v>
      </c>
      <c r="Q54" s="80">
        <v>14.4</v>
      </c>
      <c r="R54" s="80">
        <v>7</v>
      </c>
      <c r="S54" s="80">
        <v>7</v>
      </c>
      <c r="T54" s="80">
        <v>7</v>
      </c>
      <c r="U54" s="80">
        <v>7</v>
      </c>
      <c r="V54" s="80">
        <v>7</v>
      </c>
      <c r="W54" s="80">
        <v>7</v>
      </c>
      <c r="X54" s="80">
        <v>10</v>
      </c>
      <c r="Y54" s="80">
        <v>10</v>
      </c>
      <c r="Z54" s="80">
        <v>10</v>
      </c>
      <c r="AA54" s="80">
        <v>10</v>
      </c>
      <c r="AB54" s="80">
        <v>14</v>
      </c>
      <c r="AC54" s="80">
        <v>14.2</v>
      </c>
      <c r="AD54" s="80">
        <v>14.2</v>
      </c>
      <c r="AE54" s="80">
        <v>9.8000000000000007</v>
      </c>
      <c r="AF54" s="80">
        <v>9.6999999999999993</v>
      </c>
      <c r="AG54" s="94">
        <v>14</v>
      </c>
      <c r="AH54" s="20">
        <f t="shared" si="2"/>
        <v>14.5</v>
      </c>
      <c r="AI54" s="19">
        <f t="shared" si="3"/>
        <v>0</v>
      </c>
      <c r="AK54" s="41"/>
    </row>
    <row r="55" spans="1:41" x14ac:dyDescent="0.25">
      <c r="A55" s="95" t="s">
        <v>180</v>
      </c>
      <c r="B55" s="80">
        <v>9.1999999999999993</v>
      </c>
      <c r="C55" s="80">
        <v>9.1999999999999993</v>
      </c>
      <c r="D55" s="80">
        <v>9</v>
      </c>
      <c r="E55" s="80">
        <v>9</v>
      </c>
      <c r="F55" s="80">
        <v>9</v>
      </c>
      <c r="G55" s="80">
        <v>9</v>
      </c>
      <c r="H55" s="80">
        <v>9</v>
      </c>
      <c r="I55" s="80">
        <v>9</v>
      </c>
      <c r="J55" s="80">
        <v>9</v>
      </c>
      <c r="K55" s="80">
        <v>9</v>
      </c>
      <c r="L55" s="80">
        <v>9</v>
      </c>
      <c r="M55" s="80">
        <v>6.8</v>
      </c>
      <c r="N55" s="80">
        <v>6.9</v>
      </c>
      <c r="O55" s="80">
        <v>6.9</v>
      </c>
      <c r="P55" s="80">
        <v>6.9</v>
      </c>
      <c r="Q55" s="80">
        <v>9</v>
      </c>
      <c r="R55" s="80">
        <v>9</v>
      </c>
      <c r="S55" s="80">
        <v>9</v>
      </c>
      <c r="T55" s="80">
        <v>9</v>
      </c>
      <c r="U55" s="80">
        <v>9</v>
      </c>
      <c r="V55" s="80">
        <v>9</v>
      </c>
      <c r="W55" s="80">
        <v>9</v>
      </c>
      <c r="X55" s="80">
        <v>9</v>
      </c>
      <c r="Y55" s="80">
        <v>9</v>
      </c>
      <c r="Z55" s="80">
        <v>9</v>
      </c>
      <c r="AA55" s="80">
        <v>9</v>
      </c>
      <c r="AB55" s="80">
        <v>9</v>
      </c>
      <c r="AC55" s="80">
        <v>9</v>
      </c>
      <c r="AD55" s="80">
        <v>9</v>
      </c>
      <c r="AE55" s="80">
        <v>9</v>
      </c>
      <c r="AF55" s="80">
        <v>9</v>
      </c>
      <c r="AG55" s="94">
        <v>10.050000000000001</v>
      </c>
      <c r="AH55" s="20">
        <f t="shared" si="2"/>
        <v>9.1999999999999993</v>
      </c>
      <c r="AI55" s="19">
        <f t="shared" si="3"/>
        <v>6.8</v>
      </c>
      <c r="AK55" s="41"/>
    </row>
    <row r="56" spans="1:41" x14ac:dyDescent="0.25">
      <c r="A56" s="95" t="s">
        <v>179</v>
      </c>
      <c r="B56" s="80">
        <v>6.2</v>
      </c>
      <c r="C56" s="80">
        <v>6.2</v>
      </c>
      <c r="D56" s="80">
        <v>6.2</v>
      </c>
      <c r="E56" s="80">
        <v>6.2</v>
      </c>
      <c r="F56" s="80">
        <v>6.2</v>
      </c>
      <c r="G56" s="80">
        <v>6.2</v>
      </c>
      <c r="H56" s="80">
        <v>6.2</v>
      </c>
      <c r="I56" s="80">
        <v>6.2</v>
      </c>
      <c r="J56" s="80">
        <v>3.1</v>
      </c>
      <c r="K56" s="80">
        <v>3.1</v>
      </c>
      <c r="L56" s="80">
        <v>3.1</v>
      </c>
      <c r="M56" s="80">
        <v>3.1</v>
      </c>
      <c r="N56" s="80">
        <v>3.1</v>
      </c>
      <c r="O56" s="80">
        <v>3.1</v>
      </c>
      <c r="P56" s="80">
        <v>3.1</v>
      </c>
      <c r="Q56" s="80">
        <v>3.1</v>
      </c>
      <c r="R56" s="80">
        <v>3.1</v>
      </c>
      <c r="S56" s="80">
        <v>3.1</v>
      </c>
      <c r="T56" s="80">
        <v>3.1</v>
      </c>
      <c r="U56" s="80">
        <v>3.1</v>
      </c>
      <c r="V56" s="80">
        <v>3.1</v>
      </c>
      <c r="W56" s="80">
        <v>3.1</v>
      </c>
      <c r="X56" s="80">
        <v>3.1</v>
      </c>
      <c r="Y56" s="80">
        <v>3.1</v>
      </c>
      <c r="Z56" s="80">
        <v>3.1</v>
      </c>
      <c r="AA56" s="80">
        <v>3.1</v>
      </c>
      <c r="AB56" s="80">
        <v>3.1</v>
      </c>
      <c r="AC56" s="80">
        <v>3.1</v>
      </c>
      <c r="AD56" s="80">
        <v>3.1</v>
      </c>
      <c r="AE56" s="80">
        <v>3.1</v>
      </c>
      <c r="AF56" s="80">
        <v>3.1</v>
      </c>
      <c r="AG56" s="94">
        <v>6.2</v>
      </c>
      <c r="AH56" s="20">
        <f t="shared" si="2"/>
        <v>6.2</v>
      </c>
      <c r="AI56" s="19">
        <f t="shared" si="3"/>
        <v>3.1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6">SUM(B45:B57)</f>
        <v>155.23999999999998</v>
      </c>
      <c r="C58" s="86">
        <f t="shared" si="6"/>
        <v>288.43999999999994</v>
      </c>
      <c r="D58" s="86">
        <f t="shared" si="6"/>
        <v>225.53999999999996</v>
      </c>
      <c r="E58" s="86">
        <f t="shared" si="6"/>
        <v>222.84</v>
      </c>
      <c r="F58" s="86">
        <f t="shared" si="6"/>
        <v>207.34</v>
      </c>
      <c r="G58" s="86">
        <f t="shared" si="6"/>
        <v>207.34</v>
      </c>
      <c r="H58" s="86">
        <f t="shared" si="6"/>
        <v>214.73999999999998</v>
      </c>
      <c r="I58" s="86">
        <f t="shared" si="6"/>
        <v>232.83999999999997</v>
      </c>
      <c r="J58" s="86">
        <f t="shared" si="6"/>
        <v>258.44</v>
      </c>
      <c r="K58" s="86">
        <f t="shared" si="6"/>
        <v>296.94000000000005</v>
      </c>
      <c r="L58" s="86">
        <f t="shared" si="6"/>
        <v>296.94000000000005</v>
      </c>
      <c r="M58" s="86">
        <f t="shared" si="6"/>
        <v>302.6400000000001</v>
      </c>
      <c r="N58" s="86">
        <f t="shared" si="6"/>
        <v>304.34000000000003</v>
      </c>
      <c r="O58" s="86">
        <f t="shared" si="6"/>
        <v>304.34000000000003</v>
      </c>
      <c r="P58" s="86">
        <f t="shared" si="6"/>
        <v>304.34000000000003</v>
      </c>
      <c r="Q58" s="86">
        <f t="shared" si="6"/>
        <v>310.54000000000002</v>
      </c>
      <c r="R58" s="86">
        <f t="shared" si="6"/>
        <v>267.14000000000004</v>
      </c>
      <c r="S58" s="86">
        <f t="shared" si="6"/>
        <v>253.33999999999997</v>
      </c>
      <c r="T58" s="86">
        <f t="shared" si="6"/>
        <v>278.14000000000004</v>
      </c>
      <c r="U58" s="86">
        <f t="shared" si="6"/>
        <v>279.34000000000003</v>
      </c>
      <c r="V58" s="86">
        <f t="shared" si="6"/>
        <v>279.34000000000003</v>
      </c>
      <c r="W58" s="86">
        <f t="shared" si="6"/>
        <v>240.33999999999997</v>
      </c>
      <c r="X58" s="86">
        <f t="shared" si="6"/>
        <v>243.33999999999997</v>
      </c>
      <c r="Y58" s="86">
        <f t="shared" si="6"/>
        <v>175.33999999999997</v>
      </c>
      <c r="Z58" s="86">
        <f t="shared" si="6"/>
        <v>175.33999999999997</v>
      </c>
      <c r="AA58" s="86">
        <f t="shared" si="6"/>
        <v>291.94000000000005</v>
      </c>
      <c r="AB58" s="86">
        <f t="shared" si="6"/>
        <v>295.94000000000005</v>
      </c>
      <c r="AC58" s="86">
        <f t="shared" si="6"/>
        <v>294.34000000000003</v>
      </c>
      <c r="AD58" s="86">
        <f t="shared" si="6"/>
        <v>273.54000000000008</v>
      </c>
      <c r="AE58" s="86">
        <f t="shared" si="6"/>
        <v>270.04000000000002</v>
      </c>
      <c r="AF58" s="86">
        <f t="shared" si="6"/>
        <v>268.34000000000003</v>
      </c>
      <c r="AG58" s="101">
        <f t="shared" si="6"/>
        <v>489.91</v>
      </c>
      <c r="AH58" s="20">
        <f t="shared" si="2"/>
        <v>310.54000000000002</v>
      </c>
      <c r="AI58" s="19">
        <f t="shared" si="3"/>
        <v>155.23999999999998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>
        <v>0</v>
      </c>
      <c r="S59" s="105"/>
      <c r="T59" s="105"/>
      <c r="U59" s="105"/>
      <c r="V59" s="105"/>
      <c r="W59" s="105"/>
      <c r="X59" s="105"/>
      <c r="Y59" s="105"/>
      <c r="Z59" s="105"/>
      <c r="AA59" s="105"/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/>
      <c r="T60" s="80"/>
      <c r="U60" s="80"/>
      <c r="V60" s="80"/>
      <c r="W60" s="80"/>
      <c r="X60" s="80"/>
      <c r="Y60" s="80"/>
      <c r="Z60" s="80"/>
      <c r="AA60" s="80"/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/>
      <c r="T61" s="107"/>
      <c r="U61" s="107"/>
      <c r="V61" s="107"/>
      <c r="W61" s="107"/>
      <c r="X61" s="107"/>
      <c r="Y61" s="107"/>
      <c r="Z61" s="107"/>
      <c r="AA61" s="107"/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7">SUM(B59:B61)</f>
        <v>0</v>
      </c>
      <c r="C62" s="86">
        <f t="shared" si="7"/>
        <v>0</v>
      </c>
      <c r="D62" s="86">
        <f t="shared" si="7"/>
        <v>0</v>
      </c>
      <c r="E62" s="86">
        <f t="shared" si="7"/>
        <v>0</v>
      </c>
      <c r="F62" s="86">
        <f t="shared" si="7"/>
        <v>0</v>
      </c>
      <c r="G62" s="86">
        <f t="shared" si="7"/>
        <v>0</v>
      </c>
      <c r="H62" s="86">
        <f t="shared" si="7"/>
        <v>0</v>
      </c>
      <c r="I62" s="86">
        <f t="shared" si="7"/>
        <v>0</v>
      </c>
      <c r="J62" s="86">
        <f t="shared" si="7"/>
        <v>0</v>
      </c>
      <c r="K62" s="86">
        <f t="shared" si="7"/>
        <v>0</v>
      </c>
      <c r="L62" s="86">
        <f t="shared" si="7"/>
        <v>0</v>
      </c>
      <c r="M62" s="86">
        <f t="shared" si="7"/>
        <v>0</v>
      </c>
      <c r="N62" s="86">
        <f t="shared" si="7"/>
        <v>0</v>
      </c>
      <c r="O62" s="86">
        <f t="shared" si="7"/>
        <v>0</v>
      </c>
      <c r="P62" s="86">
        <f t="shared" si="7"/>
        <v>0</v>
      </c>
      <c r="Q62" s="86">
        <f t="shared" si="7"/>
        <v>0</v>
      </c>
      <c r="R62" s="86">
        <f t="shared" si="7"/>
        <v>0</v>
      </c>
      <c r="S62" s="86">
        <f t="shared" si="7"/>
        <v>0</v>
      </c>
      <c r="T62" s="86">
        <f t="shared" si="7"/>
        <v>0</v>
      </c>
      <c r="U62" s="86">
        <f t="shared" si="7"/>
        <v>0</v>
      </c>
      <c r="V62" s="86">
        <f t="shared" si="7"/>
        <v>0</v>
      </c>
      <c r="W62" s="86">
        <f t="shared" si="7"/>
        <v>0</v>
      </c>
      <c r="X62" s="86">
        <f t="shared" si="7"/>
        <v>0</v>
      </c>
      <c r="Y62" s="86">
        <f t="shared" si="7"/>
        <v>0</v>
      </c>
      <c r="Z62" s="86">
        <f t="shared" si="7"/>
        <v>0</v>
      </c>
      <c r="AA62" s="86">
        <f t="shared" si="7"/>
        <v>0</v>
      </c>
      <c r="AB62" s="86">
        <f t="shared" si="7"/>
        <v>0</v>
      </c>
      <c r="AC62" s="86">
        <f t="shared" si="7"/>
        <v>0</v>
      </c>
      <c r="AD62" s="86">
        <f t="shared" si="7"/>
        <v>0</v>
      </c>
      <c r="AE62" s="86">
        <f t="shared" si="7"/>
        <v>0</v>
      </c>
      <c r="AF62" s="86">
        <f t="shared" si="7"/>
        <v>0</v>
      </c>
      <c r="AG62" s="101">
        <f t="shared" si="7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>
        <v>0</v>
      </c>
      <c r="S63" s="105">
        <v>0</v>
      </c>
      <c r="T63" s="105">
        <v>0</v>
      </c>
      <c r="U63" s="105">
        <v>0</v>
      </c>
      <c r="V63" s="105">
        <v>0</v>
      </c>
      <c r="W63" s="105">
        <v>0</v>
      </c>
      <c r="X63" s="105">
        <v>11.41</v>
      </c>
      <c r="Y63" s="105">
        <v>34</v>
      </c>
      <c r="Z63" s="105">
        <v>13</v>
      </c>
      <c r="AA63" s="105">
        <v>13</v>
      </c>
      <c r="AB63" s="105">
        <v>0</v>
      </c>
      <c r="AC63" s="105">
        <v>0</v>
      </c>
      <c r="AD63" s="105">
        <v>0</v>
      </c>
      <c r="AE63" s="105">
        <v>0</v>
      </c>
      <c r="AF63" s="105">
        <v>0</v>
      </c>
      <c r="AG63" s="96"/>
      <c r="AH63" s="20">
        <f t="shared" si="2"/>
        <v>34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-410</v>
      </c>
      <c r="C65" s="80">
        <v>-389</v>
      </c>
      <c r="D65" s="80">
        <v>-414</v>
      </c>
      <c r="E65" s="80">
        <v>-435</v>
      </c>
      <c r="F65" s="80">
        <v>-422</v>
      </c>
      <c r="G65" s="80">
        <v>-415</v>
      </c>
      <c r="H65" s="80">
        <v>-366</v>
      </c>
      <c r="I65" s="80">
        <v>-423</v>
      </c>
      <c r="J65" s="80">
        <v>-417</v>
      </c>
      <c r="K65" s="80">
        <v>-423</v>
      </c>
      <c r="L65" s="80">
        <v>-407</v>
      </c>
      <c r="M65" s="80">
        <v>-389</v>
      </c>
      <c r="N65" s="80">
        <v>-385.3</v>
      </c>
      <c r="O65" s="80">
        <v>-367.7</v>
      </c>
      <c r="P65" s="80">
        <v>-407</v>
      </c>
      <c r="Q65" s="80">
        <v>-402.1</v>
      </c>
      <c r="R65" s="80">
        <v>-375</v>
      </c>
      <c r="S65" s="80">
        <v>-397</v>
      </c>
      <c r="T65" s="80">
        <v>-275</v>
      </c>
      <c r="U65" s="80">
        <v>-382</v>
      </c>
      <c r="V65" s="80">
        <v>-374</v>
      </c>
      <c r="W65" s="80">
        <v>-322</v>
      </c>
      <c r="X65" s="80">
        <v>-225</v>
      </c>
      <c r="Y65" s="80">
        <v>-254</v>
      </c>
      <c r="Z65" s="80">
        <v>-374</v>
      </c>
      <c r="AA65" s="80">
        <v>-400</v>
      </c>
      <c r="AB65" s="80">
        <v>-425</v>
      </c>
      <c r="AC65" s="80">
        <v>-436</v>
      </c>
      <c r="AD65" s="80">
        <v>-386</v>
      </c>
      <c r="AE65" s="80">
        <v>-415</v>
      </c>
      <c r="AF65" s="80">
        <v>-412.4</v>
      </c>
      <c r="AG65" s="102"/>
      <c r="AH65" s="20">
        <f t="shared" si="2"/>
        <v>-225</v>
      </c>
      <c r="AI65" s="19">
        <f t="shared" si="3"/>
        <v>-436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8">SUMIF(B63:B73,"&gt;0")</f>
        <v>0</v>
      </c>
      <c r="C74" s="86">
        <f t="shared" si="8"/>
        <v>0</v>
      </c>
      <c r="D74" s="86">
        <f t="shared" si="8"/>
        <v>0</v>
      </c>
      <c r="E74" s="86">
        <f t="shared" si="8"/>
        <v>0</v>
      </c>
      <c r="F74" s="86">
        <f t="shared" si="8"/>
        <v>0</v>
      </c>
      <c r="G74" s="86">
        <f t="shared" si="8"/>
        <v>0</v>
      </c>
      <c r="H74" s="86">
        <f t="shared" si="8"/>
        <v>0</v>
      </c>
      <c r="I74" s="86">
        <f t="shared" si="8"/>
        <v>0</v>
      </c>
      <c r="J74" s="86">
        <f t="shared" si="8"/>
        <v>0</v>
      </c>
      <c r="K74" s="86">
        <f t="shared" si="8"/>
        <v>0</v>
      </c>
      <c r="L74" s="86">
        <f t="shared" si="8"/>
        <v>0</v>
      </c>
      <c r="M74" s="86">
        <f t="shared" si="8"/>
        <v>0</v>
      </c>
      <c r="N74" s="86">
        <f t="shared" si="8"/>
        <v>0</v>
      </c>
      <c r="O74" s="86">
        <f t="shared" si="8"/>
        <v>0</v>
      </c>
      <c r="P74" s="86">
        <f t="shared" si="8"/>
        <v>0</v>
      </c>
      <c r="Q74" s="86">
        <f t="shared" si="8"/>
        <v>0</v>
      </c>
      <c r="R74" s="86">
        <f t="shared" si="8"/>
        <v>0</v>
      </c>
      <c r="S74" s="86">
        <f t="shared" si="8"/>
        <v>0</v>
      </c>
      <c r="T74" s="86">
        <f t="shared" si="8"/>
        <v>0</v>
      </c>
      <c r="U74" s="86">
        <f t="shared" si="8"/>
        <v>0</v>
      </c>
      <c r="V74" s="86">
        <f t="shared" si="8"/>
        <v>0</v>
      </c>
      <c r="W74" s="86">
        <f t="shared" si="8"/>
        <v>0</v>
      </c>
      <c r="X74" s="86">
        <f t="shared" si="8"/>
        <v>11.41</v>
      </c>
      <c r="Y74" s="86">
        <f t="shared" si="8"/>
        <v>34</v>
      </c>
      <c r="Z74" s="86">
        <f t="shared" si="8"/>
        <v>13</v>
      </c>
      <c r="AA74" s="86">
        <f t="shared" si="8"/>
        <v>13</v>
      </c>
      <c r="AB74" s="86">
        <f t="shared" si="8"/>
        <v>0</v>
      </c>
      <c r="AC74" s="86">
        <f t="shared" si="8"/>
        <v>0</v>
      </c>
      <c r="AD74" s="86">
        <f t="shared" si="8"/>
        <v>0</v>
      </c>
      <c r="AE74" s="86">
        <f t="shared" si="8"/>
        <v>0</v>
      </c>
      <c r="AF74" s="86">
        <f t="shared" si="8"/>
        <v>0</v>
      </c>
      <c r="AG74" s="85">
        <f>SUM(AG63:AG73)</f>
        <v>0</v>
      </c>
      <c r="AH74" s="20">
        <f t="shared" si="2"/>
        <v>34</v>
      </c>
      <c r="AI74" s="19">
        <f t="shared" si="3"/>
        <v>0</v>
      </c>
      <c r="AK74" s="41"/>
    </row>
    <row r="75" spans="1:37" x14ac:dyDescent="0.25">
      <c r="A75" s="97" t="s">
        <v>164</v>
      </c>
      <c r="B75" s="93">
        <v>0</v>
      </c>
      <c r="C75" s="93">
        <v>0</v>
      </c>
      <c r="D75" s="93">
        <v>0</v>
      </c>
      <c r="E75" s="93">
        <v>0</v>
      </c>
      <c r="F75" s="93">
        <v>0</v>
      </c>
      <c r="G75" s="93">
        <v>0</v>
      </c>
      <c r="H75" s="93">
        <v>0</v>
      </c>
      <c r="I75" s="93">
        <v>0</v>
      </c>
      <c r="J75" s="93">
        <v>0</v>
      </c>
      <c r="K75" s="93">
        <v>0</v>
      </c>
      <c r="L75" s="93">
        <v>0</v>
      </c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>
        <v>0</v>
      </c>
      <c r="AC75" s="93">
        <v>0</v>
      </c>
      <c r="AD75" s="93">
        <v>0</v>
      </c>
      <c r="AE75" s="93">
        <v>0</v>
      </c>
      <c r="AF75" s="93">
        <v>0</v>
      </c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>
        <v>0</v>
      </c>
      <c r="C76" s="103">
        <v>0</v>
      </c>
      <c r="D76" s="103">
        <v>0</v>
      </c>
      <c r="E76" s="103">
        <v>0</v>
      </c>
      <c r="F76" s="103">
        <v>0</v>
      </c>
      <c r="G76" s="103">
        <v>0</v>
      </c>
      <c r="H76" s="103">
        <v>0</v>
      </c>
      <c r="I76" s="103">
        <v>0</v>
      </c>
      <c r="J76" s="103">
        <v>0</v>
      </c>
      <c r="K76" s="103">
        <v>0</v>
      </c>
      <c r="L76" s="103">
        <v>0</v>
      </c>
      <c r="M76" s="103">
        <v>0</v>
      </c>
      <c r="N76" s="103">
        <v>0</v>
      </c>
      <c r="O76" s="103">
        <v>0</v>
      </c>
      <c r="P76" s="103">
        <v>0</v>
      </c>
      <c r="Q76" s="103">
        <v>0</v>
      </c>
      <c r="R76" s="103">
        <v>0</v>
      </c>
      <c r="S76" s="103"/>
      <c r="T76" s="103"/>
      <c r="U76" s="103"/>
      <c r="V76" s="103"/>
      <c r="W76" s="103"/>
      <c r="X76" s="103"/>
      <c r="Y76" s="103"/>
      <c r="Z76" s="103"/>
      <c r="AA76" s="103"/>
      <c r="AB76" s="103">
        <v>0</v>
      </c>
      <c r="AC76" s="103">
        <v>0</v>
      </c>
      <c r="AD76" s="103">
        <v>0</v>
      </c>
      <c r="AE76" s="103">
        <v>0</v>
      </c>
      <c r="AF76" s="103">
        <v>0</v>
      </c>
      <c r="AG76" s="102">
        <v>14.4</v>
      </c>
      <c r="AH76" s="20">
        <f t="shared" ref="AH76:AH109" si="9">MAX(B76:AF76)</f>
        <v>0</v>
      </c>
      <c r="AI76" s="19">
        <f t="shared" ref="AI76:AI109" si="10">MIN(B76:AF76)</f>
        <v>0</v>
      </c>
      <c r="AK76" s="41"/>
    </row>
    <row r="77" spans="1:37" ht="15.75" thickBot="1" x14ac:dyDescent="0.3">
      <c r="A77" s="91" t="s">
        <v>162</v>
      </c>
      <c r="B77" s="90">
        <v>0</v>
      </c>
      <c r="C77" s="90">
        <v>0</v>
      </c>
      <c r="D77" s="90">
        <v>0</v>
      </c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/>
      <c r="T77" s="90"/>
      <c r="U77" s="90"/>
      <c r="V77" s="90"/>
      <c r="W77" s="90"/>
      <c r="X77" s="90"/>
      <c r="Y77" s="90"/>
      <c r="Z77" s="90"/>
      <c r="AA77" s="90"/>
      <c r="AB77" s="90">
        <v>0</v>
      </c>
      <c r="AC77" s="90">
        <v>0</v>
      </c>
      <c r="AD77" s="90">
        <v>0</v>
      </c>
      <c r="AE77" s="90">
        <v>0</v>
      </c>
      <c r="AF77" s="90">
        <v>0</v>
      </c>
      <c r="AG77" s="89">
        <v>2</v>
      </c>
      <c r="AH77" s="20">
        <f t="shared" si="9"/>
        <v>0</v>
      </c>
      <c r="AI77" s="19">
        <f t="shared" si="10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9"/>
        <v>0</v>
      </c>
      <c r="AI78" s="19">
        <f t="shared" si="10"/>
        <v>0</v>
      </c>
    </row>
    <row r="79" spans="1:37" ht="15.75" thickBot="1" x14ac:dyDescent="0.3">
      <c r="A79" s="87" t="s">
        <v>160</v>
      </c>
      <c r="B79" s="98">
        <f t="shared" ref="B79:AG79" si="11">B40+B44+B62+B58+B74+B78</f>
        <v>1293.94</v>
      </c>
      <c r="C79" s="98">
        <f t="shared" si="11"/>
        <v>1420.1399999999999</v>
      </c>
      <c r="D79" s="98">
        <f t="shared" si="11"/>
        <v>1390.44</v>
      </c>
      <c r="E79" s="98">
        <f t="shared" si="11"/>
        <v>1387.74</v>
      </c>
      <c r="F79" s="98">
        <f t="shared" si="11"/>
        <v>1372.24</v>
      </c>
      <c r="G79" s="98">
        <f t="shared" si="11"/>
        <v>1372.24</v>
      </c>
      <c r="H79" s="98">
        <f t="shared" si="11"/>
        <v>1323.64</v>
      </c>
      <c r="I79" s="98">
        <f t="shared" si="11"/>
        <v>1397.74</v>
      </c>
      <c r="J79" s="98">
        <f t="shared" si="11"/>
        <v>1423.3400000000001</v>
      </c>
      <c r="K79" s="98">
        <f t="shared" si="11"/>
        <v>1461.8400000000001</v>
      </c>
      <c r="L79" s="98">
        <f t="shared" si="11"/>
        <v>1470.04</v>
      </c>
      <c r="M79" s="98">
        <f t="shared" si="11"/>
        <v>1498.3400000000001</v>
      </c>
      <c r="N79" s="98">
        <f t="shared" si="11"/>
        <v>1505.04</v>
      </c>
      <c r="O79" s="98">
        <f t="shared" si="11"/>
        <v>1528.44</v>
      </c>
      <c r="P79" s="98">
        <f t="shared" si="11"/>
        <v>1573.44</v>
      </c>
      <c r="Q79" s="98">
        <f t="shared" si="11"/>
        <v>1573.34</v>
      </c>
      <c r="R79" s="98">
        <f t="shared" si="11"/>
        <v>1495.94</v>
      </c>
      <c r="S79" s="98">
        <f t="shared" si="11"/>
        <v>1502.9399999999998</v>
      </c>
      <c r="T79" s="98">
        <f t="shared" si="11"/>
        <v>1556.14</v>
      </c>
      <c r="U79" s="98">
        <f t="shared" si="11"/>
        <v>1570.1399999999999</v>
      </c>
      <c r="V79" s="98">
        <f t="shared" si="11"/>
        <v>1570.1399999999999</v>
      </c>
      <c r="W79" s="98">
        <f t="shared" si="11"/>
        <v>1518.34</v>
      </c>
      <c r="X79" s="98">
        <f t="shared" si="11"/>
        <v>1558.65</v>
      </c>
      <c r="Y79" s="98">
        <f t="shared" si="11"/>
        <v>1468.24</v>
      </c>
      <c r="Z79" s="98">
        <f t="shared" si="11"/>
        <v>1572.4399999999998</v>
      </c>
      <c r="AA79" s="98">
        <f t="shared" si="11"/>
        <v>1687.04</v>
      </c>
      <c r="AB79" s="98">
        <f t="shared" si="11"/>
        <v>1646.64</v>
      </c>
      <c r="AC79" s="98">
        <f t="shared" si="11"/>
        <v>1603.8400000000001</v>
      </c>
      <c r="AD79" s="98">
        <f t="shared" si="11"/>
        <v>1518.1399999999999</v>
      </c>
      <c r="AE79" s="98">
        <f t="shared" si="11"/>
        <v>1474.04</v>
      </c>
      <c r="AF79" s="98">
        <f t="shared" si="11"/>
        <v>1465.2400000000002</v>
      </c>
      <c r="AG79" s="101">
        <f t="shared" si="11"/>
        <v>1897.1900000000003</v>
      </c>
      <c r="AH79" s="20">
        <f t="shared" si="9"/>
        <v>1687.04</v>
      </c>
      <c r="AI79" s="19">
        <f t="shared" si="10"/>
        <v>1293.94</v>
      </c>
    </row>
    <row r="80" spans="1:37" ht="15.75" thickBot="1" x14ac:dyDescent="0.3">
      <c r="A80" s="100" t="s">
        <v>159</v>
      </c>
      <c r="B80" s="99">
        <v>50</v>
      </c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9"/>
        <v>50</v>
      </c>
      <c r="AI80" s="19">
        <f t="shared" si="10"/>
        <v>50</v>
      </c>
    </row>
    <row r="81" spans="1:37" ht="15.75" thickBot="1" x14ac:dyDescent="0.3">
      <c r="A81" s="87" t="s">
        <v>158</v>
      </c>
      <c r="B81" s="98">
        <f t="shared" ref="B81:AF81" si="12">B79+B80</f>
        <v>1343.94</v>
      </c>
      <c r="C81" s="98">
        <f t="shared" si="12"/>
        <v>1420.1399999999999</v>
      </c>
      <c r="D81" s="98">
        <f t="shared" si="12"/>
        <v>1390.44</v>
      </c>
      <c r="E81" s="98">
        <f t="shared" si="12"/>
        <v>1387.74</v>
      </c>
      <c r="F81" s="98">
        <f t="shared" si="12"/>
        <v>1372.24</v>
      </c>
      <c r="G81" s="98">
        <f t="shared" si="12"/>
        <v>1372.24</v>
      </c>
      <c r="H81" s="98">
        <f t="shared" si="12"/>
        <v>1323.64</v>
      </c>
      <c r="I81" s="98">
        <f t="shared" si="12"/>
        <v>1397.74</v>
      </c>
      <c r="J81" s="98">
        <f t="shared" si="12"/>
        <v>1423.3400000000001</v>
      </c>
      <c r="K81" s="98">
        <f t="shared" si="12"/>
        <v>1461.8400000000001</v>
      </c>
      <c r="L81" s="98">
        <f t="shared" si="12"/>
        <v>1470.04</v>
      </c>
      <c r="M81" s="98">
        <f t="shared" si="12"/>
        <v>1498.3400000000001</v>
      </c>
      <c r="N81" s="98">
        <f t="shared" si="12"/>
        <v>1505.04</v>
      </c>
      <c r="O81" s="98">
        <f t="shared" si="12"/>
        <v>1528.44</v>
      </c>
      <c r="P81" s="98">
        <f t="shared" si="12"/>
        <v>1573.44</v>
      </c>
      <c r="Q81" s="98">
        <f t="shared" si="12"/>
        <v>1573.34</v>
      </c>
      <c r="R81" s="98">
        <f t="shared" si="12"/>
        <v>1495.94</v>
      </c>
      <c r="S81" s="98">
        <f t="shared" si="12"/>
        <v>1502.9399999999998</v>
      </c>
      <c r="T81" s="98">
        <f t="shared" si="12"/>
        <v>1556.14</v>
      </c>
      <c r="U81" s="98">
        <f t="shared" si="12"/>
        <v>1570.1399999999999</v>
      </c>
      <c r="V81" s="98">
        <f t="shared" si="12"/>
        <v>1570.1399999999999</v>
      </c>
      <c r="W81" s="98">
        <f t="shared" si="12"/>
        <v>1518.34</v>
      </c>
      <c r="X81" s="98">
        <f t="shared" si="12"/>
        <v>1558.65</v>
      </c>
      <c r="Y81" s="98">
        <f t="shared" si="12"/>
        <v>1468.24</v>
      </c>
      <c r="Z81" s="98">
        <f t="shared" si="12"/>
        <v>1572.4399999999998</v>
      </c>
      <c r="AA81" s="98">
        <f t="shared" si="12"/>
        <v>1687.04</v>
      </c>
      <c r="AB81" s="98">
        <f t="shared" si="12"/>
        <v>1646.64</v>
      </c>
      <c r="AC81" s="98">
        <f t="shared" si="12"/>
        <v>1603.8400000000001</v>
      </c>
      <c r="AD81" s="98">
        <f t="shared" si="12"/>
        <v>1518.1399999999999</v>
      </c>
      <c r="AE81" s="98">
        <f t="shared" si="12"/>
        <v>1474.04</v>
      </c>
      <c r="AF81" s="98">
        <f t="shared" si="12"/>
        <v>1465.2400000000002</v>
      </c>
      <c r="AG81" s="85">
        <f>AG78+AG74+AG62+AG58+AG40+AG80</f>
        <v>1359.0900000000001</v>
      </c>
      <c r="AH81" s="20">
        <f t="shared" si="9"/>
        <v>1687.04</v>
      </c>
      <c r="AI81" s="19">
        <f t="shared" si="10"/>
        <v>1323.64</v>
      </c>
    </row>
    <row r="82" spans="1:37" ht="15.75" thickBot="1" x14ac:dyDescent="0.3">
      <c r="A82" s="87" t="s">
        <v>157</v>
      </c>
      <c r="B82" s="98">
        <f t="shared" ref="B82:AF82" si="13">B81-B89</f>
        <v>933.94</v>
      </c>
      <c r="C82" s="98">
        <f t="shared" si="13"/>
        <v>1031.1399999999999</v>
      </c>
      <c r="D82" s="98">
        <f t="shared" si="13"/>
        <v>976.44</v>
      </c>
      <c r="E82" s="98">
        <f t="shared" si="13"/>
        <v>952.74</v>
      </c>
      <c r="F82" s="98">
        <f t="shared" si="13"/>
        <v>950.24</v>
      </c>
      <c r="G82" s="98">
        <f t="shared" si="13"/>
        <v>957.24</v>
      </c>
      <c r="H82" s="98">
        <f t="shared" si="13"/>
        <v>957.6400000000001</v>
      </c>
      <c r="I82" s="98">
        <f t="shared" si="13"/>
        <v>974.74</v>
      </c>
      <c r="J82" s="98">
        <f t="shared" si="13"/>
        <v>1006.3400000000001</v>
      </c>
      <c r="K82" s="98">
        <f t="shared" si="13"/>
        <v>1038.8400000000001</v>
      </c>
      <c r="L82" s="98">
        <f t="shared" si="13"/>
        <v>1063.04</v>
      </c>
      <c r="M82" s="98">
        <f t="shared" si="13"/>
        <v>1109.3400000000001</v>
      </c>
      <c r="N82" s="98">
        <f t="shared" si="13"/>
        <v>1119.74</v>
      </c>
      <c r="O82" s="98">
        <f t="shared" si="13"/>
        <v>1160.74</v>
      </c>
      <c r="P82" s="98">
        <f t="shared" si="13"/>
        <v>1166.44</v>
      </c>
      <c r="Q82" s="98">
        <f t="shared" si="13"/>
        <v>1171.2399999999998</v>
      </c>
      <c r="R82" s="98">
        <f t="shared" si="13"/>
        <v>1120.94</v>
      </c>
      <c r="S82" s="98">
        <f t="shared" si="13"/>
        <v>1105.9399999999998</v>
      </c>
      <c r="T82" s="98">
        <f t="shared" si="13"/>
        <v>1281.1400000000001</v>
      </c>
      <c r="U82" s="98">
        <f t="shared" si="13"/>
        <v>1188.1399999999999</v>
      </c>
      <c r="V82" s="98">
        <f t="shared" si="13"/>
        <v>1196.1399999999999</v>
      </c>
      <c r="W82" s="98">
        <f t="shared" si="13"/>
        <v>1196.3399999999999</v>
      </c>
      <c r="X82" s="98">
        <f t="shared" si="13"/>
        <v>1333.65</v>
      </c>
      <c r="Y82" s="98">
        <f t="shared" si="13"/>
        <v>1214.24</v>
      </c>
      <c r="Z82" s="98">
        <f t="shared" si="13"/>
        <v>1198.4399999999998</v>
      </c>
      <c r="AA82" s="98">
        <f t="shared" si="13"/>
        <v>1287.04</v>
      </c>
      <c r="AB82" s="98">
        <f t="shared" si="13"/>
        <v>1221.6400000000001</v>
      </c>
      <c r="AC82" s="98">
        <f t="shared" si="13"/>
        <v>1167.8400000000001</v>
      </c>
      <c r="AD82" s="98">
        <f t="shared" si="13"/>
        <v>1132.1399999999999</v>
      </c>
      <c r="AE82" s="98">
        <f t="shared" si="13"/>
        <v>1059.04</v>
      </c>
      <c r="AF82" s="98">
        <f t="shared" si="13"/>
        <v>1052.8400000000001</v>
      </c>
      <c r="AG82" s="85"/>
      <c r="AH82" s="20">
        <f t="shared" si="9"/>
        <v>1333.65</v>
      </c>
      <c r="AI82" s="19">
        <f t="shared" si="10"/>
        <v>933.94</v>
      </c>
    </row>
    <row r="83" spans="1:37" x14ac:dyDescent="0.25">
      <c r="A83" s="97" t="s">
        <v>156</v>
      </c>
      <c r="B83" s="93">
        <f t="shared" ref="B83:AF83" si="14">IF(B66&lt;0,B66*-1,0)</f>
        <v>0</v>
      </c>
      <c r="C83" s="93">
        <f t="shared" si="14"/>
        <v>0</v>
      </c>
      <c r="D83" s="93">
        <f t="shared" si="14"/>
        <v>0</v>
      </c>
      <c r="E83" s="93">
        <f t="shared" si="14"/>
        <v>0</v>
      </c>
      <c r="F83" s="93">
        <f t="shared" si="14"/>
        <v>0</v>
      </c>
      <c r="G83" s="93">
        <f t="shared" si="14"/>
        <v>0</v>
      </c>
      <c r="H83" s="93">
        <f t="shared" si="14"/>
        <v>0</v>
      </c>
      <c r="I83" s="93">
        <f t="shared" si="14"/>
        <v>0</v>
      </c>
      <c r="J83" s="93">
        <f t="shared" si="14"/>
        <v>0</v>
      </c>
      <c r="K83" s="93">
        <f t="shared" si="14"/>
        <v>0</v>
      </c>
      <c r="L83" s="93">
        <f t="shared" si="14"/>
        <v>0</v>
      </c>
      <c r="M83" s="93">
        <f t="shared" si="14"/>
        <v>0</v>
      </c>
      <c r="N83" s="93">
        <f t="shared" si="14"/>
        <v>0</v>
      </c>
      <c r="O83" s="93">
        <f t="shared" si="14"/>
        <v>0</v>
      </c>
      <c r="P83" s="93">
        <f t="shared" si="14"/>
        <v>0</v>
      </c>
      <c r="Q83" s="93">
        <f t="shared" si="14"/>
        <v>0</v>
      </c>
      <c r="R83" s="93">
        <f t="shared" si="14"/>
        <v>0</v>
      </c>
      <c r="S83" s="93">
        <f t="shared" si="14"/>
        <v>0</v>
      </c>
      <c r="T83" s="93">
        <f t="shared" si="14"/>
        <v>0</v>
      </c>
      <c r="U83" s="93">
        <f t="shared" si="14"/>
        <v>0</v>
      </c>
      <c r="V83" s="93">
        <f t="shared" si="14"/>
        <v>0</v>
      </c>
      <c r="W83" s="93">
        <f t="shared" si="14"/>
        <v>0</v>
      </c>
      <c r="X83" s="93">
        <f t="shared" si="14"/>
        <v>0</v>
      </c>
      <c r="Y83" s="93">
        <f t="shared" si="14"/>
        <v>0</v>
      </c>
      <c r="Z83" s="93">
        <f t="shared" si="14"/>
        <v>0</v>
      </c>
      <c r="AA83" s="93">
        <f t="shared" si="14"/>
        <v>0</v>
      </c>
      <c r="AB83" s="93">
        <f t="shared" si="14"/>
        <v>0</v>
      </c>
      <c r="AC83" s="93">
        <f t="shared" si="14"/>
        <v>0</v>
      </c>
      <c r="AD83" s="93">
        <f t="shared" si="14"/>
        <v>0</v>
      </c>
      <c r="AE83" s="93">
        <f t="shared" si="14"/>
        <v>0</v>
      </c>
      <c r="AF83" s="93">
        <f t="shared" si="14"/>
        <v>0</v>
      </c>
      <c r="AG83" s="96"/>
      <c r="AH83" s="20">
        <f t="shared" si="9"/>
        <v>0</v>
      </c>
      <c r="AI83" s="19">
        <f t="shared" si="10"/>
        <v>0</v>
      </c>
    </row>
    <row r="84" spans="1:37" x14ac:dyDescent="0.25">
      <c r="A84" s="95" t="s">
        <v>155</v>
      </c>
      <c r="B84" s="93">
        <f t="shared" ref="B84:AF84" si="15">IF(B64&lt;0,B64*-1,0)</f>
        <v>0</v>
      </c>
      <c r="C84" s="93">
        <f t="shared" si="15"/>
        <v>0</v>
      </c>
      <c r="D84" s="93">
        <f t="shared" si="15"/>
        <v>0</v>
      </c>
      <c r="E84" s="93">
        <f t="shared" si="15"/>
        <v>0</v>
      </c>
      <c r="F84" s="93">
        <f t="shared" si="15"/>
        <v>0</v>
      </c>
      <c r="G84" s="93">
        <f t="shared" si="15"/>
        <v>0</v>
      </c>
      <c r="H84" s="93">
        <f t="shared" si="15"/>
        <v>0</v>
      </c>
      <c r="I84" s="93">
        <f t="shared" si="15"/>
        <v>0</v>
      </c>
      <c r="J84" s="93">
        <f t="shared" si="15"/>
        <v>0</v>
      </c>
      <c r="K84" s="93">
        <f t="shared" si="15"/>
        <v>0</v>
      </c>
      <c r="L84" s="93">
        <f t="shared" si="15"/>
        <v>0</v>
      </c>
      <c r="M84" s="93">
        <f t="shared" si="15"/>
        <v>0</v>
      </c>
      <c r="N84" s="93">
        <f t="shared" si="15"/>
        <v>0</v>
      </c>
      <c r="O84" s="93">
        <f t="shared" si="15"/>
        <v>0</v>
      </c>
      <c r="P84" s="93">
        <f t="shared" si="15"/>
        <v>0</v>
      </c>
      <c r="Q84" s="93">
        <f t="shared" si="15"/>
        <v>0</v>
      </c>
      <c r="R84" s="93">
        <f t="shared" si="15"/>
        <v>0</v>
      </c>
      <c r="S84" s="93">
        <f t="shared" si="15"/>
        <v>0</v>
      </c>
      <c r="T84" s="93">
        <f t="shared" si="15"/>
        <v>0</v>
      </c>
      <c r="U84" s="93">
        <f t="shared" si="15"/>
        <v>0</v>
      </c>
      <c r="V84" s="93">
        <f t="shared" si="15"/>
        <v>0</v>
      </c>
      <c r="W84" s="93">
        <f t="shared" si="15"/>
        <v>0</v>
      </c>
      <c r="X84" s="93">
        <f t="shared" si="15"/>
        <v>0</v>
      </c>
      <c r="Y84" s="93">
        <f t="shared" si="15"/>
        <v>0</v>
      </c>
      <c r="Z84" s="93">
        <f t="shared" si="15"/>
        <v>0</v>
      </c>
      <c r="AA84" s="93">
        <f t="shared" si="15"/>
        <v>0</v>
      </c>
      <c r="AB84" s="93">
        <f t="shared" si="15"/>
        <v>0</v>
      </c>
      <c r="AC84" s="93">
        <f t="shared" si="15"/>
        <v>0</v>
      </c>
      <c r="AD84" s="93">
        <f t="shared" si="15"/>
        <v>0</v>
      </c>
      <c r="AE84" s="93">
        <f t="shared" si="15"/>
        <v>0</v>
      </c>
      <c r="AF84" s="93">
        <f t="shared" si="15"/>
        <v>0</v>
      </c>
      <c r="AG84" s="94"/>
      <c r="AH84" s="20">
        <f t="shared" si="9"/>
        <v>0</v>
      </c>
      <c r="AI84" s="19">
        <f t="shared" si="10"/>
        <v>0</v>
      </c>
    </row>
    <row r="85" spans="1:37" x14ac:dyDescent="0.25">
      <c r="A85" s="91" t="s">
        <v>154</v>
      </c>
      <c r="B85" s="93">
        <f t="shared" ref="B85:AF85" si="16">IF(B67&lt;0,B67*-1,0)</f>
        <v>0</v>
      </c>
      <c r="C85" s="93">
        <f t="shared" si="16"/>
        <v>0</v>
      </c>
      <c r="D85" s="93">
        <f t="shared" si="16"/>
        <v>0</v>
      </c>
      <c r="E85" s="93">
        <f t="shared" si="16"/>
        <v>0</v>
      </c>
      <c r="F85" s="93">
        <f t="shared" si="16"/>
        <v>0</v>
      </c>
      <c r="G85" s="93">
        <f t="shared" si="16"/>
        <v>0</v>
      </c>
      <c r="H85" s="93">
        <f t="shared" si="16"/>
        <v>0</v>
      </c>
      <c r="I85" s="93">
        <f t="shared" si="16"/>
        <v>0</v>
      </c>
      <c r="J85" s="93">
        <f t="shared" si="16"/>
        <v>0</v>
      </c>
      <c r="K85" s="93">
        <f t="shared" si="16"/>
        <v>0</v>
      </c>
      <c r="L85" s="93">
        <f t="shared" si="16"/>
        <v>0</v>
      </c>
      <c r="M85" s="93">
        <f t="shared" si="16"/>
        <v>0</v>
      </c>
      <c r="N85" s="93">
        <f t="shared" si="16"/>
        <v>0</v>
      </c>
      <c r="O85" s="93">
        <f t="shared" si="16"/>
        <v>0</v>
      </c>
      <c r="P85" s="93">
        <f t="shared" si="16"/>
        <v>0</v>
      </c>
      <c r="Q85" s="93">
        <f t="shared" si="16"/>
        <v>0</v>
      </c>
      <c r="R85" s="93">
        <f t="shared" si="16"/>
        <v>0</v>
      </c>
      <c r="S85" s="93">
        <f t="shared" si="16"/>
        <v>0</v>
      </c>
      <c r="T85" s="93">
        <f t="shared" si="16"/>
        <v>0</v>
      </c>
      <c r="U85" s="93">
        <f t="shared" si="16"/>
        <v>0</v>
      </c>
      <c r="V85" s="93">
        <f t="shared" si="16"/>
        <v>0</v>
      </c>
      <c r="W85" s="93">
        <f t="shared" si="16"/>
        <v>0</v>
      </c>
      <c r="X85" s="93">
        <f t="shared" si="16"/>
        <v>0</v>
      </c>
      <c r="Y85" s="93">
        <f t="shared" si="16"/>
        <v>0</v>
      </c>
      <c r="Z85" s="93">
        <f t="shared" si="16"/>
        <v>0</v>
      </c>
      <c r="AA85" s="93">
        <f t="shared" si="16"/>
        <v>0</v>
      </c>
      <c r="AB85" s="93">
        <f t="shared" si="16"/>
        <v>0</v>
      </c>
      <c r="AC85" s="93">
        <f t="shared" si="16"/>
        <v>0</v>
      </c>
      <c r="AD85" s="93">
        <f t="shared" si="16"/>
        <v>0</v>
      </c>
      <c r="AE85" s="93">
        <f t="shared" si="16"/>
        <v>0</v>
      </c>
      <c r="AF85" s="93">
        <f t="shared" si="16"/>
        <v>0</v>
      </c>
      <c r="AG85" s="92"/>
      <c r="AH85" s="20">
        <f t="shared" si="9"/>
        <v>0</v>
      </c>
      <c r="AI85" s="19">
        <f t="shared" si="10"/>
        <v>0</v>
      </c>
    </row>
    <row r="86" spans="1:37" x14ac:dyDescent="0.25">
      <c r="A86" s="91" t="s">
        <v>153</v>
      </c>
      <c r="B86" s="93">
        <f t="shared" ref="B86:AF86" si="17">IF(B65&lt;0,B65*-1,0)</f>
        <v>410</v>
      </c>
      <c r="C86" s="93">
        <f t="shared" si="17"/>
        <v>389</v>
      </c>
      <c r="D86" s="93">
        <f t="shared" si="17"/>
        <v>414</v>
      </c>
      <c r="E86" s="93">
        <f t="shared" si="17"/>
        <v>435</v>
      </c>
      <c r="F86" s="93">
        <f t="shared" si="17"/>
        <v>422</v>
      </c>
      <c r="G86" s="93">
        <f t="shared" si="17"/>
        <v>415</v>
      </c>
      <c r="H86" s="93">
        <f t="shared" si="17"/>
        <v>366</v>
      </c>
      <c r="I86" s="93">
        <f t="shared" si="17"/>
        <v>423</v>
      </c>
      <c r="J86" s="93">
        <f t="shared" si="17"/>
        <v>417</v>
      </c>
      <c r="K86" s="93">
        <f t="shared" si="17"/>
        <v>423</v>
      </c>
      <c r="L86" s="93">
        <f t="shared" si="17"/>
        <v>407</v>
      </c>
      <c r="M86" s="93">
        <f t="shared" si="17"/>
        <v>389</v>
      </c>
      <c r="N86" s="93">
        <f t="shared" si="17"/>
        <v>385.3</v>
      </c>
      <c r="O86" s="93">
        <f t="shared" si="17"/>
        <v>367.7</v>
      </c>
      <c r="P86" s="93">
        <f t="shared" si="17"/>
        <v>407</v>
      </c>
      <c r="Q86" s="93">
        <f t="shared" si="17"/>
        <v>402.1</v>
      </c>
      <c r="R86" s="93">
        <f t="shared" si="17"/>
        <v>375</v>
      </c>
      <c r="S86" s="93">
        <f t="shared" si="17"/>
        <v>397</v>
      </c>
      <c r="T86" s="93">
        <f t="shared" si="17"/>
        <v>275</v>
      </c>
      <c r="U86" s="93">
        <f t="shared" si="17"/>
        <v>382</v>
      </c>
      <c r="V86" s="93">
        <f t="shared" si="17"/>
        <v>374</v>
      </c>
      <c r="W86" s="93">
        <f t="shared" si="17"/>
        <v>322</v>
      </c>
      <c r="X86" s="93">
        <f t="shared" si="17"/>
        <v>225</v>
      </c>
      <c r="Y86" s="93">
        <f t="shared" si="17"/>
        <v>254</v>
      </c>
      <c r="Z86" s="93">
        <f t="shared" si="17"/>
        <v>374</v>
      </c>
      <c r="AA86" s="93">
        <f t="shared" si="17"/>
        <v>400</v>
      </c>
      <c r="AB86" s="93">
        <f t="shared" si="17"/>
        <v>425</v>
      </c>
      <c r="AC86" s="93">
        <f t="shared" si="17"/>
        <v>436</v>
      </c>
      <c r="AD86" s="93">
        <f t="shared" si="17"/>
        <v>386</v>
      </c>
      <c r="AE86" s="93">
        <f t="shared" si="17"/>
        <v>415</v>
      </c>
      <c r="AF86" s="93">
        <f t="shared" si="17"/>
        <v>412.4</v>
      </c>
      <c r="AG86" s="92"/>
      <c r="AH86" s="20">
        <f t="shared" si="9"/>
        <v>436</v>
      </c>
      <c r="AI86" s="19">
        <f t="shared" si="10"/>
        <v>225</v>
      </c>
    </row>
    <row r="87" spans="1:37" x14ac:dyDescent="0.25">
      <c r="A87" s="91" t="s">
        <v>152</v>
      </c>
      <c r="B87" s="93">
        <f t="shared" ref="B87:AF87" si="18">IF(B63&lt;0,B63*-1,0)</f>
        <v>0</v>
      </c>
      <c r="C87" s="93">
        <f t="shared" si="18"/>
        <v>0</v>
      </c>
      <c r="D87" s="93">
        <f t="shared" si="18"/>
        <v>0</v>
      </c>
      <c r="E87" s="93">
        <f t="shared" si="18"/>
        <v>0</v>
      </c>
      <c r="F87" s="93">
        <f t="shared" si="18"/>
        <v>0</v>
      </c>
      <c r="G87" s="93">
        <f t="shared" si="18"/>
        <v>0</v>
      </c>
      <c r="H87" s="93">
        <f t="shared" si="18"/>
        <v>0</v>
      </c>
      <c r="I87" s="93">
        <f t="shared" si="18"/>
        <v>0</v>
      </c>
      <c r="J87" s="93">
        <f t="shared" si="18"/>
        <v>0</v>
      </c>
      <c r="K87" s="93">
        <f t="shared" si="18"/>
        <v>0</v>
      </c>
      <c r="L87" s="93">
        <f t="shared" si="18"/>
        <v>0</v>
      </c>
      <c r="M87" s="93">
        <f t="shared" si="18"/>
        <v>0</v>
      </c>
      <c r="N87" s="93">
        <f t="shared" si="18"/>
        <v>0</v>
      </c>
      <c r="O87" s="93">
        <f t="shared" si="18"/>
        <v>0</v>
      </c>
      <c r="P87" s="93">
        <f t="shared" si="18"/>
        <v>0</v>
      </c>
      <c r="Q87" s="93">
        <f t="shared" si="18"/>
        <v>0</v>
      </c>
      <c r="R87" s="93">
        <f t="shared" si="18"/>
        <v>0</v>
      </c>
      <c r="S87" s="93">
        <f t="shared" si="18"/>
        <v>0</v>
      </c>
      <c r="T87" s="93">
        <f t="shared" si="18"/>
        <v>0</v>
      </c>
      <c r="U87" s="93">
        <f t="shared" si="18"/>
        <v>0</v>
      </c>
      <c r="V87" s="93">
        <f t="shared" si="18"/>
        <v>0</v>
      </c>
      <c r="W87" s="93">
        <f t="shared" si="18"/>
        <v>0</v>
      </c>
      <c r="X87" s="93">
        <f t="shared" si="18"/>
        <v>0</v>
      </c>
      <c r="Y87" s="93">
        <f t="shared" si="18"/>
        <v>0</v>
      </c>
      <c r="Z87" s="93">
        <f t="shared" si="18"/>
        <v>0</v>
      </c>
      <c r="AA87" s="93">
        <f t="shared" si="18"/>
        <v>0</v>
      </c>
      <c r="AB87" s="93">
        <f t="shared" si="18"/>
        <v>0</v>
      </c>
      <c r="AC87" s="93">
        <f t="shared" si="18"/>
        <v>0</v>
      </c>
      <c r="AD87" s="93">
        <f t="shared" si="18"/>
        <v>0</v>
      </c>
      <c r="AE87" s="93">
        <f t="shared" si="18"/>
        <v>0</v>
      </c>
      <c r="AF87" s="93">
        <f t="shared" si="18"/>
        <v>0</v>
      </c>
      <c r="AG87" s="92"/>
      <c r="AH87" s="20">
        <f t="shared" si="9"/>
        <v>0</v>
      </c>
      <c r="AI87" s="19">
        <f t="shared" si="10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9"/>
        <v>0</v>
      </c>
      <c r="AI88" s="19">
        <f t="shared" si="10"/>
        <v>0</v>
      </c>
    </row>
    <row r="89" spans="1:37" ht="15.75" thickBot="1" x14ac:dyDescent="0.3">
      <c r="A89" s="88" t="s">
        <v>150</v>
      </c>
      <c r="B89" s="86">
        <f t="shared" ref="B89:AF89" si="19">SUM(B83:B88)</f>
        <v>410</v>
      </c>
      <c r="C89" s="86">
        <f t="shared" si="19"/>
        <v>389</v>
      </c>
      <c r="D89" s="86">
        <f t="shared" si="19"/>
        <v>414</v>
      </c>
      <c r="E89" s="86">
        <f t="shared" si="19"/>
        <v>435</v>
      </c>
      <c r="F89" s="86">
        <f t="shared" si="19"/>
        <v>422</v>
      </c>
      <c r="G89" s="86">
        <f t="shared" si="19"/>
        <v>415</v>
      </c>
      <c r="H89" s="86">
        <f t="shared" si="19"/>
        <v>366</v>
      </c>
      <c r="I89" s="86">
        <f t="shared" si="19"/>
        <v>423</v>
      </c>
      <c r="J89" s="86">
        <f t="shared" si="19"/>
        <v>417</v>
      </c>
      <c r="K89" s="86">
        <f t="shared" si="19"/>
        <v>423</v>
      </c>
      <c r="L89" s="86">
        <f t="shared" si="19"/>
        <v>407</v>
      </c>
      <c r="M89" s="86">
        <f t="shared" si="19"/>
        <v>389</v>
      </c>
      <c r="N89" s="86">
        <f t="shared" si="19"/>
        <v>385.3</v>
      </c>
      <c r="O89" s="86">
        <f t="shared" si="19"/>
        <v>367.7</v>
      </c>
      <c r="P89" s="86">
        <f t="shared" si="19"/>
        <v>407</v>
      </c>
      <c r="Q89" s="86">
        <f t="shared" si="19"/>
        <v>402.1</v>
      </c>
      <c r="R89" s="86">
        <f t="shared" si="19"/>
        <v>375</v>
      </c>
      <c r="S89" s="86">
        <f t="shared" si="19"/>
        <v>397</v>
      </c>
      <c r="T89" s="86">
        <f t="shared" si="19"/>
        <v>275</v>
      </c>
      <c r="U89" s="86">
        <f t="shared" si="19"/>
        <v>382</v>
      </c>
      <c r="V89" s="86">
        <f t="shared" si="19"/>
        <v>374</v>
      </c>
      <c r="W89" s="86">
        <f t="shared" si="19"/>
        <v>322</v>
      </c>
      <c r="X89" s="86">
        <f t="shared" si="19"/>
        <v>225</v>
      </c>
      <c r="Y89" s="86">
        <f t="shared" si="19"/>
        <v>254</v>
      </c>
      <c r="Z89" s="86">
        <f t="shared" si="19"/>
        <v>374</v>
      </c>
      <c r="AA89" s="86">
        <f t="shared" si="19"/>
        <v>400</v>
      </c>
      <c r="AB89" s="86">
        <f t="shared" si="19"/>
        <v>425</v>
      </c>
      <c r="AC89" s="86">
        <f t="shared" si="19"/>
        <v>436</v>
      </c>
      <c r="AD89" s="86">
        <f t="shared" si="19"/>
        <v>386</v>
      </c>
      <c r="AE89" s="86">
        <f t="shared" si="19"/>
        <v>415</v>
      </c>
      <c r="AF89" s="86">
        <f t="shared" si="19"/>
        <v>412.4</v>
      </c>
      <c r="AG89" s="85"/>
      <c r="AH89" s="20">
        <f t="shared" si="9"/>
        <v>436</v>
      </c>
      <c r="AI89" s="19">
        <f t="shared" si="10"/>
        <v>225</v>
      </c>
      <c r="AK89" s="41"/>
    </row>
    <row r="90" spans="1:37" ht="15.75" thickBot="1" x14ac:dyDescent="0.3">
      <c r="A90" s="87" t="s">
        <v>149</v>
      </c>
      <c r="B90" s="86">
        <f t="shared" ref="B90:AF90" si="20">B74-B89</f>
        <v>-410</v>
      </c>
      <c r="C90" s="86">
        <f t="shared" si="20"/>
        <v>-389</v>
      </c>
      <c r="D90" s="86">
        <f t="shared" si="20"/>
        <v>-414</v>
      </c>
      <c r="E90" s="86">
        <f t="shared" si="20"/>
        <v>-435</v>
      </c>
      <c r="F90" s="86">
        <f t="shared" si="20"/>
        <v>-422</v>
      </c>
      <c r="G90" s="86">
        <f t="shared" si="20"/>
        <v>-415</v>
      </c>
      <c r="H90" s="86">
        <f t="shared" si="20"/>
        <v>-366</v>
      </c>
      <c r="I90" s="86">
        <f t="shared" si="20"/>
        <v>-423</v>
      </c>
      <c r="J90" s="86">
        <f t="shared" si="20"/>
        <v>-417</v>
      </c>
      <c r="K90" s="86">
        <f t="shared" si="20"/>
        <v>-423</v>
      </c>
      <c r="L90" s="86">
        <f t="shared" si="20"/>
        <v>-407</v>
      </c>
      <c r="M90" s="86">
        <f t="shared" si="20"/>
        <v>-389</v>
      </c>
      <c r="N90" s="86">
        <f t="shared" si="20"/>
        <v>-385.3</v>
      </c>
      <c r="O90" s="86">
        <f t="shared" si="20"/>
        <v>-367.7</v>
      </c>
      <c r="P90" s="86">
        <f t="shared" si="20"/>
        <v>-407</v>
      </c>
      <c r="Q90" s="86">
        <f t="shared" si="20"/>
        <v>-402.1</v>
      </c>
      <c r="R90" s="86">
        <f t="shared" si="20"/>
        <v>-375</v>
      </c>
      <c r="S90" s="86">
        <f t="shared" si="20"/>
        <v>-397</v>
      </c>
      <c r="T90" s="86">
        <f t="shared" si="20"/>
        <v>-275</v>
      </c>
      <c r="U90" s="86">
        <f t="shared" si="20"/>
        <v>-382</v>
      </c>
      <c r="V90" s="86">
        <f t="shared" si="20"/>
        <v>-374</v>
      </c>
      <c r="W90" s="86">
        <f t="shared" si="20"/>
        <v>-322</v>
      </c>
      <c r="X90" s="86">
        <f t="shared" si="20"/>
        <v>-213.59</v>
      </c>
      <c r="Y90" s="86">
        <f t="shared" si="20"/>
        <v>-220</v>
      </c>
      <c r="Z90" s="86">
        <f t="shared" si="20"/>
        <v>-361</v>
      </c>
      <c r="AA90" s="86">
        <f t="shared" si="20"/>
        <v>-387</v>
      </c>
      <c r="AB90" s="86">
        <f t="shared" si="20"/>
        <v>-425</v>
      </c>
      <c r="AC90" s="86">
        <f t="shared" si="20"/>
        <v>-436</v>
      </c>
      <c r="AD90" s="86">
        <f t="shared" si="20"/>
        <v>-386</v>
      </c>
      <c r="AE90" s="86">
        <f t="shared" si="20"/>
        <v>-415</v>
      </c>
      <c r="AF90" s="86">
        <f t="shared" si="20"/>
        <v>-412.4</v>
      </c>
      <c r="AG90" s="85"/>
      <c r="AH90" s="20">
        <f t="shared" si="9"/>
        <v>-213.59</v>
      </c>
      <c r="AI90" s="19">
        <f t="shared" si="10"/>
        <v>-436</v>
      </c>
    </row>
    <row r="91" spans="1:37" x14ac:dyDescent="0.25">
      <c r="A91" s="47" t="s">
        <v>148</v>
      </c>
      <c r="B91" s="84">
        <v>49.976999999999997</v>
      </c>
      <c r="C91" s="84">
        <v>49.99</v>
      </c>
      <c r="D91" s="84">
        <v>49.99</v>
      </c>
      <c r="E91" s="84">
        <v>50</v>
      </c>
      <c r="F91" s="84">
        <v>49.9</v>
      </c>
      <c r="G91" s="84">
        <v>50.029000000000003</v>
      </c>
      <c r="H91" s="84">
        <v>50.030999999999999</v>
      </c>
      <c r="I91" s="84">
        <v>49.987000000000002</v>
      </c>
      <c r="J91" s="84">
        <v>49.975000000000001</v>
      </c>
      <c r="K91" s="84">
        <v>50</v>
      </c>
      <c r="L91" s="84">
        <v>50</v>
      </c>
      <c r="M91" s="84">
        <v>50.066000000000003</v>
      </c>
      <c r="N91" s="84">
        <v>50.026000000000003</v>
      </c>
      <c r="O91" s="84">
        <v>49.978000000000002</v>
      </c>
      <c r="P91" s="84">
        <v>50.051000000000002</v>
      </c>
      <c r="Q91" s="84">
        <v>49.99</v>
      </c>
      <c r="R91" s="84">
        <v>50.146000000000001</v>
      </c>
      <c r="S91" s="84">
        <v>50.064</v>
      </c>
      <c r="T91" s="84">
        <v>50.031999999999996</v>
      </c>
      <c r="U91" s="84">
        <v>49.960999999999999</v>
      </c>
      <c r="V91" s="84">
        <v>50</v>
      </c>
      <c r="W91" s="84">
        <v>50</v>
      </c>
      <c r="X91" s="84">
        <v>49.84</v>
      </c>
      <c r="Y91" s="84"/>
      <c r="Z91" s="84">
        <v>49.84</v>
      </c>
      <c r="AA91" s="84">
        <v>49.981999999999999</v>
      </c>
      <c r="AB91" s="84">
        <v>50.064999999999998</v>
      </c>
      <c r="AC91" s="84">
        <v>49.98</v>
      </c>
      <c r="AD91" s="84">
        <v>49.988</v>
      </c>
      <c r="AE91" s="84">
        <v>49.970999999999997</v>
      </c>
      <c r="AF91" s="84">
        <v>50.012999999999998</v>
      </c>
      <c r="AG91" s="83"/>
      <c r="AH91" s="20">
        <f t="shared" si="9"/>
        <v>50.146000000000001</v>
      </c>
      <c r="AI91" s="19">
        <f t="shared" si="10"/>
        <v>49.84</v>
      </c>
    </row>
    <row r="92" spans="1:37" x14ac:dyDescent="0.25">
      <c r="A92" s="44" t="s">
        <v>147</v>
      </c>
      <c r="B92" s="80">
        <v>128</v>
      </c>
      <c r="C92" s="80">
        <v>127</v>
      </c>
      <c r="D92" s="80">
        <v>127</v>
      </c>
      <c r="E92" s="80">
        <v>128</v>
      </c>
      <c r="F92" s="80">
        <v>128</v>
      </c>
      <c r="G92" s="80">
        <v>128</v>
      </c>
      <c r="H92" s="80">
        <v>128</v>
      </c>
      <c r="I92" s="80">
        <v>126</v>
      </c>
      <c r="J92" s="80">
        <v>125.8</v>
      </c>
      <c r="K92" s="80">
        <v>124.9</v>
      </c>
      <c r="L92" s="80">
        <v>125</v>
      </c>
      <c r="M92" s="80">
        <v>123.4</v>
      </c>
      <c r="N92" s="80">
        <v>123.9</v>
      </c>
      <c r="O92" s="80">
        <v>122.4</v>
      </c>
      <c r="P92" s="80">
        <v>123.2</v>
      </c>
      <c r="Q92" s="80">
        <v>123.2</v>
      </c>
      <c r="R92" s="80">
        <v>122.7</v>
      </c>
      <c r="S92" s="80">
        <v>125.5</v>
      </c>
      <c r="T92" s="80">
        <v>125.6</v>
      </c>
      <c r="U92" s="80">
        <v>123.5</v>
      </c>
      <c r="V92" s="80">
        <v>124</v>
      </c>
      <c r="W92" s="80">
        <v>123.3</v>
      </c>
      <c r="X92" s="80">
        <v>123</v>
      </c>
      <c r="Y92" s="80"/>
      <c r="Z92" s="80">
        <v>123</v>
      </c>
      <c r="AA92" s="80">
        <v>125.3</v>
      </c>
      <c r="AB92" s="80">
        <v>125.9</v>
      </c>
      <c r="AC92" s="80">
        <v>126.8</v>
      </c>
      <c r="AD92" s="80">
        <v>126.6</v>
      </c>
      <c r="AE92" s="80">
        <v>126.7</v>
      </c>
      <c r="AF92" s="80">
        <v>126.1</v>
      </c>
      <c r="AG92" s="79"/>
      <c r="AH92" s="20">
        <f t="shared" si="9"/>
        <v>128</v>
      </c>
      <c r="AI92" s="19">
        <f t="shared" si="10"/>
        <v>122.4</v>
      </c>
    </row>
    <row r="93" spans="1:37" x14ac:dyDescent="0.25">
      <c r="A93" s="44" t="s">
        <v>146</v>
      </c>
      <c r="B93" s="80">
        <v>130.6</v>
      </c>
      <c r="C93" s="80">
        <v>131.4</v>
      </c>
      <c r="D93" s="80">
        <v>131.4</v>
      </c>
      <c r="E93" s="80">
        <v>132</v>
      </c>
      <c r="F93" s="80">
        <v>132</v>
      </c>
      <c r="G93" s="80">
        <v>132</v>
      </c>
      <c r="H93" s="80">
        <v>132</v>
      </c>
      <c r="I93" s="80">
        <v>130</v>
      </c>
      <c r="J93" s="80">
        <v>129</v>
      </c>
      <c r="K93" s="80">
        <v>127.6</v>
      </c>
      <c r="L93" s="80">
        <v>128</v>
      </c>
      <c r="M93" s="80">
        <v>126.5</v>
      </c>
      <c r="N93" s="80">
        <v>126.8</v>
      </c>
      <c r="O93" s="80">
        <v>126.5</v>
      </c>
      <c r="P93" s="80">
        <v>126.6</v>
      </c>
      <c r="Q93" s="80">
        <v>126.6</v>
      </c>
      <c r="R93" s="80">
        <v>127.5</v>
      </c>
      <c r="S93" s="80">
        <v>129.6</v>
      </c>
      <c r="T93" s="80">
        <v>129.6</v>
      </c>
      <c r="U93" s="80">
        <v>128.1</v>
      </c>
      <c r="V93" s="80">
        <v>128.19999999999999</v>
      </c>
      <c r="W93" s="80">
        <v>127.6</v>
      </c>
      <c r="X93" s="80">
        <v>127</v>
      </c>
      <c r="Y93" s="80"/>
      <c r="Z93" s="80">
        <v>127</v>
      </c>
      <c r="AA93" s="80">
        <v>129.19999999999999</v>
      </c>
      <c r="AB93" s="80">
        <v>129.9</v>
      </c>
      <c r="AC93" s="80">
        <v>130.69999999999999</v>
      </c>
      <c r="AD93" s="80">
        <v>131.1</v>
      </c>
      <c r="AE93" s="80">
        <v>131.30000000000001</v>
      </c>
      <c r="AF93" s="80">
        <v>126.1</v>
      </c>
      <c r="AG93" s="79"/>
      <c r="AH93" s="20">
        <f t="shared" si="9"/>
        <v>132</v>
      </c>
      <c r="AI93" s="19">
        <f t="shared" si="10"/>
        <v>126.1</v>
      </c>
    </row>
    <row r="94" spans="1:37" x14ac:dyDescent="0.25">
      <c r="A94" s="44" t="s">
        <v>145</v>
      </c>
      <c r="B94" s="80">
        <v>132.6</v>
      </c>
      <c r="C94" s="80">
        <v>132.1</v>
      </c>
      <c r="D94" s="80">
        <v>132.1</v>
      </c>
      <c r="E94" s="80">
        <v>131</v>
      </c>
      <c r="F94" s="80">
        <v>131</v>
      </c>
      <c r="G94" s="80">
        <v>131</v>
      </c>
      <c r="H94" s="80">
        <v>131</v>
      </c>
      <c r="I94" s="80">
        <v>129</v>
      </c>
      <c r="J94" s="80">
        <v>127.8</v>
      </c>
      <c r="K94" s="80">
        <v>126</v>
      </c>
      <c r="L94" s="80">
        <v>128</v>
      </c>
      <c r="M94" s="80">
        <v>127.5</v>
      </c>
      <c r="N94" s="80">
        <v>128</v>
      </c>
      <c r="O94" s="80">
        <v>126.7</v>
      </c>
      <c r="P94" s="80">
        <v>127.1</v>
      </c>
      <c r="Q94" s="80">
        <v>129.1</v>
      </c>
      <c r="R94" s="80">
        <v>128.30000000000001</v>
      </c>
      <c r="S94" s="80">
        <v>127.6</v>
      </c>
      <c r="T94" s="80">
        <v>124.1</v>
      </c>
      <c r="U94" s="80">
        <v>129.6</v>
      </c>
      <c r="V94" s="80">
        <v>130</v>
      </c>
      <c r="W94" s="80">
        <v>128.69999999999999</v>
      </c>
      <c r="X94" s="80">
        <v>127</v>
      </c>
      <c r="Y94" s="80"/>
      <c r="Z94" s="80">
        <v>127</v>
      </c>
      <c r="AA94" s="80">
        <v>129</v>
      </c>
      <c r="AB94" s="80">
        <v>128.4</v>
      </c>
      <c r="AC94" s="80">
        <v>128</v>
      </c>
      <c r="AD94" s="80">
        <v>129.69999999999999</v>
      </c>
      <c r="AE94" s="80">
        <v>129.5</v>
      </c>
      <c r="AF94" s="80">
        <v>129.9</v>
      </c>
      <c r="AG94" s="79"/>
      <c r="AH94" s="20">
        <f t="shared" si="9"/>
        <v>132.6</v>
      </c>
      <c r="AI94" s="19">
        <f t="shared" si="10"/>
        <v>124.1</v>
      </c>
    </row>
    <row r="95" spans="1:37" x14ac:dyDescent="0.25">
      <c r="A95" s="82" t="s">
        <v>144</v>
      </c>
      <c r="B95" s="80">
        <v>133.5</v>
      </c>
      <c r="C95" s="80">
        <v>132.19999999999999</v>
      </c>
      <c r="D95" s="80">
        <v>132.19999999999999</v>
      </c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79"/>
      <c r="AH95" s="20">
        <f t="shared" si="9"/>
        <v>133.5</v>
      </c>
      <c r="AI95" s="19">
        <f t="shared" si="10"/>
        <v>132.19999999999999</v>
      </c>
    </row>
    <row r="96" spans="1:37" x14ac:dyDescent="0.25">
      <c r="A96" s="82" t="s">
        <v>143</v>
      </c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>
        <v>132.30000000000001</v>
      </c>
      <c r="N96" s="66">
        <v>129</v>
      </c>
      <c r="O96" s="66">
        <v>129</v>
      </c>
      <c r="P96" s="66">
        <v>132.4</v>
      </c>
      <c r="Q96" s="66"/>
      <c r="R96" s="66">
        <v>132.1</v>
      </c>
      <c r="S96" s="66"/>
      <c r="T96" s="66"/>
      <c r="U96" s="66"/>
      <c r="V96" s="66"/>
      <c r="W96" s="66"/>
      <c r="X96" s="66"/>
      <c r="Y96" s="66"/>
      <c r="Z96" s="66"/>
      <c r="AA96" s="66"/>
      <c r="AB96" s="66">
        <v>133.30000000000001</v>
      </c>
      <c r="AC96" s="66">
        <v>135</v>
      </c>
      <c r="AD96" s="66">
        <v>133</v>
      </c>
      <c r="AE96" s="66">
        <v>135</v>
      </c>
      <c r="AF96" s="66">
        <v>133</v>
      </c>
      <c r="AG96" s="81"/>
      <c r="AH96" s="20">
        <f t="shared" si="9"/>
        <v>135</v>
      </c>
      <c r="AI96" s="19">
        <f t="shared" si="10"/>
        <v>129</v>
      </c>
    </row>
    <row r="97" spans="1:37" x14ac:dyDescent="0.25">
      <c r="A97" s="44" t="s">
        <v>142</v>
      </c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>
        <v>129.5</v>
      </c>
      <c r="Q97" s="80">
        <v>132</v>
      </c>
      <c r="R97" s="80">
        <v>132.6</v>
      </c>
      <c r="S97" s="80">
        <v>133.6</v>
      </c>
      <c r="T97" s="80">
        <v>125.8</v>
      </c>
      <c r="U97" s="80">
        <v>131</v>
      </c>
      <c r="V97" s="80">
        <v>136</v>
      </c>
      <c r="W97" s="80">
        <v>139</v>
      </c>
      <c r="X97" s="80">
        <v>134</v>
      </c>
      <c r="Y97" s="80"/>
      <c r="Z97" s="80">
        <v>134</v>
      </c>
      <c r="AA97" s="80">
        <v>133.4</v>
      </c>
      <c r="AB97" s="80">
        <v>131.30000000000001</v>
      </c>
      <c r="AC97" s="80">
        <v>136</v>
      </c>
      <c r="AD97" s="80">
        <v>132.5</v>
      </c>
      <c r="AE97" s="80">
        <v>134.5</v>
      </c>
      <c r="AF97" s="80">
        <v>133</v>
      </c>
      <c r="AG97" s="79"/>
      <c r="AH97" s="20">
        <f t="shared" si="9"/>
        <v>139</v>
      </c>
      <c r="AI97" s="19">
        <f t="shared" si="10"/>
        <v>125.8</v>
      </c>
    </row>
    <row r="98" spans="1:37" ht="15.75" thickBot="1" x14ac:dyDescent="0.3">
      <c r="A98" s="44" t="s">
        <v>141</v>
      </c>
      <c r="B98" s="77">
        <v>66.8</v>
      </c>
      <c r="C98" s="77">
        <v>66.7</v>
      </c>
      <c r="D98" s="77">
        <v>66.7</v>
      </c>
      <c r="E98" s="77">
        <v>67</v>
      </c>
      <c r="F98" s="77">
        <v>67</v>
      </c>
      <c r="G98" s="77">
        <v>67</v>
      </c>
      <c r="H98" s="77">
        <v>67</v>
      </c>
      <c r="I98" s="77">
        <v>65.7</v>
      </c>
      <c r="J98" s="77">
        <v>65.2</v>
      </c>
      <c r="K98" s="77">
        <v>64.2</v>
      </c>
      <c r="L98" s="77">
        <v>64.599999999999994</v>
      </c>
      <c r="M98" s="77">
        <v>63.5</v>
      </c>
      <c r="N98" s="77">
        <v>64</v>
      </c>
      <c r="O98" s="77">
        <v>63.6</v>
      </c>
      <c r="P98" s="77">
        <v>63.7</v>
      </c>
      <c r="Q98" s="77">
        <v>63.6</v>
      </c>
      <c r="R98" s="77">
        <v>63.9</v>
      </c>
      <c r="S98" s="77">
        <v>65.099999999999994</v>
      </c>
      <c r="T98" s="77">
        <v>65.2</v>
      </c>
      <c r="U98" s="77">
        <v>65</v>
      </c>
      <c r="V98" s="77">
        <v>64.400000000000006</v>
      </c>
      <c r="W98" s="77">
        <v>64.2</v>
      </c>
      <c r="X98" s="77">
        <v>64</v>
      </c>
      <c r="Y98" s="77"/>
      <c r="Z98" s="77">
        <v>64</v>
      </c>
      <c r="AA98" s="77">
        <v>65.3</v>
      </c>
      <c r="AB98" s="77">
        <v>65.400000000000006</v>
      </c>
      <c r="AC98" s="77">
        <v>66.2</v>
      </c>
      <c r="AD98" s="77">
        <v>66</v>
      </c>
      <c r="AE98" s="77">
        <v>66.2</v>
      </c>
      <c r="AF98" s="77">
        <v>66.400000000000006</v>
      </c>
      <c r="AG98" s="76"/>
      <c r="AH98" s="20">
        <f t="shared" si="9"/>
        <v>67</v>
      </c>
      <c r="AI98" s="19">
        <f t="shared" si="10"/>
        <v>63.5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9"/>
        <v>0</v>
      </c>
      <c r="AI99" s="19">
        <f t="shared" si="10"/>
        <v>0</v>
      </c>
    </row>
    <row r="100" spans="1:37" ht="15.75" thickBot="1" x14ac:dyDescent="0.3">
      <c r="A100" s="75" t="s">
        <v>140</v>
      </c>
      <c r="B100" s="74">
        <f t="shared" ref="B100:AF100" si="21">SUM(B15,B20,B22:B23,B48,B50:B51,B53,B55,B101:B105,B127,B133,B139,B148,B150,B162,B169,B172:B173,B180,B182,B184,B188:B190,B192:B194,B199,B205:B206,B208:B210,B218,B223)</f>
        <v>8.6999999999999975</v>
      </c>
      <c r="C100" s="74">
        <f t="shared" si="21"/>
        <v>11.53999999999999</v>
      </c>
      <c r="D100" s="74">
        <f t="shared" si="21"/>
        <v>30.84</v>
      </c>
      <c r="E100" s="74">
        <f t="shared" si="21"/>
        <v>24.940000000000023</v>
      </c>
      <c r="F100" s="74">
        <f t="shared" si="21"/>
        <v>31.740000000000002</v>
      </c>
      <c r="G100" s="74">
        <f t="shared" si="21"/>
        <v>46.44</v>
      </c>
      <c r="H100" s="74">
        <f t="shared" si="21"/>
        <v>58.939999999999991</v>
      </c>
      <c r="I100" s="74">
        <f t="shared" si="21"/>
        <v>85.74</v>
      </c>
      <c r="J100" s="74">
        <f t="shared" si="21"/>
        <v>117.74000000000001</v>
      </c>
      <c r="K100" s="74">
        <f t="shared" si="21"/>
        <v>133.54</v>
      </c>
      <c r="L100" s="74">
        <f t="shared" si="21"/>
        <v>144.44</v>
      </c>
      <c r="M100" s="74">
        <f t="shared" si="21"/>
        <v>158.33999999999997</v>
      </c>
      <c r="N100" s="74">
        <f t="shared" si="21"/>
        <v>153.23999999999998</v>
      </c>
      <c r="O100" s="74">
        <f t="shared" si="21"/>
        <v>154.24</v>
      </c>
      <c r="P100" s="74">
        <f t="shared" si="21"/>
        <v>153.74000000000004</v>
      </c>
      <c r="Q100" s="74">
        <f t="shared" si="21"/>
        <v>140.69999999999999</v>
      </c>
      <c r="R100" s="74">
        <f t="shared" si="21"/>
        <v>138</v>
      </c>
      <c r="S100" s="74">
        <f t="shared" si="21"/>
        <v>149.30000000000001</v>
      </c>
      <c r="T100" s="74">
        <f t="shared" si="21"/>
        <v>159.79999999999998</v>
      </c>
      <c r="U100" s="74">
        <f t="shared" si="21"/>
        <v>168.2</v>
      </c>
      <c r="V100" s="74">
        <f t="shared" si="21"/>
        <v>187.1</v>
      </c>
      <c r="W100" s="74">
        <f t="shared" si="21"/>
        <v>202.6</v>
      </c>
      <c r="X100" s="74">
        <f t="shared" si="21"/>
        <v>247.39999999999998</v>
      </c>
      <c r="Y100" s="74">
        <f t="shared" si="21"/>
        <v>136.19999999999999</v>
      </c>
      <c r="Z100" s="74">
        <f t="shared" si="21"/>
        <v>272.39999999999998</v>
      </c>
      <c r="AA100" s="74">
        <f t="shared" si="21"/>
        <v>212.39999999999998</v>
      </c>
      <c r="AB100" s="74">
        <f t="shared" si="21"/>
        <v>160.49999999999994</v>
      </c>
      <c r="AC100" s="74">
        <f t="shared" si="21"/>
        <v>153.79999999999998</v>
      </c>
      <c r="AD100" s="74">
        <f t="shared" si="21"/>
        <v>102.70000000000003</v>
      </c>
      <c r="AE100" s="74">
        <f t="shared" si="21"/>
        <v>78.099999999999994</v>
      </c>
      <c r="AF100" s="74">
        <f t="shared" si="21"/>
        <v>60.499999999999986</v>
      </c>
      <c r="AG100" s="73"/>
      <c r="AH100" s="20">
        <f t="shared" si="9"/>
        <v>272.39999999999998</v>
      </c>
      <c r="AI100" s="19">
        <f t="shared" si="10"/>
        <v>8.6999999999999975</v>
      </c>
    </row>
    <row r="101" spans="1:37" x14ac:dyDescent="0.25">
      <c r="A101" s="47" t="s">
        <v>139</v>
      </c>
      <c r="B101" s="72">
        <v>9.6</v>
      </c>
      <c r="C101" s="72">
        <v>13</v>
      </c>
      <c r="D101" s="72">
        <v>13</v>
      </c>
      <c r="E101" s="72">
        <v>16.600000000000001</v>
      </c>
      <c r="F101" s="72">
        <v>18</v>
      </c>
      <c r="G101" s="72">
        <v>21.9</v>
      </c>
      <c r="H101" s="72">
        <v>23.5</v>
      </c>
      <c r="I101" s="72">
        <v>24.5</v>
      </c>
      <c r="J101" s="72">
        <v>22.5</v>
      </c>
      <c r="K101" s="72">
        <v>22.7</v>
      </c>
      <c r="L101" s="72">
        <v>24.7</v>
      </c>
      <c r="M101" s="72">
        <v>19.5</v>
      </c>
      <c r="N101" s="72">
        <v>24.4</v>
      </c>
      <c r="O101" s="72">
        <v>23.1</v>
      </c>
      <c r="P101" s="72">
        <v>27.1</v>
      </c>
      <c r="Q101" s="72">
        <v>30.3</v>
      </c>
      <c r="R101" s="72">
        <v>29.4</v>
      </c>
      <c r="S101" s="72">
        <v>27.8</v>
      </c>
      <c r="T101" s="72">
        <v>30.5</v>
      </c>
      <c r="U101" s="72">
        <v>26</v>
      </c>
      <c r="V101" s="72">
        <v>20.100000000000001</v>
      </c>
      <c r="W101" s="72">
        <v>21.6</v>
      </c>
      <c r="X101" s="72">
        <v>27</v>
      </c>
      <c r="Y101" s="72"/>
      <c r="Z101" s="72">
        <v>27</v>
      </c>
      <c r="AA101" s="72">
        <v>42</v>
      </c>
      <c r="AB101" s="72">
        <v>36.1</v>
      </c>
      <c r="AC101" s="72">
        <v>26.7</v>
      </c>
      <c r="AD101" s="72">
        <v>26.8</v>
      </c>
      <c r="AE101" s="72">
        <v>33.700000000000003</v>
      </c>
      <c r="AF101" s="72">
        <v>24.6</v>
      </c>
      <c r="AG101" s="70">
        <v>75</v>
      </c>
      <c r="AH101" s="20">
        <f t="shared" si="9"/>
        <v>42</v>
      </c>
      <c r="AI101" s="19">
        <f t="shared" si="10"/>
        <v>9.6</v>
      </c>
    </row>
    <row r="102" spans="1:37" x14ac:dyDescent="0.25">
      <c r="A102" s="44" t="s">
        <v>138</v>
      </c>
      <c r="B102" s="71">
        <v>25.7</v>
      </c>
      <c r="C102" s="71">
        <v>31.9</v>
      </c>
      <c r="D102" s="71">
        <v>31.9</v>
      </c>
      <c r="E102" s="71">
        <v>36.200000000000003</v>
      </c>
      <c r="F102" s="71">
        <v>37</v>
      </c>
      <c r="G102" s="71">
        <v>38.6</v>
      </c>
      <c r="H102" s="71">
        <v>40.6</v>
      </c>
      <c r="I102" s="71">
        <v>41.2</v>
      </c>
      <c r="J102" s="71">
        <v>38.299999999999997</v>
      </c>
      <c r="K102" s="71">
        <v>41.9</v>
      </c>
      <c r="L102" s="71">
        <v>44.3</v>
      </c>
      <c r="M102" s="71">
        <v>37.200000000000003</v>
      </c>
      <c r="N102" s="71">
        <v>44.1</v>
      </c>
      <c r="O102" s="71">
        <v>42</v>
      </c>
      <c r="P102" s="71">
        <v>46.2</v>
      </c>
      <c r="Q102" s="71">
        <v>47</v>
      </c>
      <c r="R102" s="71">
        <v>40.4</v>
      </c>
      <c r="S102" s="71">
        <v>37.299999999999997</v>
      </c>
      <c r="T102" s="71">
        <v>42.1</v>
      </c>
      <c r="U102" s="71">
        <v>35</v>
      </c>
      <c r="V102" s="71">
        <v>25.8</v>
      </c>
      <c r="W102" s="71">
        <v>26.4</v>
      </c>
      <c r="X102" s="71">
        <v>33.200000000000003</v>
      </c>
      <c r="Y102" s="71"/>
      <c r="Z102" s="71">
        <v>33.200000000000003</v>
      </c>
      <c r="AA102" s="71">
        <v>68.2</v>
      </c>
      <c r="AB102" s="71">
        <v>59</v>
      </c>
      <c r="AC102" s="71">
        <v>44.3</v>
      </c>
      <c r="AD102" s="71">
        <v>44.2</v>
      </c>
      <c r="AE102" s="71">
        <v>54.5</v>
      </c>
      <c r="AF102" s="71">
        <v>47.3</v>
      </c>
      <c r="AG102" s="70">
        <v>240</v>
      </c>
      <c r="AH102" s="20">
        <f t="shared" si="9"/>
        <v>68.2</v>
      </c>
      <c r="AI102" s="19">
        <f t="shared" si="10"/>
        <v>25.7</v>
      </c>
    </row>
    <row r="103" spans="1:37" x14ac:dyDescent="0.25">
      <c r="A103" s="44" t="s">
        <v>137</v>
      </c>
      <c r="B103" s="71">
        <v>-117.2</v>
      </c>
      <c r="C103" s="71">
        <v>-124.9</v>
      </c>
      <c r="D103" s="71">
        <v>-124.9</v>
      </c>
      <c r="E103" s="71">
        <v>-125</v>
      </c>
      <c r="F103" s="71">
        <v>-110</v>
      </c>
      <c r="G103" s="71">
        <v>-101</v>
      </c>
      <c r="H103" s="71">
        <v>-95</v>
      </c>
      <c r="I103" s="71">
        <v>-74.599999999999994</v>
      </c>
      <c r="J103" s="71">
        <v>-60</v>
      </c>
      <c r="K103" s="71">
        <v>-61</v>
      </c>
      <c r="L103" s="71">
        <v>-57</v>
      </c>
      <c r="M103" s="71">
        <v>-37</v>
      </c>
      <c r="N103" s="71">
        <v>-55</v>
      </c>
      <c r="O103" s="71">
        <v>-57</v>
      </c>
      <c r="P103" s="71">
        <v>-64</v>
      </c>
      <c r="Q103" s="71">
        <f>-39.3-41.6</f>
        <v>-80.900000000000006</v>
      </c>
      <c r="R103" s="71">
        <v>-106</v>
      </c>
      <c r="S103" s="71">
        <f>-48.1-52</f>
        <v>-100.1</v>
      </c>
      <c r="T103" s="71">
        <f>-49-53.1</f>
        <v>-102.1</v>
      </c>
      <c r="U103" s="71">
        <f>-48-51</f>
        <v>-99</v>
      </c>
      <c r="V103" s="71">
        <f>-39-43</f>
        <v>-82</v>
      </c>
      <c r="W103" s="71">
        <f>-30.2-32.4</f>
        <v>-62.599999999999994</v>
      </c>
      <c r="X103" s="71">
        <f>-18-20</f>
        <v>-38</v>
      </c>
      <c r="Y103" s="71"/>
      <c r="Z103" s="71">
        <f t="shared" ref="Z103" si="22">-18-20</f>
        <v>-38</v>
      </c>
      <c r="AA103" s="71">
        <f>-49-53</f>
        <v>-102</v>
      </c>
      <c r="AB103" s="71">
        <v>-106.2</v>
      </c>
      <c r="AC103" s="71">
        <v>-93</v>
      </c>
      <c r="AD103" s="71">
        <v>-104</v>
      </c>
      <c r="AE103" s="71">
        <v>-124</v>
      </c>
      <c r="AF103" s="71">
        <v>-123</v>
      </c>
      <c r="AG103" s="70">
        <v>240</v>
      </c>
      <c r="AH103" s="20">
        <f t="shared" si="9"/>
        <v>-37</v>
      </c>
      <c r="AI103" s="19">
        <f t="shared" si="10"/>
        <v>-125</v>
      </c>
    </row>
    <row r="104" spans="1:37" x14ac:dyDescent="0.25">
      <c r="A104" s="44" t="s">
        <v>136</v>
      </c>
      <c r="B104" s="71">
        <v>2.4</v>
      </c>
      <c r="C104" s="71">
        <v>1.9</v>
      </c>
      <c r="D104" s="71">
        <v>1.9</v>
      </c>
      <c r="E104" s="71">
        <v>1.4</v>
      </c>
      <c r="F104" s="71">
        <v>1.8</v>
      </c>
      <c r="G104" s="71">
        <v>2</v>
      </c>
      <c r="H104" s="71">
        <v>4.9000000000000004</v>
      </c>
      <c r="I104" s="71">
        <v>9.6999999999999993</v>
      </c>
      <c r="J104" s="71">
        <v>12</v>
      </c>
      <c r="K104" s="71">
        <v>15</v>
      </c>
      <c r="L104" s="71">
        <v>17.5</v>
      </c>
      <c r="M104" s="71">
        <v>17.7</v>
      </c>
      <c r="N104" s="71">
        <v>16.7</v>
      </c>
      <c r="O104" s="71">
        <v>18.100000000000001</v>
      </c>
      <c r="P104" s="71">
        <v>16.399999999999999</v>
      </c>
      <c r="Q104" s="71">
        <v>13.1</v>
      </c>
      <c r="R104" s="71">
        <v>11.9</v>
      </c>
      <c r="S104" s="71">
        <v>11</v>
      </c>
      <c r="T104" s="71">
        <v>10</v>
      </c>
      <c r="U104" s="71">
        <v>11</v>
      </c>
      <c r="V104" s="71">
        <v>14</v>
      </c>
      <c r="W104" s="71">
        <v>17</v>
      </c>
      <c r="X104" s="71">
        <v>20</v>
      </c>
      <c r="Y104" s="71"/>
      <c r="Z104" s="71">
        <v>20</v>
      </c>
      <c r="AA104" s="71">
        <v>11.9</v>
      </c>
      <c r="AB104" s="71">
        <v>9.6999999999999993</v>
      </c>
      <c r="AC104" s="71">
        <v>10.6</v>
      </c>
      <c r="AD104" s="71">
        <v>7.3</v>
      </c>
      <c r="AE104" s="71">
        <v>4.0999999999999996</v>
      </c>
      <c r="AF104" s="71">
        <v>1.8</v>
      </c>
      <c r="AG104" s="70">
        <v>60</v>
      </c>
      <c r="AH104" s="20">
        <f t="shared" si="9"/>
        <v>20</v>
      </c>
      <c r="AI104" s="19">
        <f t="shared" si="10"/>
        <v>1.4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0</v>
      </c>
      <c r="R105" s="68">
        <v>31.1</v>
      </c>
      <c r="S105" s="68">
        <v>34.1</v>
      </c>
      <c r="T105" s="68">
        <v>40.1</v>
      </c>
      <c r="U105" s="68">
        <v>47</v>
      </c>
      <c r="V105" s="68">
        <v>61</v>
      </c>
      <c r="W105" s="68">
        <v>64</v>
      </c>
      <c r="X105" s="68">
        <v>64</v>
      </c>
      <c r="Y105" s="68"/>
      <c r="Z105" s="68">
        <v>64</v>
      </c>
      <c r="AA105" s="68">
        <v>26.1</v>
      </c>
      <c r="AB105" s="68">
        <v>15.7</v>
      </c>
      <c r="AC105" s="68">
        <v>29</v>
      </c>
      <c r="AD105" s="68">
        <v>20</v>
      </c>
      <c r="AE105" s="68">
        <v>0</v>
      </c>
      <c r="AF105" s="68">
        <v>0</v>
      </c>
      <c r="AG105" s="69">
        <v>120</v>
      </c>
      <c r="AH105" s="20">
        <f t="shared" si="9"/>
        <v>64</v>
      </c>
      <c r="AI105" s="19">
        <f t="shared" si="10"/>
        <v>0</v>
      </c>
    </row>
    <row r="106" spans="1:37" x14ac:dyDescent="0.25">
      <c r="A106" s="40" t="s">
        <v>134</v>
      </c>
      <c r="B106" s="68">
        <v>24.5</v>
      </c>
      <c r="C106" s="68">
        <v>23.4</v>
      </c>
      <c r="D106" s="68">
        <v>23.4</v>
      </c>
      <c r="E106" s="68">
        <v>10.9</v>
      </c>
      <c r="F106" s="68">
        <v>27</v>
      </c>
      <c r="G106" s="68">
        <v>29.2</v>
      </c>
      <c r="H106" s="68">
        <v>30.6</v>
      </c>
      <c r="I106" s="68">
        <v>39</v>
      </c>
      <c r="J106" s="68">
        <v>47.1</v>
      </c>
      <c r="K106" s="68">
        <v>40.299999999999997</v>
      </c>
      <c r="L106" s="68">
        <v>44.9</v>
      </c>
      <c r="M106" s="68">
        <v>63.2</v>
      </c>
      <c r="N106" s="68">
        <v>56.8</v>
      </c>
      <c r="O106" s="68">
        <v>67.099999999999994</v>
      </c>
      <c r="P106" s="68">
        <v>52</v>
      </c>
      <c r="Q106" s="68">
        <v>43</v>
      </c>
      <c r="R106" s="68">
        <v>33</v>
      </c>
      <c r="S106" s="68">
        <v>32</v>
      </c>
      <c r="T106" s="68">
        <v>26</v>
      </c>
      <c r="U106" s="68">
        <v>45</v>
      </c>
      <c r="V106" s="68">
        <v>53</v>
      </c>
      <c r="W106" s="68">
        <v>68</v>
      </c>
      <c r="X106" s="68">
        <v>90</v>
      </c>
      <c r="Y106" s="68"/>
      <c r="Z106" s="68">
        <v>90</v>
      </c>
      <c r="AA106" s="68">
        <v>18.2</v>
      </c>
      <c r="AB106" s="68">
        <v>16</v>
      </c>
      <c r="AC106" s="68">
        <v>24.4</v>
      </c>
      <c r="AD106" s="68">
        <v>26.6</v>
      </c>
      <c r="AE106" s="68">
        <v>7</v>
      </c>
      <c r="AF106" s="68">
        <v>2.8</v>
      </c>
      <c r="AG106" s="69"/>
      <c r="AH106" s="20">
        <f t="shared" si="9"/>
        <v>90</v>
      </c>
      <c r="AI106" s="19">
        <f t="shared" si="10"/>
        <v>2.8</v>
      </c>
    </row>
    <row r="107" spans="1:37" x14ac:dyDescent="0.25">
      <c r="A107" s="40" t="s">
        <v>133</v>
      </c>
      <c r="B107" s="68">
        <v>56</v>
      </c>
      <c r="C107" s="68">
        <v>44.1</v>
      </c>
      <c r="D107" s="68">
        <v>44.1</v>
      </c>
      <c r="E107" s="68">
        <v>42</v>
      </c>
      <c r="F107" s="68">
        <v>41</v>
      </c>
      <c r="G107" s="68">
        <v>41</v>
      </c>
      <c r="H107" s="68">
        <v>34.700000000000003</v>
      </c>
      <c r="I107" s="68">
        <v>35</v>
      </c>
      <c r="J107" s="68">
        <v>36.5</v>
      </c>
      <c r="K107" s="68">
        <v>37.299999999999997</v>
      </c>
      <c r="L107" s="68">
        <v>33.5</v>
      </c>
      <c r="M107" s="68">
        <v>35.299999999999997</v>
      </c>
      <c r="N107" s="68">
        <v>31.2</v>
      </c>
      <c r="O107" s="68">
        <v>35.799999999999997</v>
      </c>
      <c r="P107" s="68">
        <v>-7.7</v>
      </c>
      <c r="Q107" s="68">
        <v>-14.8</v>
      </c>
      <c r="R107" s="68">
        <v>0</v>
      </c>
      <c r="S107" s="68">
        <v>0</v>
      </c>
      <c r="T107" s="68">
        <v>0</v>
      </c>
      <c r="U107" s="68">
        <v>0</v>
      </c>
      <c r="V107" s="68">
        <v>0</v>
      </c>
      <c r="W107" s="68">
        <v>0</v>
      </c>
      <c r="X107" s="68">
        <v>0</v>
      </c>
      <c r="Y107" s="68"/>
      <c r="Z107" s="68">
        <v>0</v>
      </c>
      <c r="AA107" s="68">
        <v>4.9000000000000004</v>
      </c>
      <c r="AB107" s="68">
        <v>6.2</v>
      </c>
      <c r="AC107" s="68">
        <v>3.2</v>
      </c>
      <c r="AD107" s="68">
        <v>7.5</v>
      </c>
      <c r="AE107" s="68">
        <v>-17.100000000000001</v>
      </c>
      <c r="AF107" s="68">
        <v>-12.2</v>
      </c>
      <c r="AG107" s="48"/>
      <c r="AH107" s="20">
        <f t="shared" si="9"/>
        <v>56</v>
      </c>
      <c r="AI107" s="19">
        <f t="shared" si="10"/>
        <v>-17.100000000000001</v>
      </c>
    </row>
    <row r="108" spans="1:37" x14ac:dyDescent="0.25">
      <c r="A108" s="67" t="s">
        <v>132</v>
      </c>
      <c r="B108" s="66">
        <v>102.3</v>
      </c>
      <c r="C108" s="66">
        <v>100.3</v>
      </c>
      <c r="D108" s="66">
        <v>100.3</v>
      </c>
      <c r="E108" s="66">
        <v>113</v>
      </c>
      <c r="F108" s="66">
        <v>113</v>
      </c>
      <c r="G108" s="66">
        <v>113</v>
      </c>
      <c r="H108" s="66">
        <v>113.6</v>
      </c>
      <c r="I108" s="66">
        <v>119</v>
      </c>
      <c r="J108" s="66">
        <v>117.7</v>
      </c>
      <c r="K108" s="66">
        <v>119</v>
      </c>
      <c r="L108" s="66">
        <v>109.3</v>
      </c>
      <c r="M108" s="66">
        <v>111.6</v>
      </c>
      <c r="N108" s="66">
        <v>118</v>
      </c>
      <c r="O108" s="66">
        <v>106.5</v>
      </c>
      <c r="P108" s="66">
        <v>114.7</v>
      </c>
      <c r="Q108" s="66">
        <v>116.5</v>
      </c>
      <c r="R108" s="66">
        <v>119.2</v>
      </c>
      <c r="S108" s="66">
        <v>119</v>
      </c>
      <c r="T108" s="66">
        <v>-37</v>
      </c>
      <c r="U108" s="66">
        <v>114</v>
      </c>
      <c r="V108" s="66">
        <v>116</v>
      </c>
      <c r="W108" s="66">
        <v>106</v>
      </c>
      <c r="X108" s="66">
        <v>98</v>
      </c>
      <c r="Y108" s="66"/>
      <c r="Z108" s="66">
        <v>98</v>
      </c>
      <c r="AA108" s="66">
        <v>105</v>
      </c>
      <c r="AB108" s="66">
        <v>118.6</v>
      </c>
      <c r="AC108" s="66">
        <v>123</v>
      </c>
      <c r="AD108" s="66">
        <v>106.6</v>
      </c>
      <c r="AE108" s="66">
        <v>111.8</v>
      </c>
      <c r="AF108" s="66">
        <v>105</v>
      </c>
      <c r="AG108" s="48"/>
      <c r="AH108" s="20">
        <f t="shared" si="9"/>
        <v>123</v>
      </c>
      <c r="AI108" s="19">
        <f t="shared" si="10"/>
        <v>-37</v>
      </c>
    </row>
    <row r="109" spans="1:37" ht="15.75" thickBot="1" x14ac:dyDescent="0.3">
      <c r="A109" s="67" t="s">
        <v>131</v>
      </c>
      <c r="B109" s="66">
        <v>77.400000000000006</v>
      </c>
      <c r="C109" s="66">
        <v>85</v>
      </c>
      <c r="D109" s="66">
        <v>85</v>
      </c>
      <c r="E109" s="66">
        <v>85.6</v>
      </c>
      <c r="F109" s="66">
        <v>75</v>
      </c>
      <c r="G109" s="66">
        <v>68.400000000000006</v>
      </c>
      <c r="H109" s="66">
        <v>64</v>
      </c>
      <c r="I109" s="66">
        <v>52</v>
      </c>
      <c r="J109" s="66">
        <v>40</v>
      </c>
      <c r="K109" s="66">
        <v>38.299999999999997</v>
      </c>
      <c r="L109" s="66">
        <v>38.1</v>
      </c>
      <c r="M109" s="66">
        <v>25.7</v>
      </c>
      <c r="N109" s="66">
        <v>40.299999999999997</v>
      </c>
      <c r="O109" s="66">
        <v>39</v>
      </c>
      <c r="P109" s="66">
        <v>50.1</v>
      </c>
      <c r="Q109" s="66">
        <v>59</v>
      </c>
      <c r="R109" s="66">
        <v>62.2</v>
      </c>
      <c r="S109" s="66">
        <v>55.2</v>
      </c>
      <c r="T109" s="66">
        <v>60</v>
      </c>
      <c r="U109" s="66">
        <v>51</v>
      </c>
      <c r="V109" s="66">
        <v>40</v>
      </c>
      <c r="W109" s="66">
        <v>27</v>
      </c>
      <c r="X109" s="66">
        <v>13</v>
      </c>
      <c r="Y109" s="66"/>
      <c r="Z109" s="66">
        <v>13</v>
      </c>
      <c r="AA109" s="66">
        <v>72.400000000000006</v>
      </c>
      <c r="AB109" s="66">
        <v>75.400000000000006</v>
      </c>
      <c r="AC109" s="66">
        <v>62.2</v>
      </c>
      <c r="AD109" s="66">
        <v>73.7</v>
      </c>
      <c r="AE109" s="66">
        <v>90.8</v>
      </c>
      <c r="AF109" s="66">
        <v>96.6</v>
      </c>
      <c r="AG109" s="48"/>
      <c r="AH109" s="20">
        <f t="shared" si="9"/>
        <v>96.6</v>
      </c>
      <c r="AI109" s="19">
        <f t="shared" si="10"/>
        <v>13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3">SUM(B111:B215)</f>
        <v>0</v>
      </c>
      <c r="C216" s="36">
        <f t="shared" si="23"/>
        <v>0</v>
      </c>
      <c r="D216" s="36">
        <f t="shared" si="23"/>
        <v>0</v>
      </c>
      <c r="E216" s="36">
        <f t="shared" si="23"/>
        <v>0</v>
      </c>
      <c r="F216" s="36">
        <f t="shared" si="23"/>
        <v>0</v>
      </c>
      <c r="G216" s="36">
        <f t="shared" si="23"/>
        <v>0</v>
      </c>
      <c r="H216" s="36">
        <f t="shared" si="23"/>
        <v>0</v>
      </c>
      <c r="I216" s="36">
        <f t="shared" si="23"/>
        <v>0</v>
      </c>
      <c r="J216" s="36">
        <f t="shared" si="23"/>
        <v>0</v>
      </c>
      <c r="K216" s="36">
        <f t="shared" si="23"/>
        <v>0</v>
      </c>
      <c r="L216" s="36">
        <f t="shared" si="23"/>
        <v>0</v>
      </c>
      <c r="M216" s="36">
        <f t="shared" si="23"/>
        <v>0</v>
      </c>
      <c r="N216" s="36">
        <f t="shared" si="23"/>
        <v>0</v>
      </c>
      <c r="O216" s="36">
        <f t="shared" si="23"/>
        <v>0</v>
      </c>
      <c r="P216" s="36">
        <f t="shared" si="23"/>
        <v>0</v>
      </c>
      <c r="Q216" s="36">
        <f t="shared" si="23"/>
        <v>0</v>
      </c>
      <c r="R216" s="36">
        <f t="shared" si="23"/>
        <v>0</v>
      </c>
      <c r="S216" s="36">
        <f t="shared" si="23"/>
        <v>0</v>
      </c>
      <c r="T216" s="36">
        <f t="shared" si="23"/>
        <v>0</v>
      </c>
      <c r="U216" s="36">
        <f t="shared" si="23"/>
        <v>0</v>
      </c>
      <c r="V216" s="36">
        <f t="shared" si="23"/>
        <v>0</v>
      </c>
      <c r="W216" s="36">
        <f t="shared" si="23"/>
        <v>0</v>
      </c>
      <c r="X216" s="36">
        <f t="shared" si="23"/>
        <v>0</v>
      </c>
      <c r="Y216" s="36">
        <f t="shared" si="23"/>
        <v>0</v>
      </c>
      <c r="Z216" s="36">
        <f t="shared" si="23"/>
        <v>0</v>
      </c>
      <c r="AA216" s="36">
        <f t="shared" si="23"/>
        <v>0</v>
      </c>
      <c r="AB216" s="36">
        <f t="shared" si="23"/>
        <v>0</v>
      </c>
      <c r="AC216" s="36">
        <f t="shared" si="23"/>
        <v>0</v>
      </c>
      <c r="AD216" s="36">
        <f t="shared" si="23"/>
        <v>0</v>
      </c>
      <c r="AE216" s="36">
        <f t="shared" si="23"/>
        <v>0</v>
      </c>
      <c r="AF216" s="51">
        <f t="shared" si="23"/>
        <v>0</v>
      </c>
      <c r="AG216" s="50">
        <f t="shared" si="23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4">AF218</f>
        <v>0</v>
      </c>
      <c r="C218" s="46">
        <v>0.3</v>
      </c>
      <c r="D218" s="46">
        <f t="shared" ref="D218:P223" si="25">C218</f>
        <v>0.3</v>
      </c>
      <c r="E218" s="46">
        <f t="shared" si="25"/>
        <v>0.3</v>
      </c>
      <c r="F218" s="46">
        <f t="shared" si="25"/>
        <v>0.3</v>
      </c>
      <c r="G218" s="46">
        <f t="shared" si="25"/>
        <v>0.3</v>
      </c>
      <c r="H218" s="46">
        <f t="shared" si="25"/>
        <v>0.3</v>
      </c>
      <c r="I218" s="46">
        <f t="shared" si="25"/>
        <v>0.3</v>
      </c>
      <c r="J218" s="46">
        <f t="shared" si="25"/>
        <v>0.3</v>
      </c>
      <c r="K218" s="46">
        <f t="shared" si="25"/>
        <v>0.3</v>
      </c>
      <c r="L218" s="46">
        <f t="shared" si="25"/>
        <v>0.3</v>
      </c>
      <c r="M218" s="46">
        <f t="shared" si="25"/>
        <v>0.3</v>
      </c>
      <c r="N218" s="46">
        <f t="shared" si="25"/>
        <v>0.3</v>
      </c>
      <c r="O218" s="46">
        <f t="shared" si="25"/>
        <v>0.3</v>
      </c>
      <c r="P218" s="46">
        <f t="shared" si="25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4"/>
        <v>0</v>
      </c>
      <c r="C219" s="43">
        <v>0.4</v>
      </c>
      <c r="D219" s="43">
        <f t="shared" si="25"/>
        <v>0.4</v>
      </c>
      <c r="E219" s="43">
        <f t="shared" si="25"/>
        <v>0.4</v>
      </c>
      <c r="F219" s="43">
        <f t="shared" si="25"/>
        <v>0.4</v>
      </c>
      <c r="G219" s="43">
        <f t="shared" si="25"/>
        <v>0.4</v>
      </c>
      <c r="H219" s="43">
        <f t="shared" si="25"/>
        <v>0.4</v>
      </c>
      <c r="I219" s="43">
        <f t="shared" si="25"/>
        <v>0.4</v>
      </c>
      <c r="J219" s="43">
        <f t="shared" si="25"/>
        <v>0.4</v>
      </c>
      <c r="K219" s="43">
        <f t="shared" si="25"/>
        <v>0.4</v>
      </c>
      <c r="L219" s="43">
        <f t="shared" si="25"/>
        <v>0.4</v>
      </c>
      <c r="M219" s="43">
        <f t="shared" si="25"/>
        <v>0.4</v>
      </c>
      <c r="N219" s="43">
        <f t="shared" si="25"/>
        <v>0.4</v>
      </c>
      <c r="O219" s="43">
        <f t="shared" si="25"/>
        <v>0.4</v>
      </c>
      <c r="P219" s="43">
        <f t="shared" si="25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4"/>
        <v>0</v>
      </c>
      <c r="C220" s="43">
        <v>1.5</v>
      </c>
      <c r="D220" s="43">
        <f t="shared" si="25"/>
        <v>1.5</v>
      </c>
      <c r="E220" s="43">
        <f t="shared" si="25"/>
        <v>1.5</v>
      </c>
      <c r="F220" s="43">
        <f t="shared" si="25"/>
        <v>1.5</v>
      </c>
      <c r="G220" s="43">
        <f t="shared" si="25"/>
        <v>1.5</v>
      </c>
      <c r="H220" s="43">
        <f t="shared" si="25"/>
        <v>1.5</v>
      </c>
      <c r="I220" s="43">
        <f t="shared" si="25"/>
        <v>1.5</v>
      </c>
      <c r="J220" s="43">
        <f t="shared" si="25"/>
        <v>1.5</v>
      </c>
      <c r="K220" s="43">
        <f t="shared" si="25"/>
        <v>1.5</v>
      </c>
      <c r="L220" s="43">
        <f t="shared" si="25"/>
        <v>1.5</v>
      </c>
      <c r="M220" s="43">
        <f t="shared" si="25"/>
        <v>1.5</v>
      </c>
      <c r="N220" s="43">
        <f t="shared" si="25"/>
        <v>1.5</v>
      </c>
      <c r="O220" s="43">
        <f t="shared" si="25"/>
        <v>1.5</v>
      </c>
      <c r="P220" s="43">
        <f t="shared" si="25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4"/>
        <v>0</v>
      </c>
      <c r="C221" s="43">
        <v>0.3</v>
      </c>
      <c r="D221" s="43">
        <f t="shared" si="25"/>
        <v>0.3</v>
      </c>
      <c r="E221" s="43">
        <f t="shared" si="25"/>
        <v>0.3</v>
      </c>
      <c r="F221" s="43">
        <f t="shared" si="25"/>
        <v>0.3</v>
      </c>
      <c r="G221" s="43">
        <f t="shared" si="25"/>
        <v>0.3</v>
      </c>
      <c r="H221" s="43">
        <f t="shared" si="25"/>
        <v>0.3</v>
      </c>
      <c r="I221" s="43">
        <f t="shared" si="25"/>
        <v>0.3</v>
      </c>
      <c r="J221" s="43">
        <f t="shared" si="25"/>
        <v>0.3</v>
      </c>
      <c r="K221" s="43">
        <f t="shared" si="25"/>
        <v>0.3</v>
      </c>
      <c r="L221" s="43">
        <f t="shared" si="25"/>
        <v>0.3</v>
      </c>
      <c r="M221" s="43">
        <f t="shared" si="25"/>
        <v>0.3</v>
      </c>
      <c r="N221" s="43">
        <f t="shared" si="25"/>
        <v>0.3</v>
      </c>
      <c r="O221" s="43">
        <f t="shared" si="25"/>
        <v>0.3</v>
      </c>
      <c r="P221" s="43">
        <f t="shared" si="25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4"/>
        <v>0</v>
      </c>
      <c r="C222" s="43">
        <v>0.4</v>
      </c>
      <c r="D222" s="43">
        <f t="shared" si="25"/>
        <v>0.4</v>
      </c>
      <c r="E222" s="43">
        <f t="shared" si="25"/>
        <v>0.4</v>
      </c>
      <c r="F222" s="43">
        <f t="shared" si="25"/>
        <v>0.4</v>
      </c>
      <c r="G222" s="43">
        <f t="shared" si="25"/>
        <v>0.4</v>
      </c>
      <c r="H222" s="43">
        <f t="shared" si="25"/>
        <v>0.4</v>
      </c>
      <c r="I222" s="43">
        <f t="shared" si="25"/>
        <v>0.4</v>
      </c>
      <c r="J222" s="43">
        <f t="shared" si="25"/>
        <v>0.4</v>
      </c>
      <c r="K222" s="43">
        <f t="shared" si="25"/>
        <v>0.4</v>
      </c>
      <c r="L222" s="43">
        <f t="shared" si="25"/>
        <v>0.4</v>
      </c>
      <c r="M222" s="43">
        <f t="shared" si="25"/>
        <v>0.4</v>
      </c>
      <c r="N222" s="43">
        <f t="shared" si="25"/>
        <v>0.4</v>
      </c>
      <c r="O222" s="43">
        <f t="shared" si="25"/>
        <v>0.4</v>
      </c>
      <c r="P222" s="43">
        <f t="shared" si="25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4"/>
        <v>0</v>
      </c>
      <c r="C223" s="39">
        <v>0.64</v>
      </c>
      <c r="D223" s="39">
        <f t="shared" si="25"/>
        <v>0.64</v>
      </c>
      <c r="E223" s="39">
        <f t="shared" si="25"/>
        <v>0.64</v>
      </c>
      <c r="F223" s="39">
        <f t="shared" si="25"/>
        <v>0.64</v>
      </c>
      <c r="G223" s="39">
        <f t="shared" si="25"/>
        <v>0.64</v>
      </c>
      <c r="H223" s="39">
        <f t="shared" si="25"/>
        <v>0.64</v>
      </c>
      <c r="I223" s="39">
        <f t="shared" si="25"/>
        <v>0.64</v>
      </c>
      <c r="J223" s="39">
        <f t="shared" si="25"/>
        <v>0.64</v>
      </c>
      <c r="K223" s="39">
        <f t="shared" si="25"/>
        <v>0.64</v>
      </c>
      <c r="L223" s="39">
        <f t="shared" si="25"/>
        <v>0.64</v>
      </c>
      <c r="M223" s="39">
        <f t="shared" si="25"/>
        <v>0.64</v>
      </c>
      <c r="N223" s="39">
        <f t="shared" si="25"/>
        <v>0.64</v>
      </c>
      <c r="O223" s="39">
        <f t="shared" si="25"/>
        <v>0.64</v>
      </c>
      <c r="P223" s="39">
        <f t="shared" si="25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6">SUM(B218:B223)</f>
        <v>0</v>
      </c>
      <c r="C224" s="36">
        <f t="shared" si="26"/>
        <v>3.54</v>
      </c>
      <c r="D224" s="36">
        <f t="shared" si="26"/>
        <v>3.54</v>
      </c>
      <c r="E224" s="36">
        <f t="shared" si="26"/>
        <v>3.54</v>
      </c>
      <c r="F224" s="36">
        <f t="shared" si="26"/>
        <v>3.54</v>
      </c>
      <c r="G224" s="36">
        <f t="shared" si="26"/>
        <v>3.54</v>
      </c>
      <c r="H224" s="36">
        <f t="shared" si="26"/>
        <v>3.54</v>
      </c>
      <c r="I224" s="36">
        <f t="shared" si="26"/>
        <v>3.54</v>
      </c>
      <c r="J224" s="36">
        <f t="shared" si="26"/>
        <v>3.54</v>
      </c>
      <c r="K224" s="36">
        <f t="shared" si="26"/>
        <v>3.54</v>
      </c>
      <c r="L224" s="36">
        <f t="shared" si="26"/>
        <v>3.54</v>
      </c>
      <c r="M224" s="36">
        <f t="shared" si="26"/>
        <v>3.54</v>
      </c>
      <c r="N224" s="36">
        <f t="shared" si="26"/>
        <v>3.54</v>
      </c>
      <c r="O224" s="36">
        <f t="shared" si="26"/>
        <v>3.54</v>
      </c>
      <c r="P224" s="36">
        <f t="shared" si="26"/>
        <v>3.54</v>
      </c>
      <c r="Q224" s="36">
        <f t="shared" si="26"/>
        <v>0</v>
      </c>
      <c r="R224" s="36">
        <f t="shared" si="26"/>
        <v>0</v>
      </c>
      <c r="S224" s="36">
        <f t="shared" si="26"/>
        <v>0</v>
      </c>
      <c r="T224" s="36">
        <f t="shared" si="26"/>
        <v>0</v>
      </c>
      <c r="U224" s="36">
        <f t="shared" si="26"/>
        <v>0</v>
      </c>
      <c r="V224" s="36">
        <f t="shared" si="26"/>
        <v>0</v>
      </c>
      <c r="W224" s="36">
        <f t="shared" si="26"/>
        <v>0</v>
      </c>
      <c r="X224" s="36">
        <f t="shared" si="26"/>
        <v>0</v>
      </c>
      <c r="Y224" s="36">
        <f t="shared" si="26"/>
        <v>0</v>
      </c>
      <c r="Z224" s="36">
        <f t="shared" si="26"/>
        <v>0</v>
      </c>
      <c r="AA224" s="36">
        <f t="shared" si="26"/>
        <v>0</v>
      </c>
      <c r="AB224" s="36">
        <f t="shared" si="26"/>
        <v>0</v>
      </c>
      <c r="AC224" s="36">
        <f t="shared" si="26"/>
        <v>0</v>
      </c>
      <c r="AD224" s="36">
        <f t="shared" si="26"/>
        <v>0</v>
      </c>
      <c r="AE224" s="36">
        <f t="shared" si="26"/>
        <v>0</v>
      </c>
      <c r="AF224" s="36">
        <f t="shared" si="26"/>
        <v>0</v>
      </c>
      <c r="AG224" s="35">
        <f t="shared" si="26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1505.04</v>
      </c>
      <c r="C233" s="16">
        <f>INDEX(G9:N9,1,MATCH(MAX(G81:N81),G81:N81,0))</f>
        <v>0.375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25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2079/06/25)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2079/06/25)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7">B81</f>
        <v>1343.94</v>
      </c>
      <c r="U238" s="9">
        <f t="shared" si="27"/>
        <v>1420.1399999999999</v>
      </c>
      <c r="V238" s="9">
        <f t="shared" si="27"/>
        <v>1390.44</v>
      </c>
      <c r="W238" s="9">
        <f t="shared" si="27"/>
        <v>1387.74</v>
      </c>
      <c r="X238" s="9">
        <f t="shared" si="27"/>
        <v>1372.24</v>
      </c>
      <c r="Y238" s="9">
        <f t="shared" si="27"/>
        <v>1372.24</v>
      </c>
      <c r="Z238" s="9">
        <f t="shared" si="27"/>
        <v>1323.64</v>
      </c>
      <c r="AA238" s="9">
        <f t="shared" si="27"/>
        <v>1397.74</v>
      </c>
      <c r="AB238" s="9">
        <f t="shared" si="27"/>
        <v>1423.3400000000001</v>
      </c>
      <c r="AC238" s="9">
        <f t="shared" si="27"/>
        <v>1461.8400000000001</v>
      </c>
      <c r="AD238" s="9">
        <f t="shared" si="27"/>
        <v>1470.04</v>
      </c>
      <c r="AE238" s="9">
        <f t="shared" si="27"/>
        <v>1498.3400000000001</v>
      </c>
      <c r="AF238" s="9">
        <f t="shared" si="27"/>
        <v>1505.04</v>
      </c>
      <c r="AG238" s="9">
        <f t="shared" si="27"/>
        <v>1528.44</v>
      </c>
      <c r="AH238" s="9">
        <f t="shared" si="27"/>
        <v>1573.44</v>
      </c>
      <c r="AI238" s="9">
        <f t="shared" si="27"/>
        <v>1573.34</v>
      </c>
      <c r="AJ238" s="9">
        <f t="shared" si="27"/>
        <v>1495.94</v>
      </c>
      <c r="AK238" s="9">
        <f t="shared" si="27"/>
        <v>1502.9399999999998</v>
      </c>
      <c r="AL238" s="9">
        <f t="shared" si="27"/>
        <v>1556.14</v>
      </c>
      <c r="AM238" s="9">
        <f t="shared" si="27"/>
        <v>1570.1399999999999</v>
      </c>
      <c r="AN238" s="9">
        <f t="shared" si="27"/>
        <v>1570.1399999999999</v>
      </c>
      <c r="AO238" s="9">
        <f t="shared" si="27"/>
        <v>1518.34</v>
      </c>
      <c r="AP238" s="9">
        <f t="shared" si="27"/>
        <v>1558.65</v>
      </c>
      <c r="AQ238" s="9">
        <f t="shared" si="27"/>
        <v>1468.24</v>
      </c>
      <c r="AR238" s="9">
        <f t="shared" si="27"/>
        <v>1572.4399999999998</v>
      </c>
      <c r="AS238" s="9">
        <f t="shared" si="27"/>
        <v>1687.04</v>
      </c>
      <c r="AT238" s="9">
        <f t="shared" si="27"/>
        <v>1646.64</v>
      </c>
      <c r="AU238" s="9">
        <f t="shared" si="27"/>
        <v>1603.8400000000001</v>
      </c>
      <c r="AV238" s="9">
        <f t="shared" si="27"/>
        <v>1518.1399999999999</v>
      </c>
      <c r="AW238" s="9">
        <f t="shared" si="27"/>
        <v>1474.04</v>
      </c>
      <c r="AX238" s="9">
        <f t="shared" si="27"/>
        <v>1465.2400000000002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8">C223</f>
        <v>0.64</v>
      </c>
      <c r="C259" s="4">
        <f t="shared" si="28"/>
        <v>0.64</v>
      </c>
      <c r="D259" s="4">
        <f t="shared" si="28"/>
        <v>0.64</v>
      </c>
      <c r="E259" s="4">
        <f t="shared" si="28"/>
        <v>0.64</v>
      </c>
      <c r="F259" s="4">
        <f t="shared" si="28"/>
        <v>0.64</v>
      </c>
      <c r="G259" s="4">
        <f t="shared" si="28"/>
        <v>0.64</v>
      </c>
      <c r="H259" s="4">
        <f t="shared" si="28"/>
        <v>0.64</v>
      </c>
      <c r="I259" s="4">
        <f t="shared" si="28"/>
        <v>0.64</v>
      </c>
      <c r="J259" s="4">
        <f t="shared" si="28"/>
        <v>0.64</v>
      </c>
      <c r="K259" s="4">
        <f t="shared" si="28"/>
        <v>0.64</v>
      </c>
      <c r="L259" s="4">
        <f t="shared" si="28"/>
        <v>0.64</v>
      </c>
      <c r="M259" s="4">
        <f t="shared" si="28"/>
        <v>0.64</v>
      </c>
      <c r="N259" s="4">
        <f t="shared" si="28"/>
        <v>0.64</v>
      </c>
      <c r="O259" s="4">
        <f t="shared" si="28"/>
        <v>0.64</v>
      </c>
      <c r="P259" s="4">
        <f t="shared" si="28"/>
        <v>0</v>
      </c>
      <c r="Q259" s="4">
        <f t="shared" si="28"/>
        <v>0</v>
      </c>
      <c r="R259" s="4">
        <f t="shared" si="28"/>
        <v>0</v>
      </c>
      <c r="S259" s="4">
        <f t="shared" si="28"/>
        <v>0</v>
      </c>
      <c r="T259" s="4">
        <f t="shared" si="28"/>
        <v>0</v>
      </c>
      <c r="U259" s="4">
        <f t="shared" si="28"/>
        <v>0</v>
      </c>
      <c r="V259" s="4">
        <f t="shared" si="28"/>
        <v>0</v>
      </c>
      <c r="W259" s="4">
        <f t="shared" si="28"/>
        <v>0</v>
      </c>
      <c r="X259" s="4">
        <f t="shared" si="28"/>
        <v>0</v>
      </c>
      <c r="Y259" s="4">
        <f t="shared" si="28"/>
        <v>0</v>
      </c>
      <c r="Z259" s="4">
        <f t="shared" si="28"/>
        <v>0</v>
      </c>
      <c r="AA259" s="4">
        <f t="shared" si="28"/>
        <v>0</v>
      </c>
      <c r="AB259" s="4">
        <f t="shared" si="28"/>
        <v>0</v>
      </c>
      <c r="AC259" s="4">
        <f t="shared" si="28"/>
        <v>0</v>
      </c>
      <c r="AD259" s="4">
        <f t="shared" si="28"/>
        <v>0</v>
      </c>
      <c r="AE259" s="4">
        <f t="shared" si="28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29">IF(B227&lt;100,"",B227-520)</f>
        <v/>
      </c>
      <c r="C260" s="3" t="str">
        <f t="shared" si="29"/>
        <v/>
      </c>
      <c r="D260" s="3" t="str">
        <f t="shared" si="29"/>
        <v/>
      </c>
      <c r="E260" s="3" t="str">
        <f t="shared" si="29"/>
        <v/>
      </c>
      <c r="F260" s="3" t="str">
        <f t="shared" si="29"/>
        <v/>
      </c>
      <c r="G260" s="3" t="str">
        <f t="shared" si="29"/>
        <v/>
      </c>
      <c r="H260" s="3" t="str">
        <f t="shared" si="29"/>
        <v/>
      </c>
      <c r="I260" s="3" t="str">
        <f t="shared" si="29"/>
        <v/>
      </c>
      <c r="J260" s="3" t="str">
        <f t="shared" si="29"/>
        <v/>
      </c>
      <c r="K260" s="3" t="str">
        <f t="shared" si="29"/>
        <v/>
      </c>
      <c r="L260" s="3" t="str">
        <f t="shared" si="29"/>
        <v/>
      </c>
      <c r="M260" s="3" t="str">
        <f t="shared" si="29"/>
        <v/>
      </c>
      <c r="N260" s="3" t="str">
        <f t="shared" si="29"/>
        <v/>
      </c>
      <c r="O260" s="3" t="str">
        <f t="shared" si="29"/>
        <v/>
      </c>
      <c r="P260" s="3" t="str">
        <f t="shared" si="29"/>
        <v/>
      </c>
      <c r="Q260" s="3" t="str">
        <f t="shared" si="29"/>
        <v/>
      </c>
      <c r="R260" s="3" t="str">
        <f t="shared" si="29"/>
        <v/>
      </c>
      <c r="S260" s="3" t="str">
        <f t="shared" si="29"/>
        <v/>
      </c>
      <c r="T260" s="3" t="str">
        <f t="shared" si="29"/>
        <v/>
      </c>
      <c r="U260" s="3" t="str">
        <f t="shared" si="29"/>
        <v/>
      </c>
      <c r="V260" s="3" t="str">
        <f t="shared" si="29"/>
        <v/>
      </c>
      <c r="W260" s="3" t="str">
        <f t="shared" si="29"/>
        <v/>
      </c>
      <c r="X260" s="3" t="str">
        <f t="shared" si="29"/>
        <v/>
      </c>
      <c r="Y260" s="3" t="str">
        <f t="shared" si="29"/>
        <v/>
      </c>
      <c r="Z260" s="3" t="str">
        <f t="shared" si="29"/>
        <v/>
      </c>
      <c r="AA260" s="3" t="str">
        <f t="shared" si="29"/>
        <v/>
      </c>
      <c r="AB260" s="3" t="str">
        <f t="shared" si="29"/>
        <v/>
      </c>
      <c r="AC260" s="3" t="str">
        <f t="shared" si="29"/>
        <v/>
      </c>
      <c r="AD260" s="3" t="str">
        <f t="shared" si="29"/>
        <v/>
      </c>
      <c r="AE260" s="3" t="str">
        <f t="shared" si="29"/>
        <v/>
      </c>
      <c r="AF260" s="3" t="str">
        <f t="shared" si="29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30">IF(B228&lt;100,"",B228-620)</f>
        <v/>
      </c>
      <c r="C261" s="3" t="str">
        <f t="shared" si="30"/>
        <v/>
      </c>
      <c r="D261" s="3" t="str">
        <f t="shared" si="30"/>
        <v/>
      </c>
      <c r="E261" s="3" t="str">
        <f t="shared" si="30"/>
        <v/>
      </c>
      <c r="F261" s="3" t="str">
        <f t="shared" si="30"/>
        <v/>
      </c>
      <c r="G261" s="3" t="str">
        <f t="shared" si="30"/>
        <v/>
      </c>
      <c r="H261" s="3" t="str">
        <f t="shared" si="30"/>
        <v/>
      </c>
      <c r="I261" s="3" t="str">
        <f t="shared" si="30"/>
        <v/>
      </c>
      <c r="J261" s="3" t="str">
        <f t="shared" si="30"/>
        <v/>
      </c>
      <c r="K261" s="3" t="str">
        <f t="shared" si="30"/>
        <v/>
      </c>
      <c r="L261" s="3" t="str">
        <f t="shared" si="30"/>
        <v/>
      </c>
      <c r="M261" s="3" t="str">
        <f t="shared" si="30"/>
        <v/>
      </c>
      <c r="N261" s="3" t="str">
        <f t="shared" si="30"/>
        <v/>
      </c>
      <c r="O261" s="3" t="str">
        <f t="shared" si="30"/>
        <v/>
      </c>
      <c r="P261" s="3" t="str">
        <f t="shared" si="30"/>
        <v/>
      </c>
      <c r="Q261" s="3" t="str">
        <f t="shared" si="30"/>
        <v/>
      </c>
      <c r="R261" s="3" t="str">
        <f t="shared" si="30"/>
        <v/>
      </c>
      <c r="S261" s="3" t="str">
        <f t="shared" si="30"/>
        <v/>
      </c>
      <c r="T261" s="3" t="str">
        <f t="shared" si="30"/>
        <v/>
      </c>
      <c r="U261" s="3" t="str">
        <f t="shared" si="30"/>
        <v/>
      </c>
      <c r="V261" s="3" t="str">
        <f t="shared" si="30"/>
        <v/>
      </c>
      <c r="W261" s="3" t="str">
        <f t="shared" si="30"/>
        <v/>
      </c>
      <c r="X261" s="3" t="str">
        <f t="shared" si="30"/>
        <v/>
      </c>
      <c r="Y261" s="3" t="str">
        <f t="shared" si="30"/>
        <v/>
      </c>
      <c r="Z261" s="3" t="str">
        <f t="shared" si="30"/>
        <v/>
      </c>
      <c r="AA261" s="3" t="str">
        <f t="shared" si="30"/>
        <v/>
      </c>
      <c r="AB261" s="3" t="str">
        <f t="shared" si="30"/>
        <v/>
      </c>
      <c r="AC261" s="3" t="str">
        <f t="shared" si="30"/>
        <v/>
      </c>
      <c r="AD261" s="3" t="str">
        <f t="shared" si="30"/>
        <v/>
      </c>
      <c r="AE261" s="3" t="str">
        <f t="shared" si="30"/>
        <v/>
      </c>
      <c r="AF261" s="3" t="str">
        <f t="shared" si="30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1">IF(B229&lt;100,"",B229-330)</f>
        <v/>
      </c>
      <c r="C262" s="3" t="str">
        <f t="shared" si="31"/>
        <v/>
      </c>
      <c r="D262" s="3" t="str">
        <f t="shared" si="31"/>
        <v/>
      </c>
      <c r="E262" s="3" t="str">
        <f t="shared" si="31"/>
        <v/>
      </c>
      <c r="F262" s="3" t="str">
        <f t="shared" si="31"/>
        <v/>
      </c>
      <c r="G262" s="3" t="str">
        <f t="shared" si="31"/>
        <v/>
      </c>
      <c r="H262" s="3" t="str">
        <f t="shared" si="31"/>
        <v/>
      </c>
      <c r="I262" s="3" t="str">
        <f t="shared" si="31"/>
        <v/>
      </c>
      <c r="J262" s="3" t="str">
        <f t="shared" si="31"/>
        <v/>
      </c>
      <c r="K262" s="3" t="str">
        <f t="shared" si="31"/>
        <v/>
      </c>
      <c r="L262" s="3" t="str">
        <f t="shared" si="31"/>
        <v/>
      </c>
      <c r="M262" s="3" t="str">
        <f t="shared" si="31"/>
        <v/>
      </c>
      <c r="N262" s="3" t="str">
        <f t="shared" si="31"/>
        <v/>
      </c>
      <c r="O262" s="3" t="str">
        <f t="shared" si="31"/>
        <v/>
      </c>
      <c r="P262" s="3" t="str">
        <f t="shared" si="31"/>
        <v/>
      </c>
      <c r="Q262" s="3" t="str">
        <f t="shared" si="31"/>
        <v/>
      </c>
      <c r="R262" s="3" t="str">
        <f t="shared" si="31"/>
        <v/>
      </c>
      <c r="S262" s="3" t="str">
        <f t="shared" si="31"/>
        <v/>
      </c>
      <c r="T262" s="3" t="str">
        <f t="shared" si="31"/>
        <v/>
      </c>
      <c r="U262" s="3" t="str">
        <f t="shared" si="31"/>
        <v/>
      </c>
      <c r="V262" s="3" t="str">
        <f t="shared" si="31"/>
        <v/>
      </c>
      <c r="W262" s="3" t="str">
        <f t="shared" si="31"/>
        <v/>
      </c>
      <c r="X262" s="3" t="str">
        <f t="shared" si="31"/>
        <v/>
      </c>
      <c r="Y262" s="3" t="str">
        <f t="shared" si="31"/>
        <v/>
      </c>
      <c r="Z262" s="3" t="str">
        <f t="shared" si="31"/>
        <v/>
      </c>
      <c r="AA262" s="3" t="str">
        <f t="shared" si="31"/>
        <v/>
      </c>
      <c r="AB262" s="3" t="str">
        <f t="shared" si="31"/>
        <v/>
      </c>
      <c r="AC262" s="3" t="str">
        <f t="shared" si="31"/>
        <v/>
      </c>
      <c r="AD262" s="3" t="str">
        <f t="shared" si="31"/>
        <v/>
      </c>
      <c r="AE262" s="3" t="str">
        <f t="shared" si="31"/>
        <v/>
      </c>
      <c r="AF262" s="3" t="str">
        <f t="shared" si="31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2">IF(B230&lt;100,"",B230-1500)</f>
        <v/>
      </c>
      <c r="C263" s="3" t="str">
        <f t="shared" si="32"/>
        <v/>
      </c>
      <c r="D263" s="3" t="str">
        <f t="shared" si="32"/>
        <v/>
      </c>
      <c r="E263" s="3" t="str">
        <f t="shared" si="32"/>
        <v/>
      </c>
      <c r="F263" s="3" t="str">
        <f t="shared" si="32"/>
        <v/>
      </c>
      <c r="G263" s="3" t="str">
        <f t="shared" si="32"/>
        <v/>
      </c>
      <c r="H263" s="3" t="str">
        <f t="shared" si="32"/>
        <v/>
      </c>
      <c r="I263" s="3" t="str">
        <f t="shared" si="32"/>
        <v/>
      </c>
      <c r="J263" s="3" t="str">
        <f t="shared" si="32"/>
        <v/>
      </c>
      <c r="K263" s="3" t="str">
        <f t="shared" si="32"/>
        <v/>
      </c>
      <c r="L263" s="3" t="str">
        <f t="shared" si="32"/>
        <v/>
      </c>
      <c r="M263" s="3" t="str">
        <f t="shared" si="32"/>
        <v/>
      </c>
      <c r="N263" s="3" t="str">
        <f t="shared" si="32"/>
        <v/>
      </c>
      <c r="O263" s="3" t="str">
        <f t="shared" si="32"/>
        <v/>
      </c>
      <c r="P263" s="3" t="str">
        <f t="shared" si="32"/>
        <v/>
      </c>
      <c r="Q263" s="3" t="str">
        <f t="shared" si="32"/>
        <v/>
      </c>
      <c r="R263" s="3" t="str">
        <f t="shared" si="32"/>
        <v/>
      </c>
      <c r="S263" s="3" t="str">
        <f t="shared" si="32"/>
        <v/>
      </c>
      <c r="T263" s="3" t="str">
        <f t="shared" si="32"/>
        <v/>
      </c>
      <c r="U263" s="3" t="str">
        <f t="shared" si="32"/>
        <v/>
      </c>
      <c r="V263" s="3" t="str">
        <f t="shared" si="32"/>
        <v/>
      </c>
      <c r="W263" s="3" t="str">
        <f t="shared" si="32"/>
        <v/>
      </c>
      <c r="X263" s="3" t="str">
        <f t="shared" si="32"/>
        <v/>
      </c>
      <c r="Y263" s="3" t="str">
        <f t="shared" si="32"/>
        <v/>
      </c>
      <c r="Z263" s="3" t="str">
        <f t="shared" si="32"/>
        <v/>
      </c>
      <c r="AA263" s="3" t="str">
        <f t="shared" si="32"/>
        <v/>
      </c>
      <c r="AB263" s="3" t="str">
        <f t="shared" si="32"/>
        <v/>
      </c>
      <c r="AC263" s="3" t="str">
        <f t="shared" si="32"/>
        <v/>
      </c>
      <c r="AD263" s="3" t="str">
        <f t="shared" si="32"/>
        <v/>
      </c>
      <c r="AE263" s="3" t="str">
        <f t="shared" si="32"/>
        <v/>
      </c>
      <c r="AF263" s="3" t="str">
        <f t="shared" si="32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B16:AF16 B20:AF23 Z11:AF11">
    <cfRule type="expression" dxfId="3133" priority="239">
      <formula>B$9&gt;=20/24</formula>
    </cfRule>
    <cfRule type="expression" dxfId="3132" priority="240">
      <formula>AND(B$9&gt;=14/24,B$9&lt;20/24)</formula>
    </cfRule>
    <cfRule type="expression" dxfId="3131" priority="241">
      <formula>AND(B$9&gt;=8/24,B$9&lt;14/24)</formula>
    </cfRule>
    <cfRule type="expression" dxfId="3130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3129" priority="234">
      <formula>S$9&gt;=20/24</formula>
    </cfRule>
    <cfRule type="expression" dxfId="3128" priority="235">
      <formula>AND(S$9&gt;=14/24,S$9&lt;20/24)</formula>
    </cfRule>
    <cfRule type="expression" dxfId="3127" priority="236">
      <formula>AND(S$9&gt;=8/24,S$9&lt;14/24)</formula>
    </cfRule>
    <cfRule type="expression" dxfId="3126" priority="237">
      <formula>S$9&lt;8/24</formula>
    </cfRule>
  </conditionalFormatting>
  <conditionalFormatting sqref="AG57 S39:AF39 B12:W16 Y14:AA14 X12:X14 Y12:Y13 X15:AA16 Z11:AA13 B18:AF18 B37:AF37 B20:AF23 AB11:AF16">
    <cfRule type="expression" dxfId="3125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3124" priority="232">
      <formula>$AH11=0</formula>
    </cfRule>
  </conditionalFormatting>
  <conditionalFormatting sqref="A106">
    <cfRule type="expression" dxfId="3123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3122" priority="229">
      <formula>$AH37=0</formula>
    </cfRule>
  </conditionalFormatting>
  <conditionalFormatting sqref="A90">
    <cfRule type="expression" dxfId="3121" priority="228">
      <formula>$AH90=0</formula>
    </cfRule>
  </conditionalFormatting>
  <conditionalFormatting sqref="A15">
    <cfRule type="expression" dxfId="3120" priority="227">
      <formula>$AH15=0</formula>
    </cfRule>
  </conditionalFormatting>
  <conditionalFormatting sqref="A188:A193">
    <cfRule type="expression" dxfId="3119" priority="226">
      <formula>$AH188=0</formula>
    </cfRule>
  </conditionalFormatting>
  <conditionalFormatting sqref="A182:A187">
    <cfRule type="expression" dxfId="3118" priority="225">
      <formula>$AH182=0</formula>
    </cfRule>
  </conditionalFormatting>
  <conditionalFormatting sqref="A50">
    <cfRule type="expression" dxfId="3117" priority="224">
      <formula>$AH50=0</formula>
    </cfRule>
  </conditionalFormatting>
  <conditionalFormatting sqref="A86">
    <cfRule type="expression" dxfId="3116" priority="223">
      <formula>$AH86=0</formula>
    </cfRule>
  </conditionalFormatting>
  <conditionalFormatting sqref="C91:AF91">
    <cfRule type="expression" dxfId="3115" priority="219">
      <formula>C$9&gt;=20/24</formula>
    </cfRule>
    <cfRule type="expression" dxfId="3114" priority="220">
      <formula>AND(C$9&gt;=14/24,C$9&lt;20/24)</formula>
    </cfRule>
    <cfRule type="expression" dxfId="3113" priority="221">
      <formula>AND(C$9&gt;=8/24,C$9&lt;14/24)</formula>
    </cfRule>
    <cfRule type="expression" dxfId="3112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3111" priority="245">
      <formula>C$9&gt;=20/24</formula>
    </cfRule>
    <cfRule type="expression" dxfId="3110" priority="246">
      <formula>AND(C$9&gt;=14/24,C$9&lt;20/24)</formula>
    </cfRule>
    <cfRule type="expression" dxfId="3109" priority="247">
      <formula>AND(C$9&gt;=8/24,C$9&lt;14/24)</formula>
    </cfRule>
    <cfRule type="expression" dxfId="3108" priority="248">
      <formula>C$9&lt;8/24</formula>
    </cfRule>
  </conditionalFormatting>
  <conditionalFormatting sqref="A225">
    <cfRule type="expression" dxfId="3107" priority="249">
      <formula>$AH225=0</formula>
    </cfRule>
  </conditionalFormatting>
  <conditionalFormatting sqref="AG237">
    <cfRule type="expression" dxfId="3106" priority="250">
      <formula>B$9&gt;=20/24</formula>
    </cfRule>
    <cfRule type="expression" dxfId="3105" priority="251">
      <formula>AND(B$9&gt;=14/24,B$9&lt;20/24)</formula>
    </cfRule>
    <cfRule type="expression" dxfId="3104" priority="252">
      <formula>AND(B$9&gt;=8/24,B$9&lt;14/24)</formula>
    </cfRule>
    <cfRule type="expression" dxfId="3103" priority="253">
      <formula>B$9&lt;8/24</formula>
    </cfRule>
  </conditionalFormatting>
  <conditionalFormatting sqref="S8">
    <cfRule type="expression" dxfId="3102" priority="214">
      <formula>U$9&gt;=20/24</formula>
    </cfRule>
    <cfRule type="expression" dxfId="3101" priority="215">
      <formula>AND(U$9&gt;=14/24,U$9&lt;20/24)</formula>
    </cfRule>
    <cfRule type="expression" dxfId="3100" priority="216">
      <formula>AND(U$9&gt;=8/24,U$9&lt;14/24)</formula>
    </cfRule>
    <cfRule type="expression" dxfId="3099" priority="217">
      <formula>U$9&lt;8/24</formula>
    </cfRule>
  </conditionalFormatting>
  <conditionalFormatting sqref="AB8">
    <cfRule type="expression" dxfId="3098" priority="210">
      <formula>AD$9&gt;=20/24</formula>
    </cfRule>
    <cfRule type="expression" dxfId="3097" priority="211">
      <formula>AND(AD$9&gt;=14/24,AD$9&lt;20/24)</formula>
    </cfRule>
    <cfRule type="expression" dxfId="3096" priority="212">
      <formula>AND(AD$9&gt;=8/24,AD$9&lt;14/24)</formula>
    </cfRule>
    <cfRule type="expression" dxfId="3095" priority="213">
      <formula>AD$9&lt;8/24</formula>
    </cfRule>
  </conditionalFormatting>
  <conditionalFormatting sqref="AH237:AX237">
    <cfRule type="expression" dxfId="3094" priority="254">
      <formula>AG$9&gt;=20/24</formula>
    </cfRule>
    <cfRule type="expression" dxfId="3093" priority="255">
      <formula>AND(AG$9&gt;=14/24,AG$9&lt;20/24)</formula>
    </cfRule>
    <cfRule type="expression" dxfId="3092" priority="256">
      <formula>AND(AG$9&gt;=8/24,AG$9&lt;14/24)</formula>
    </cfRule>
    <cfRule type="expression" dxfId="3091" priority="257">
      <formula>AG$9&lt;8/24</formula>
    </cfRule>
  </conditionalFormatting>
  <conditionalFormatting sqref="T237">
    <cfRule type="expression" dxfId="3090" priority="258">
      <formula>AX$9&gt;=20/24</formula>
    </cfRule>
    <cfRule type="expression" dxfId="3089" priority="259">
      <formula>AND(AX$9&gt;=14/24,AX$9&lt;20/24)</formula>
    </cfRule>
    <cfRule type="expression" dxfId="3088" priority="260">
      <formula>AND(AX$9&gt;=8/24,AX$9&lt;14/24)</formula>
    </cfRule>
    <cfRule type="expression" dxfId="3087" priority="261">
      <formula>AX$9&lt;8/24</formula>
    </cfRule>
  </conditionalFormatting>
  <conditionalFormatting sqref="A107:A108">
    <cfRule type="expression" dxfId="3086" priority="209">
      <formula>$AH107=0</formula>
    </cfRule>
  </conditionalFormatting>
  <conditionalFormatting sqref="AF46:AF47 M46:M49 E46:L47 E63:AF63">
    <cfRule type="expression" dxfId="3085" priority="205">
      <formula>E$9&gt;=20/24</formula>
    </cfRule>
    <cfRule type="expression" dxfId="3084" priority="206">
      <formula>AND(E$9&gt;=14/24,E$9&lt;20/24)</formula>
    </cfRule>
    <cfRule type="expression" dxfId="3083" priority="207">
      <formula>AND(E$9&gt;=8/24,E$9&lt;14/24)</formula>
    </cfRule>
    <cfRule type="expression" dxfId="3082" priority="208">
      <formula>E$9&lt;8/24</formula>
    </cfRule>
  </conditionalFormatting>
  <conditionalFormatting sqref="E45:L45 Y45:AF45">
    <cfRule type="expression" dxfId="3081" priority="201">
      <formula>E$9&gt;=20/24</formula>
    </cfRule>
    <cfRule type="expression" dxfId="3080" priority="202">
      <formula>AND(E$9&gt;=14/24,E$9&lt;20/24)</formula>
    </cfRule>
    <cfRule type="expression" dxfId="3079" priority="203">
      <formula>AND(E$9&gt;=8/24,E$9&lt;14/24)</formula>
    </cfRule>
    <cfRule type="expression" dxfId="3078" priority="204">
      <formula>E$9&lt;8/24</formula>
    </cfRule>
  </conditionalFormatting>
  <conditionalFormatting sqref="M46:M49 E45:L47 AF45:AF47 Y45:AE45">
    <cfRule type="expression" dxfId="3077" priority="200">
      <formula>E45&gt;$AG45</formula>
    </cfRule>
  </conditionalFormatting>
  <conditionalFormatting sqref="C88:AF88 Y14:AA14 M39:R39 E64:S65 X26:Y26 C92:AF98 Z12:AA13 S59:AF61 C75:AF78 T38:AF38 Z29:AF29 Z32:AF34 U18:AF18 AB12:AF14 Z25:AF27 T64:AF73">
    <cfRule type="expression" dxfId="3076" priority="196">
      <formula>C$9&gt;=20/24</formula>
    </cfRule>
    <cfRule type="expression" dxfId="3075" priority="197">
      <formula>AND(C$9&gt;=14/24,C$9&lt;20/24)</formula>
    </cfRule>
    <cfRule type="expression" dxfId="3074" priority="198">
      <formula>AND(C$9&gt;=8/24,C$9&lt;14/24)</formula>
    </cfRule>
    <cfRule type="expression" dxfId="3073" priority="199">
      <formula>C$9&lt;8/24</formula>
    </cfRule>
  </conditionalFormatting>
  <conditionalFormatting sqref="Z35:AF35">
    <cfRule type="expression" dxfId="3072" priority="192">
      <formula>Z$9&gt;=20/24</formula>
    </cfRule>
    <cfRule type="expression" dxfId="3071" priority="193">
      <formula>AND(Z$9&gt;=14/24,Z$9&lt;20/24)</formula>
    </cfRule>
    <cfRule type="expression" dxfId="3070" priority="194">
      <formula>AND(Z$9&gt;=8/24,Z$9&lt;14/24)</formula>
    </cfRule>
    <cfRule type="expression" dxfId="3069" priority="195">
      <formula>Z$9&lt;8/24</formula>
    </cfRule>
  </conditionalFormatting>
  <conditionalFormatting sqref="AF48:AF49 C57:AF57 E48:L48 M39:R39 X26:Y26 S59:AF61 T38:AF38 Z32:AF35 Z25:AF29">
    <cfRule type="expression" dxfId="3068" priority="191">
      <formula>C25&gt;$AG25</formula>
    </cfRule>
  </conditionalFormatting>
  <conditionalFormatting sqref="Z37:AF37">
    <cfRule type="expression" dxfId="3067" priority="187">
      <formula>Z$9&gt;=20/24</formula>
    </cfRule>
    <cfRule type="expression" dxfId="3066" priority="188">
      <formula>AND(Z$9&gt;=14/24,Z$9&lt;20/24)</formula>
    </cfRule>
    <cfRule type="expression" dxfId="3065" priority="189">
      <formula>AND(Z$9&gt;=8/24,Z$9&lt;14/24)</formula>
    </cfRule>
    <cfRule type="expression" dxfId="3064" priority="190">
      <formula>Z$9&lt;8/24</formula>
    </cfRule>
  </conditionalFormatting>
  <conditionalFormatting sqref="X15:AF15">
    <cfRule type="expression" dxfId="3063" priority="183">
      <formula>X$9&gt;=20/24</formula>
    </cfRule>
    <cfRule type="expression" dxfId="3062" priority="184">
      <formula>AND(X$9&gt;=14/24,X$9&lt;20/24)</formula>
    </cfRule>
    <cfRule type="expression" dxfId="3061" priority="185">
      <formula>AND(X$9&gt;=8/24,X$9&lt;14/24)</formula>
    </cfRule>
    <cfRule type="expression" dxfId="3060" priority="186">
      <formula>X$9&lt;8/24</formula>
    </cfRule>
  </conditionalFormatting>
  <conditionalFormatting sqref="Z36:AF36">
    <cfRule type="expression" dxfId="3059" priority="179">
      <formula>Z$9&gt;=20/24</formula>
    </cfRule>
    <cfRule type="expression" dxfId="3058" priority="180">
      <formula>AND(Z$9&gt;=14/24,Z$9&lt;20/24)</formula>
    </cfRule>
    <cfRule type="expression" dxfId="3057" priority="181">
      <formula>AND(Z$9&gt;=8/24,Z$9&lt;14/24)</formula>
    </cfRule>
    <cfRule type="expression" dxfId="3056" priority="182">
      <formula>Z$9&lt;8/24</formula>
    </cfRule>
  </conditionalFormatting>
  <conditionalFormatting sqref="Z36:AF36">
    <cfRule type="expression" dxfId="3055" priority="178">
      <formula>Z36&gt;$AG36</formula>
    </cfRule>
  </conditionalFormatting>
  <conditionalFormatting sqref="AF50:AF56">
    <cfRule type="expression" dxfId="3054" priority="174">
      <formula>AF$9&gt;=20/24</formula>
    </cfRule>
    <cfRule type="expression" dxfId="3053" priority="175">
      <formula>AND(AF$9&gt;=14/24,AF$9&lt;20/24)</formula>
    </cfRule>
    <cfRule type="expression" dxfId="3052" priority="176">
      <formula>AND(AF$9&gt;=8/24,AF$9&lt;14/24)</formula>
    </cfRule>
    <cfRule type="expression" dxfId="3051" priority="177">
      <formula>AF$9&lt;8/24</formula>
    </cfRule>
  </conditionalFormatting>
  <conditionalFormatting sqref="AF50:AF56">
    <cfRule type="expression" dxfId="3050" priority="173">
      <formula>AF50&gt;$AG50</formula>
    </cfRule>
  </conditionalFormatting>
  <conditionalFormatting sqref="M45:N45 N46:N49 O45:X49 Y46:AE49">
    <cfRule type="expression" dxfId="3049" priority="169">
      <formula>M$9&gt;=20/24</formula>
    </cfRule>
    <cfRule type="expression" dxfId="3048" priority="170">
      <formula>AND(M$9&gt;=14/24,M$9&lt;20/24)</formula>
    </cfRule>
    <cfRule type="expression" dxfId="3047" priority="171">
      <formula>AND(M$9&gt;=8/24,M$9&lt;14/24)</formula>
    </cfRule>
    <cfRule type="expression" dxfId="3046" priority="172">
      <formula>M$9&lt;8/24</formula>
    </cfRule>
  </conditionalFormatting>
  <conditionalFormatting sqref="M45:N45 N46:N49 O45:X49 Y46:AE49">
    <cfRule type="expression" dxfId="3045" priority="168">
      <formula>M45&gt;$AG45</formula>
    </cfRule>
  </conditionalFormatting>
  <conditionalFormatting sqref="Z28:AF28">
    <cfRule type="expression" dxfId="3044" priority="164">
      <formula>Z$9&gt;=20/24</formula>
    </cfRule>
    <cfRule type="expression" dxfId="3043" priority="165">
      <formula>AND(Z$9&gt;=14/24,Z$9&lt;20/24)</formula>
    </cfRule>
    <cfRule type="expression" dxfId="3042" priority="166">
      <formula>AND(Z$9&gt;=8/24,Z$9&lt;14/24)</formula>
    </cfRule>
    <cfRule type="expression" dxfId="3041" priority="167">
      <formula>Z$9&lt;8/24</formula>
    </cfRule>
  </conditionalFormatting>
  <conditionalFormatting sqref="Z24:AF24 U19:AF19 C31:AF31">
    <cfRule type="expression" dxfId="3040" priority="160">
      <formula>C$9&gt;=20/24</formula>
    </cfRule>
    <cfRule type="expression" dxfId="3039" priority="161">
      <formula>AND(C$9&gt;=14/24,C$9&lt;20/24)</formula>
    </cfRule>
    <cfRule type="expression" dxfId="3038" priority="162">
      <formula>AND(C$9&gt;=8/24,C$9&lt;14/24)</formula>
    </cfRule>
    <cfRule type="expression" dxfId="3037" priority="163">
      <formula>C$9&lt;8/24</formula>
    </cfRule>
  </conditionalFormatting>
  <conditionalFormatting sqref="Z24:AF24 U19:AF19 C31:AF31">
    <cfRule type="expression" dxfId="3036" priority="159">
      <formula>C19&gt;$AG19</formula>
    </cfRule>
  </conditionalFormatting>
  <conditionalFormatting sqref="D45">
    <cfRule type="expression" dxfId="3035" priority="155">
      <formula>D$9&gt;=20/24</formula>
    </cfRule>
    <cfRule type="expression" dxfId="3034" priority="156">
      <formula>AND(D$9&gt;=14/24,D$9&lt;20/24)</formula>
    </cfRule>
    <cfRule type="expression" dxfId="3033" priority="157">
      <formula>AND(D$9&gt;=8/24,D$9&lt;14/24)</formula>
    </cfRule>
    <cfRule type="expression" dxfId="3032" priority="158">
      <formula>D$9&lt;8/24</formula>
    </cfRule>
  </conditionalFormatting>
  <conditionalFormatting sqref="D45">
    <cfRule type="expression" dxfId="3031" priority="154">
      <formula>D45&gt;$AG45</formula>
    </cfRule>
  </conditionalFormatting>
  <conditionalFormatting sqref="B101 B80:AF80 B89:AF89 B103:B108 B11:Y11">
    <cfRule type="expression" dxfId="3030" priority="141">
      <formula>B$9&gt;=20/24</formula>
    </cfRule>
    <cfRule type="expression" dxfId="3029" priority="142">
      <formula>AND(B$9&gt;=14/24,B$9&lt;20/24)</formula>
    </cfRule>
    <cfRule type="expression" dxfId="3028" priority="143">
      <formula>AND(B$9&gt;=8/24,B$9&lt;14/24)</formula>
    </cfRule>
    <cfRule type="expression" dxfId="3027" priority="144">
      <formula>B$9&lt;8/24</formula>
    </cfRule>
  </conditionalFormatting>
  <conditionalFormatting sqref="B39:L39">
    <cfRule type="expression" dxfId="3026" priority="137">
      <formula>B$9&gt;=20/24</formula>
    </cfRule>
    <cfRule type="expression" dxfId="3025" priority="138">
      <formula>AND(B$9&gt;=14/24,B$9&lt;20/24)</formula>
    </cfRule>
    <cfRule type="expression" dxfId="3024" priority="139">
      <formula>AND(B$9&gt;=8/24,B$9&lt;14/24)</formula>
    </cfRule>
    <cfRule type="expression" dxfId="3023" priority="140">
      <formula>B$9&lt;8/24</formula>
    </cfRule>
  </conditionalFormatting>
  <conditionalFormatting sqref="B39:L39 B11:Y11">
    <cfRule type="expression" dxfId="3022" priority="136">
      <formula>B11&gt;$AG11</formula>
    </cfRule>
  </conditionalFormatting>
  <conditionalFormatting sqref="B91">
    <cfRule type="expression" dxfId="3021" priority="132">
      <formula>B$9&gt;=20/24</formula>
    </cfRule>
    <cfRule type="expression" dxfId="3020" priority="133">
      <formula>AND(B$9&gt;=14/24,B$9&lt;20/24)</formula>
    </cfRule>
    <cfRule type="expression" dxfId="3019" priority="134">
      <formula>AND(B$9&gt;=8/24,B$9&lt;14/24)</formula>
    </cfRule>
    <cfRule type="expression" dxfId="3018" priority="135">
      <formula>B$9&lt;8/24</formula>
    </cfRule>
  </conditionalFormatting>
  <conditionalFormatting sqref="B46:D47 B63:D63 B38:S38">
    <cfRule type="expression" dxfId="3017" priority="128">
      <formula>B$9&gt;=20/24</formula>
    </cfRule>
    <cfRule type="expression" dxfId="3016" priority="129">
      <formula>AND(B$9&gt;=14/24,B$9&lt;20/24)</formula>
    </cfRule>
    <cfRule type="expression" dxfId="3015" priority="130">
      <formula>AND(B$9&gt;=8/24,B$9&lt;14/24)</formula>
    </cfRule>
    <cfRule type="expression" dxfId="3014" priority="131">
      <formula>B$9&lt;8/24</formula>
    </cfRule>
  </conditionalFormatting>
  <conditionalFormatting sqref="B45:C45">
    <cfRule type="expression" dxfId="3013" priority="124">
      <formula>B$9&gt;=20/24</formula>
    </cfRule>
    <cfRule type="expression" dxfId="3012" priority="125">
      <formula>AND(B$9&gt;=14/24,B$9&lt;20/24)</formula>
    </cfRule>
    <cfRule type="expression" dxfId="3011" priority="126">
      <formula>AND(B$9&gt;=8/24,B$9&lt;14/24)</formula>
    </cfRule>
    <cfRule type="expression" dxfId="3010" priority="127">
      <formula>B$9&lt;8/24</formula>
    </cfRule>
  </conditionalFormatting>
  <conditionalFormatting sqref="B45:C47 D46:D47 B38:S38">
    <cfRule type="expression" dxfId="3009" priority="123">
      <formula>B38&gt;$AG38</formula>
    </cfRule>
  </conditionalFormatting>
  <conditionalFormatting sqref="B59:B62 B75:B79 B81:AF81 B88 C62:AG62 C79:AG79 B90:AF90 B92:B98 B64:D73 B31:B34 C59:R61 E66:S73 B18:T18 B25:W27 B12:X14 X25:Y25 B29:Y29 X27:Y27 C32:Y34 Y12:Y13">
    <cfRule type="expression" dxfId="3008" priority="119">
      <formula>B$9&gt;=20/24</formula>
    </cfRule>
    <cfRule type="expression" dxfId="3007" priority="120">
      <formula>AND(B$9&gt;=14/24,B$9&lt;20/24)</formula>
    </cfRule>
    <cfRule type="expression" dxfId="3006" priority="121">
      <formula>AND(B$9&gt;=8/24,B$9&lt;14/24)</formula>
    </cfRule>
    <cfRule type="expression" dxfId="3005" priority="122">
      <formula>B$9&lt;8/24</formula>
    </cfRule>
  </conditionalFormatting>
  <conditionalFormatting sqref="B35:Y35">
    <cfRule type="expression" dxfId="3004" priority="115">
      <formula>B$9&gt;=20/24</formula>
    </cfRule>
    <cfRule type="expression" dxfId="3003" priority="116">
      <formula>AND(B$9&gt;=14/24,B$9&lt;20/24)</formula>
    </cfRule>
    <cfRule type="expression" dxfId="3002" priority="117">
      <formula>AND(B$9&gt;=8/24,B$9&lt;14/24)</formula>
    </cfRule>
    <cfRule type="expression" dxfId="3001" priority="118">
      <formula>B$9&lt;8/24</formula>
    </cfRule>
  </conditionalFormatting>
  <conditionalFormatting sqref="B57:B62 B40:AG40 C58:AG58 C62:AG62 B48:D49 B31:B35 E49:L49 C59:R61 B25:W29 X25:Y25 X27:Y29 C32:Y35">
    <cfRule type="expression" dxfId="3000" priority="114">
      <formula>B25&gt;$AG25</formula>
    </cfRule>
  </conditionalFormatting>
  <conditionalFormatting sqref="B37:Y37">
    <cfRule type="expression" dxfId="2999" priority="110">
      <formula>B$9&gt;=20/24</formula>
    </cfRule>
    <cfRule type="expression" dxfId="2998" priority="111">
      <formula>AND(B$9&gt;=14/24,B$9&lt;20/24)</formula>
    </cfRule>
    <cfRule type="expression" dxfId="2997" priority="112">
      <formula>AND(B$9&gt;=8/24,B$9&lt;14/24)</formula>
    </cfRule>
    <cfRule type="expression" dxfId="2996" priority="113">
      <formula>B$9&lt;8/24</formula>
    </cfRule>
  </conditionalFormatting>
  <conditionalFormatting sqref="B15:W15">
    <cfRule type="expression" dxfId="2995" priority="106">
      <formula>B$9&gt;=20/24</formula>
    </cfRule>
    <cfRule type="expression" dxfId="2994" priority="107">
      <formula>AND(B$9&gt;=14/24,B$9&lt;20/24)</formula>
    </cfRule>
    <cfRule type="expression" dxfId="2993" priority="108">
      <formula>AND(B$9&gt;=8/24,B$9&lt;14/24)</formula>
    </cfRule>
    <cfRule type="expression" dxfId="2992" priority="109">
      <formula>B$9&lt;8/24</formula>
    </cfRule>
  </conditionalFormatting>
  <conditionalFormatting sqref="B36:Y36">
    <cfRule type="expression" dxfId="2991" priority="102">
      <formula>B$9&gt;=20/24</formula>
    </cfRule>
    <cfRule type="expression" dxfId="2990" priority="103">
      <formula>AND(B$9&gt;=14/24,B$9&lt;20/24)</formula>
    </cfRule>
    <cfRule type="expression" dxfId="2989" priority="104">
      <formula>AND(B$9&gt;=8/24,B$9&lt;14/24)</formula>
    </cfRule>
    <cfRule type="expression" dxfId="2988" priority="105">
      <formula>B$9&lt;8/24</formula>
    </cfRule>
  </conditionalFormatting>
  <conditionalFormatting sqref="B36:Y36">
    <cfRule type="expression" dxfId="2987" priority="101">
      <formula>B36&gt;$AG36</formula>
    </cfRule>
  </conditionalFormatting>
  <conditionalFormatting sqref="B50:W56 X50:AE53 X55:AE56">
    <cfRule type="expression" dxfId="2986" priority="97">
      <formula>B$9&gt;=20/24</formula>
    </cfRule>
    <cfRule type="expression" dxfId="2985" priority="98">
      <formula>AND(B$9&gt;=14/24,B$9&lt;20/24)</formula>
    </cfRule>
    <cfRule type="expression" dxfId="2984" priority="99">
      <formula>AND(B$9&gt;=8/24,B$9&lt;14/24)</formula>
    </cfRule>
    <cfRule type="expression" dxfId="2983" priority="100">
      <formula>B$9&lt;8/24</formula>
    </cfRule>
  </conditionalFormatting>
  <conditionalFormatting sqref="B50:W56 X50:AE53 X55:AE56">
    <cfRule type="expression" dxfId="2982" priority="96">
      <formula>B50&gt;$AG50</formula>
    </cfRule>
  </conditionalFormatting>
  <conditionalFormatting sqref="B28:Y28">
    <cfRule type="expression" dxfId="2981" priority="92">
      <formula>B$9&gt;=20/24</formula>
    </cfRule>
    <cfRule type="expression" dxfId="2980" priority="93">
      <formula>AND(B$9&gt;=14/24,B$9&lt;20/24)</formula>
    </cfRule>
    <cfRule type="expression" dxfId="2979" priority="94">
      <formula>AND(B$9&gt;=8/24,B$9&lt;14/24)</formula>
    </cfRule>
    <cfRule type="expression" dxfId="2978" priority="95">
      <formula>B$9&lt;8/24</formula>
    </cfRule>
  </conditionalFormatting>
  <conditionalFormatting sqref="B19:T19 B24:Y24">
    <cfRule type="expression" dxfId="2977" priority="88">
      <formula>B$9&gt;=20/24</formula>
    </cfRule>
    <cfRule type="expression" dxfId="2976" priority="89">
      <formula>AND(B$9&gt;=14/24,B$9&lt;20/24)</formula>
    </cfRule>
    <cfRule type="expression" dxfId="2975" priority="90">
      <formula>AND(B$9&gt;=8/24,B$9&lt;14/24)</formula>
    </cfRule>
    <cfRule type="expression" dxfId="2974" priority="91">
      <formula>B$9&lt;8/24</formula>
    </cfRule>
  </conditionalFormatting>
  <conditionalFormatting sqref="B19:T19 B24:Y24">
    <cfRule type="expression" dxfId="2973" priority="87">
      <formula>B19&gt;$AG19</formula>
    </cfRule>
  </conditionalFormatting>
  <conditionalFormatting sqref="A36">
    <cfRule type="expression" dxfId="2972" priority="86">
      <formula>$AH36=0</formula>
    </cfRule>
  </conditionalFormatting>
  <conditionalFormatting sqref="B74:AF74">
    <cfRule type="expression" dxfId="2971" priority="82">
      <formula>B$9&gt;=20/24</formula>
    </cfRule>
    <cfRule type="expression" dxfId="2970" priority="83">
      <formula>AND(B$9&gt;=14/24,B$9&lt;20/24)</formula>
    </cfRule>
    <cfRule type="expression" dxfId="2969" priority="84">
      <formula>AND(B$9&gt;=8/24,B$9&lt;14/24)</formula>
    </cfRule>
    <cfRule type="expression" dxfId="2968" priority="85">
      <formula>B$9&lt;8/24</formula>
    </cfRule>
  </conditionalFormatting>
  <conditionalFormatting sqref="B83:AF87">
    <cfRule type="expression" dxfId="2967" priority="78">
      <formula>B$9&gt;=20/24</formula>
    </cfRule>
    <cfRule type="expression" dxfId="2966" priority="79">
      <formula>AND(B$9&gt;=14/24,B$9&lt;20/24)</formula>
    </cfRule>
    <cfRule type="expression" dxfId="2965" priority="80">
      <formula>AND(B$9&gt;=8/24,B$9&lt;14/24)</formula>
    </cfRule>
    <cfRule type="expression" dxfId="2964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1:AF43">
    <cfRule type="expression" dxfId="2963" priority="74">
      <formula>C$9&gt;=20/24</formula>
    </cfRule>
    <cfRule type="expression" dxfId="2962" priority="75">
      <formula>AND(C$9&gt;=14/24,C$9&lt;20/24)</formula>
    </cfRule>
    <cfRule type="expression" dxfId="2961" priority="76">
      <formula>AND(C$9&gt;=8/24,C$9&lt;14/24)</formula>
    </cfRule>
    <cfRule type="expression" dxfId="2960" priority="77">
      <formula>C$9&lt;8/24</formula>
    </cfRule>
  </conditionalFormatting>
  <conditionalFormatting sqref="C41:AF43">
    <cfRule type="expression" dxfId="2959" priority="73">
      <formula>C41&gt;$AG41</formula>
    </cfRule>
  </conditionalFormatting>
  <conditionalFormatting sqref="B41:B44 C44:AG44">
    <cfRule type="expression" dxfId="2958" priority="69">
      <formula>B$9&gt;=20/24</formula>
    </cfRule>
    <cfRule type="expression" dxfId="2957" priority="70">
      <formula>AND(B$9&gt;=14/24,B$9&lt;20/24)</formula>
    </cfRule>
    <cfRule type="expression" dxfId="2956" priority="71">
      <formula>AND(B$9&gt;=8/24,B$9&lt;14/24)</formula>
    </cfRule>
    <cfRule type="expression" dxfId="2955" priority="72">
      <formula>B$9&lt;8/24</formula>
    </cfRule>
  </conditionalFormatting>
  <conditionalFormatting sqref="B41:B44 C44:AG44">
    <cfRule type="expression" dxfId="2954" priority="68">
      <formula>B41&gt;$AG41</formula>
    </cfRule>
  </conditionalFormatting>
  <conditionalFormatting sqref="C99:AF99">
    <cfRule type="expression" dxfId="2953" priority="64">
      <formula>C$9&gt;=20/24</formula>
    </cfRule>
    <cfRule type="expression" dxfId="2952" priority="65">
      <formula>AND(C$9&gt;=14/24,C$9&lt;20/24)</formula>
    </cfRule>
    <cfRule type="expression" dxfId="2951" priority="66">
      <formula>AND(C$9&gt;=8/24,C$9&lt;14/24)</formula>
    </cfRule>
    <cfRule type="expression" dxfId="2950" priority="67">
      <formula>C$9&lt;8/24</formula>
    </cfRule>
  </conditionalFormatting>
  <conditionalFormatting sqref="B99">
    <cfRule type="expression" dxfId="2949" priority="60">
      <formula>B$9&gt;=20/24</formula>
    </cfRule>
    <cfRule type="expression" dxfId="2948" priority="61">
      <formula>AND(B$9&gt;=14/24,B$9&lt;20/24)</formula>
    </cfRule>
    <cfRule type="expression" dxfId="2947" priority="62">
      <formula>AND(B$9&gt;=8/24,B$9&lt;14/24)</formula>
    </cfRule>
    <cfRule type="expression" dxfId="2946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2945" priority="54">
      <formula>$AH33=0</formula>
    </cfRule>
  </conditionalFormatting>
  <conditionalFormatting sqref="A82">
    <cfRule type="expression" dxfId="2944" priority="52">
      <formula>$AH82=0</formula>
    </cfRule>
  </conditionalFormatting>
  <conditionalFormatting sqref="A79">
    <cfRule type="expression" dxfId="2943" priority="53">
      <formula>$AH79=0</formula>
    </cfRule>
  </conditionalFormatting>
  <conditionalFormatting sqref="A109">
    <cfRule type="expression" dxfId="2942" priority="43">
      <formula>$AH109=0</formula>
    </cfRule>
  </conditionalFormatting>
  <conditionalFormatting sqref="C102:AF102">
    <cfRule type="expression" dxfId="2941" priority="39">
      <formula>C$9&gt;=20/24</formula>
    </cfRule>
    <cfRule type="expression" dxfId="2940" priority="40">
      <formula>AND(C$9&gt;=14/24,C$9&lt;20/24)</formula>
    </cfRule>
    <cfRule type="expression" dxfId="2939" priority="41">
      <formula>AND(C$9&gt;=8/24,C$9&lt;14/24)</formula>
    </cfRule>
    <cfRule type="expression" dxfId="2938" priority="42">
      <formula>C$9&lt;8/24</formula>
    </cfRule>
  </conditionalFormatting>
  <conditionalFormatting sqref="A102">
    <cfRule type="expression" dxfId="2937" priority="38">
      <formula>$AH102=0</formula>
    </cfRule>
  </conditionalFormatting>
  <conditionalFormatting sqref="B102">
    <cfRule type="expression" dxfId="2936" priority="34">
      <formula>B$9&gt;=20/24</formula>
    </cfRule>
    <cfRule type="expression" dxfId="2935" priority="35">
      <formula>AND(B$9&gt;=14/24,B$9&lt;20/24)</formula>
    </cfRule>
    <cfRule type="expression" dxfId="2934" priority="36">
      <formula>AND(B$9&gt;=8/24,B$9&lt;14/24)</formula>
    </cfRule>
    <cfRule type="expression" dxfId="2933" priority="37">
      <formula>B$9&lt;8/24</formula>
    </cfRule>
  </conditionalFormatting>
  <conditionalFormatting sqref="X54:AE54">
    <cfRule type="expression" dxfId="2932" priority="30">
      <formula>X$9&gt;=20/24</formula>
    </cfRule>
    <cfRule type="expression" dxfId="2931" priority="31">
      <formula>AND(X$9&gt;=14/24,X$9&lt;20/24)</formula>
    </cfRule>
    <cfRule type="expression" dxfId="2930" priority="32">
      <formula>AND(X$9&gt;=8/24,X$9&lt;14/24)</formula>
    </cfRule>
    <cfRule type="expression" dxfId="2929" priority="33">
      <formula>X$9&lt;8/24</formula>
    </cfRule>
  </conditionalFormatting>
  <conditionalFormatting sqref="X54:AE54">
    <cfRule type="expression" dxfId="2928" priority="29">
      <formula>X54&gt;$AG54</formula>
    </cfRule>
  </conditionalFormatting>
  <conditionalFormatting sqref="B17:AF17">
    <cfRule type="expression" dxfId="2927" priority="27">
      <formula>B17&gt;$AG17</formula>
    </cfRule>
  </conditionalFormatting>
  <conditionalFormatting sqref="A17">
    <cfRule type="expression" dxfId="2926" priority="26">
      <formula>$AH17=0</formula>
    </cfRule>
  </conditionalFormatting>
  <conditionalFormatting sqref="X17:AF17">
    <cfRule type="expression" dxfId="2925" priority="22">
      <formula>X$9&gt;=20/24</formula>
    </cfRule>
    <cfRule type="expression" dxfId="2924" priority="23">
      <formula>AND(X$9&gt;=14/24,X$9&lt;20/24)</formula>
    </cfRule>
    <cfRule type="expression" dxfId="2923" priority="24">
      <formula>AND(X$9&gt;=8/24,X$9&lt;14/24)</formula>
    </cfRule>
    <cfRule type="expression" dxfId="2922" priority="25">
      <formula>X$9&lt;8/24</formula>
    </cfRule>
  </conditionalFormatting>
  <conditionalFormatting sqref="B17:W17">
    <cfRule type="expression" dxfId="2921" priority="18">
      <formula>B$9&gt;=20/24</formula>
    </cfRule>
    <cfRule type="expression" dxfId="2920" priority="19">
      <formula>AND(B$9&gt;=14/24,B$9&lt;20/24)</formula>
    </cfRule>
    <cfRule type="expression" dxfId="2919" priority="20">
      <formula>AND(B$9&gt;=8/24,B$9&lt;14/24)</formula>
    </cfRule>
    <cfRule type="expression" dxfId="2918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2917" priority="16">
      <formula>$AH30=0</formula>
    </cfRule>
  </conditionalFormatting>
  <conditionalFormatting sqref="X30:AF30">
    <cfRule type="expression" dxfId="2916" priority="12">
      <formula>X$9&gt;=20/24</formula>
    </cfRule>
    <cfRule type="expression" dxfId="2915" priority="13">
      <formula>AND(X$9&gt;=14/24,X$9&lt;20/24)</formula>
    </cfRule>
    <cfRule type="expression" dxfId="2914" priority="14">
      <formula>AND(X$9&gt;=8/24,X$9&lt;14/24)</formula>
    </cfRule>
    <cfRule type="expression" dxfId="2913" priority="15">
      <formula>X$9&lt;8/24</formula>
    </cfRule>
  </conditionalFormatting>
  <conditionalFormatting sqref="X30:AF30">
    <cfRule type="expression" dxfId="2912" priority="11">
      <formula>X30&gt;$AG30</formula>
    </cfRule>
  </conditionalFormatting>
  <conditionalFormatting sqref="C30:W30">
    <cfRule type="expression" dxfId="2911" priority="7">
      <formula>C$9&gt;=20/24</formula>
    </cfRule>
    <cfRule type="expression" dxfId="2910" priority="8">
      <formula>AND(C$9&gt;=14/24,C$9&lt;20/24)</formula>
    </cfRule>
    <cfRule type="expression" dxfId="2909" priority="9">
      <formula>AND(C$9&gt;=8/24,C$9&lt;14/24)</formula>
    </cfRule>
    <cfRule type="expression" dxfId="2908" priority="10">
      <formula>C$9&lt;8/24</formula>
    </cfRule>
  </conditionalFormatting>
  <conditionalFormatting sqref="C30:W30">
    <cfRule type="expression" dxfId="2907" priority="6">
      <formula>C30&gt;$AG30</formula>
    </cfRule>
  </conditionalFormatting>
  <conditionalFormatting sqref="B30">
    <cfRule type="expression" dxfId="2906" priority="2">
      <formula>B$9&gt;=20/24</formula>
    </cfRule>
    <cfRule type="expression" dxfId="2905" priority="3">
      <formula>AND(B$9&gt;=14/24,B$9&lt;20/24)</formula>
    </cfRule>
    <cfRule type="expression" dxfId="2904" priority="4">
      <formula>AND(B$9&gt;=8/24,B$9&lt;14/24)</formula>
    </cfRule>
    <cfRule type="expression" dxfId="2903" priority="5">
      <formula>B$9&lt;8/24</formula>
    </cfRule>
  </conditionalFormatting>
  <conditionalFormatting sqref="B30">
    <cfRule type="expression" dxfId="2902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1D15E73F-C88B-48B7-B47E-94AA26F5C8C4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E47DBEF0-71EC-4178-9B14-47AFB051E6E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15248FD8-7F48-4C67-A564-94AABA37C3E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F68147A4-832E-4FBA-9C02-89B653F2E0E2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43843EF3-5439-455F-AF08-5765FD71814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584D66E3-2F7E-4AA2-AA25-141341A2606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109F41BC-FBB0-4A96-889A-1D9A355DFC4D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7F835CDE-38C9-4750-AEEF-7B9B1D208260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438F70AC-4D9D-435A-9BB0-1EE433D7CC88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B6EDD06B-1D00-46CA-A63D-20C5DA09ACB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92509597-9BDD-4455-BA11-390A236B285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5D805DA8-4AFB-4D11-8B51-C4D3198E6907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Z68" sqref="Z6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2079/06/26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12</v>
      </c>
      <c r="X5" s="148">
        <f t="shared" si="0"/>
        <v>51.2</v>
      </c>
      <c r="Y5" s="148">
        <f t="shared" si="0"/>
        <v>47.2</v>
      </c>
      <c r="Z5" s="148">
        <f t="shared" si="0"/>
        <v>17.600000000000001</v>
      </c>
      <c r="AA5" s="148">
        <f t="shared" si="0"/>
        <v>0</v>
      </c>
      <c r="AB5" s="148">
        <f t="shared" si="0"/>
        <v>0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B74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1578MW at 9:00hr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Load=1404</v>
      </c>
      <c r="B7" s="137">
        <f t="shared" ref="B7:AF7" si="1">B81</f>
        <v>1464.3400000000001</v>
      </c>
      <c r="C7" s="137">
        <f t="shared" si="1"/>
        <v>1467.14</v>
      </c>
      <c r="D7" s="137">
        <f t="shared" si="1"/>
        <v>1448.8400000000001</v>
      </c>
      <c r="E7" s="137">
        <f t="shared" si="1"/>
        <v>1420.8400000000001</v>
      </c>
      <c r="F7" s="137">
        <f t="shared" si="1"/>
        <v>1420.04</v>
      </c>
      <c r="G7" s="137">
        <f t="shared" si="1"/>
        <v>1404.24</v>
      </c>
      <c r="H7" s="137">
        <f t="shared" si="1"/>
        <v>1420.64</v>
      </c>
      <c r="I7" s="137">
        <f t="shared" si="1"/>
        <v>1448.54</v>
      </c>
      <c r="J7" s="137">
        <f t="shared" si="1"/>
        <v>1494.24</v>
      </c>
      <c r="K7" s="137">
        <f t="shared" si="1"/>
        <v>1567.24</v>
      </c>
      <c r="L7" s="137">
        <f t="shared" si="1"/>
        <v>1511.24</v>
      </c>
      <c r="M7" s="137">
        <f t="shared" si="1"/>
        <v>1567.34</v>
      </c>
      <c r="N7" s="137">
        <f t="shared" si="1"/>
        <v>1577.74</v>
      </c>
      <c r="O7" s="137">
        <f t="shared" si="1"/>
        <v>1584.54</v>
      </c>
      <c r="P7" s="137">
        <f t="shared" si="1"/>
        <v>1584.54</v>
      </c>
      <c r="Q7" s="137">
        <f t="shared" si="1"/>
        <v>1583.5400000000002</v>
      </c>
      <c r="R7" s="137">
        <f t="shared" si="1"/>
        <v>1584.6399999999999</v>
      </c>
      <c r="S7" s="137">
        <f t="shared" si="1"/>
        <v>1575.6399999999999</v>
      </c>
      <c r="T7" s="137">
        <f t="shared" si="1"/>
        <v>1579.6399999999999</v>
      </c>
      <c r="U7" s="137">
        <f t="shared" si="1"/>
        <v>1592.1399999999999</v>
      </c>
      <c r="V7" s="137">
        <f t="shared" si="1"/>
        <v>1594.14</v>
      </c>
      <c r="W7" s="137">
        <f t="shared" si="1"/>
        <v>1584.94</v>
      </c>
      <c r="X7" s="137">
        <f t="shared" si="1"/>
        <v>1692.2399999999998</v>
      </c>
      <c r="Y7" s="137">
        <f t="shared" si="1"/>
        <v>1743.9399999999998</v>
      </c>
      <c r="Z7" s="137">
        <f t="shared" si="1"/>
        <v>1739.9399999999998</v>
      </c>
      <c r="AA7" s="137">
        <f t="shared" si="1"/>
        <v>1710.3399999999997</v>
      </c>
      <c r="AB7" s="137">
        <f t="shared" si="1"/>
        <v>1684.1399999999999</v>
      </c>
      <c r="AC7" s="137">
        <f t="shared" si="1"/>
        <v>1657.54</v>
      </c>
      <c r="AD7" s="137">
        <f t="shared" si="1"/>
        <v>1613.2400000000002</v>
      </c>
      <c r="AE7" s="137">
        <f t="shared" si="1"/>
        <v>1558.3400000000001</v>
      </c>
      <c r="AF7" s="137">
        <f t="shared" si="1"/>
        <v>1517.04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27.9</v>
      </c>
      <c r="C11" s="105">
        <v>27.9</v>
      </c>
      <c r="D11" s="105">
        <v>27.9</v>
      </c>
      <c r="E11" s="105">
        <v>27.9</v>
      </c>
      <c r="F11" s="105">
        <v>27.6</v>
      </c>
      <c r="G11" s="105">
        <v>27.6</v>
      </c>
      <c r="H11" s="105">
        <v>27.6</v>
      </c>
      <c r="I11" s="105">
        <v>27.6</v>
      </c>
      <c r="J11" s="105">
        <v>28</v>
      </c>
      <c r="K11" s="105">
        <v>28</v>
      </c>
      <c r="L11" s="105">
        <v>28</v>
      </c>
      <c r="M11" s="105">
        <v>40.9</v>
      </c>
      <c r="N11" s="105">
        <v>53.4</v>
      </c>
      <c r="O11" s="105">
        <v>53</v>
      </c>
      <c r="P11" s="105">
        <v>53</v>
      </c>
      <c r="Q11" s="105">
        <v>53.3</v>
      </c>
      <c r="R11" s="105">
        <v>52.4</v>
      </c>
      <c r="S11" s="105">
        <v>52.4</v>
      </c>
      <c r="T11" s="105">
        <v>52.4</v>
      </c>
      <c r="U11" s="105">
        <v>52.4</v>
      </c>
      <c r="V11" s="105">
        <v>52</v>
      </c>
      <c r="W11" s="105">
        <v>52</v>
      </c>
      <c r="X11" s="128">
        <v>54</v>
      </c>
      <c r="Y11" s="128">
        <v>54</v>
      </c>
      <c r="Z11" s="128">
        <v>54</v>
      </c>
      <c r="AA11" s="128">
        <v>54</v>
      </c>
      <c r="AB11" s="128">
        <v>53.3</v>
      </c>
      <c r="AC11" s="128">
        <v>53.3</v>
      </c>
      <c r="AD11" s="128">
        <v>53.3</v>
      </c>
      <c r="AE11" s="128">
        <v>53.2</v>
      </c>
      <c r="AF11" s="128">
        <v>53.2</v>
      </c>
      <c r="AG11" s="127">
        <v>52.4</v>
      </c>
      <c r="AH11" s="20">
        <f>MAX(B11:AF11)</f>
        <v>54</v>
      </c>
      <c r="AI11" s="19">
        <f>MIN(B11:AF11)</f>
        <v>27.6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50.4</v>
      </c>
      <c r="C12" s="105">
        <v>50.4</v>
      </c>
      <c r="D12" s="105">
        <v>50.4</v>
      </c>
      <c r="E12" s="105">
        <v>50.7</v>
      </c>
      <c r="F12" s="105">
        <v>50</v>
      </c>
      <c r="G12" s="105">
        <v>50</v>
      </c>
      <c r="H12" s="105">
        <v>50</v>
      </c>
      <c r="I12" s="105">
        <v>50</v>
      </c>
      <c r="J12" s="105">
        <v>50</v>
      </c>
      <c r="K12" s="105">
        <v>50</v>
      </c>
      <c r="L12" s="105">
        <v>50</v>
      </c>
      <c r="M12" s="105">
        <v>50</v>
      </c>
      <c r="N12" s="105">
        <v>50</v>
      </c>
      <c r="O12" s="105">
        <v>50</v>
      </c>
      <c r="P12" s="105">
        <v>50</v>
      </c>
      <c r="Q12" s="105">
        <v>50</v>
      </c>
      <c r="R12" s="105">
        <v>50.3</v>
      </c>
      <c r="S12" s="105">
        <v>50.3</v>
      </c>
      <c r="T12" s="105">
        <v>50.3</v>
      </c>
      <c r="U12" s="105">
        <v>50.3</v>
      </c>
      <c r="V12" s="105">
        <v>50.3</v>
      </c>
      <c r="W12" s="105">
        <v>50.3</v>
      </c>
      <c r="X12" s="105">
        <v>50</v>
      </c>
      <c r="Y12" s="105">
        <v>50</v>
      </c>
      <c r="Z12" s="105">
        <v>50</v>
      </c>
      <c r="AA12" s="105">
        <v>50</v>
      </c>
      <c r="AB12" s="105">
        <v>50</v>
      </c>
      <c r="AC12" s="105">
        <v>50</v>
      </c>
      <c r="AD12" s="105">
        <v>50</v>
      </c>
      <c r="AE12" s="105">
        <v>50</v>
      </c>
      <c r="AF12" s="105">
        <v>50</v>
      </c>
      <c r="AG12" s="126">
        <v>50</v>
      </c>
      <c r="AH12" s="20">
        <f t="shared" ref="AH12:AH75" si="2">MAX(B12:AF12)</f>
        <v>50.7</v>
      </c>
      <c r="AI12" s="19">
        <f t="shared" ref="AI12:AI75" si="3">MIN(B12:AF12)</f>
        <v>50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38</v>
      </c>
      <c r="C13" s="105">
        <v>38</v>
      </c>
      <c r="D13" s="105">
        <v>38</v>
      </c>
      <c r="E13" s="105">
        <v>38</v>
      </c>
      <c r="F13" s="105">
        <v>38</v>
      </c>
      <c r="G13" s="105">
        <v>38</v>
      </c>
      <c r="H13" s="105">
        <v>38</v>
      </c>
      <c r="I13" s="105">
        <v>38</v>
      </c>
      <c r="J13" s="105">
        <v>38</v>
      </c>
      <c r="K13" s="105">
        <v>38</v>
      </c>
      <c r="L13" s="105">
        <v>38</v>
      </c>
      <c r="M13" s="105">
        <v>46.1</v>
      </c>
      <c r="N13" s="105">
        <v>46</v>
      </c>
      <c r="O13" s="105">
        <v>46</v>
      </c>
      <c r="P13" s="105">
        <v>46</v>
      </c>
      <c r="Q13" s="105">
        <v>46</v>
      </c>
      <c r="R13" s="105">
        <v>46.1</v>
      </c>
      <c r="S13" s="105">
        <v>46.1</v>
      </c>
      <c r="T13" s="105">
        <v>46.1</v>
      </c>
      <c r="U13" s="105">
        <v>46.1</v>
      </c>
      <c r="V13" s="105">
        <v>46.1</v>
      </c>
      <c r="W13" s="105">
        <v>46.1</v>
      </c>
      <c r="X13" s="105">
        <v>46.1</v>
      </c>
      <c r="Y13" s="105">
        <v>46.1</v>
      </c>
      <c r="Z13" s="105">
        <v>46.1</v>
      </c>
      <c r="AA13" s="105">
        <v>46.1</v>
      </c>
      <c r="AB13" s="105">
        <v>46.1</v>
      </c>
      <c r="AC13" s="105">
        <v>46.1</v>
      </c>
      <c r="AD13" s="105">
        <v>46.1</v>
      </c>
      <c r="AE13" s="105">
        <v>46.1</v>
      </c>
      <c r="AF13" s="105">
        <v>46.1</v>
      </c>
      <c r="AG13" s="126">
        <v>45</v>
      </c>
      <c r="AH13" s="20">
        <f t="shared" si="2"/>
        <v>46.1</v>
      </c>
      <c r="AI13" s="19">
        <f t="shared" si="3"/>
        <v>38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20</v>
      </c>
      <c r="C14" s="105">
        <v>20</v>
      </c>
      <c r="D14" s="105">
        <v>20</v>
      </c>
      <c r="E14" s="105">
        <v>20</v>
      </c>
      <c r="F14" s="105">
        <v>20</v>
      </c>
      <c r="G14" s="105">
        <v>20</v>
      </c>
      <c r="H14" s="105">
        <v>20</v>
      </c>
      <c r="I14" s="105">
        <v>20</v>
      </c>
      <c r="J14" s="105">
        <v>20</v>
      </c>
      <c r="K14" s="105">
        <v>28</v>
      </c>
      <c r="L14" s="105">
        <v>28</v>
      </c>
      <c r="M14" s="105">
        <v>28</v>
      </c>
      <c r="N14" s="105">
        <v>25</v>
      </c>
      <c r="O14" s="105">
        <v>28</v>
      </c>
      <c r="P14" s="105">
        <v>28</v>
      </c>
      <c r="Q14" s="105">
        <v>28</v>
      </c>
      <c r="R14" s="105">
        <v>28</v>
      </c>
      <c r="S14" s="105">
        <v>28</v>
      </c>
      <c r="T14" s="105">
        <v>28</v>
      </c>
      <c r="U14" s="105">
        <v>28</v>
      </c>
      <c r="V14" s="105">
        <v>28</v>
      </c>
      <c r="W14" s="105">
        <v>28</v>
      </c>
      <c r="X14" s="105">
        <v>38</v>
      </c>
      <c r="Y14" s="105">
        <v>38</v>
      </c>
      <c r="Z14" s="105">
        <v>38</v>
      </c>
      <c r="AA14" s="105">
        <v>38</v>
      </c>
      <c r="AB14" s="105">
        <v>38</v>
      </c>
      <c r="AC14" s="105">
        <v>38</v>
      </c>
      <c r="AD14" s="105">
        <v>30.7</v>
      </c>
      <c r="AE14" s="105">
        <v>26</v>
      </c>
      <c r="AF14" s="105">
        <v>26.9</v>
      </c>
      <c r="AG14" s="126">
        <v>42</v>
      </c>
      <c r="AH14" s="20">
        <f t="shared" si="2"/>
        <v>38</v>
      </c>
      <c r="AI14" s="19">
        <f t="shared" si="3"/>
        <v>20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0</v>
      </c>
      <c r="N15" s="105">
        <v>0</v>
      </c>
      <c r="O15" s="105">
        <v>0</v>
      </c>
      <c r="P15" s="105">
        <v>0</v>
      </c>
      <c r="Q15" s="105">
        <v>0</v>
      </c>
      <c r="R15" s="105">
        <v>0</v>
      </c>
      <c r="S15" s="105">
        <v>0</v>
      </c>
      <c r="T15" s="105">
        <v>0</v>
      </c>
      <c r="U15" s="105">
        <v>0</v>
      </c>
      <c r="V15" s="105">
        <v>0</v>
      </c>
      <c r="W15" s="105">
        <v>0</v>
      </c>
      <c r="X15" s="105">
        <v>30</v>
      </c>
      <c r="Y15" s="105">
        <v>30</v>
      </c>
      <c r="Z15" s="105">
        <v>30</v>
      </c>
      <c r="AA15" s="105">
        <v>30</v>
      </c>
      <c r="AB15" s="105">
        <v>20</v>
      </c>
      <c r="AC15" s="105">
        <v>20.5</v>
      </c>
      <c r="AD15" s="105">
        <v>10</v>
      </c>
      <c r="AE15" s="105">
        <v>0</v>
      </c>
      <c r="AF15" s="105">
        <v>0</v>
      </c>
      <c r="AG15" s="96">
        <v>30</v>
      </c>
      <c r="AH15" s="20">
        <f t="shared" si="2"/>
        <v>30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10.5</v>
      </c>
      <c r="C16" s="105">
        <v>10.5</v>
      </c>
      <c r="D16" s="105">
        <v>10.5</v>
      </c>
      <c r="E16" s="105">
        <v>10.5</v>
      </c>
      <c r="F16" s="105">
        <v>10.5</v>
      </c>
      <c r="G16" s="105">
        <v>10.5</v>
      </c>
      <c r="H16" s="105">
        <v>10.5</v>
      </c>
      <c r="I16" s="105">
        <v>10.5</v>
      </c>
      <c r="J16" s="105">
        <v>10.5</v>
      </c>
      <c r="K16" s="105">
        <v>20</v>
      </c>
      <c r="L16" s="105">
        <v>20</v>
      </c>
      <c r="M16" s="105">
        <v>20.7</v>
      </c>
      <c r="N16" s="105">
        <v>20.7</v>
      </c>
      <c r="O16" s="105">
        <v>22.7</v>
      </c>
      <c r="P16" s="105">
        <v>22.7</v>
      </c>
      <c r="Q16" s="105">
        <v>22.5</v>
      </c>
      <c r="R16" s="105">
        <v>22.5</v>
      </c>
      <c r="S16" s="105">
        <v>22.5</v>
      </c>
      <c r="T16" s="105">
        <v>22.5</v>
      </c>
      <c r="U16" s="105">
        <v>25</v>
      </c>
      <c r="V16" s="105">
        <v>25</v>
      </c>
      <c r="W16" s="105">
        <v>25</v>
      </c>
      <c r="X16" s="105">
        <v>33.200000000000003</v>
      </c>
      <c r="Y16" s="105">
        <v>33.200000000000003</v>
      </c>
      <c r="Z16" s="105">
        <v>33.200000000000003</v>
      </c>
      <c r="AA16" s="105">
        <v>33.200000000000003</v>
      </c>
      <c r="AB16" s="105">
        <v>33.200000000000003</v>
      </c>
      <c r="AC16" s="105">
        <v>33.299999999999997</v>
      </c>
      <c r="AD16" s="105">
        <v>25.8</v>
      </c>
      <c r="AE16" s="105">
        <v>25.8</v>
      </c>
      <c r="AF16" s="105">
        <v>15.5</v>
      </c>
      <c r="AG16" s="126">
        <v>24.2</v>
      </c>
      <c r="AH16" s="20">
        <f t="shared" si="2"/>
        <v>33.299999999999997</v>
      </c>
      <c r="AI16" s="19">
        <f t="shared" si="3"/>
        <v>10.5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0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0</v>
      </c>
      <c r="N17" s="105">
        <v>0</v>
      </c>
      <c r="O17" s="105">
        <v>0</v>
      </c>
      <c r="P17" s="105">
        <v>0</v>
      </c>
      <c r="Q17" s="105">
        <v>0</v>
      </c>
      <c r="R17" s="105">
        <v>0</v>
      </c>
      <c r="S17" s="105">
        <v>0</v>
      </c>
      <c r="T17" s="105">
        <v>0</v>
      </c>
      <c r="U17" s="105">
        <v>0</v>
      </c>
      <c r="V17" s="105">
        <v>0</v>
      </c>
      <c r="W17" s="105">
        <v>3</v>
      </c>
      <c r="X17" s="105">
        <v>27</v>
      </c>
      <c r="Y17" s="105">
        <v>27</v>
      </c>
      <c r="Z17" s="105">
        <v>27</v>
      </c>
      <c r="AA17" s="105">
        <v>27</v>
      </c>
      <c r="AB17" s="105">
        <v>27</v>
      </c>
      <c r="AC17" s="105">
        <v>9</v>
      </c>
      <c r="AD17" s="105">
        <v>9</v>
      </c>
      <c r="AE17" s="105">
        <v>0</v>
      </c>
      <c r="AF17" s="105">
        <v>0</v>
      </c>
      <c r="AG17" s="96">
        <v>30</v>
      </c>
      <c r="AH17" s="20">
        <f t="shared" si="2"/>
        <v>27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25</v>
      </c>
      <c r="C18" s="105">
        <v>25</v>
      </c>
      <c r="D18" s="105">
        <v>25</v>
      </c>
      <c r="E18" s="105">
        <v>17</v>
      </c>
      <c r="F18" s="105">
        <v>17</v>
      </c>
      <c r="G18" s="105">
        <v>17</v>
      </c>
      <c r="H18" s="105">
        <v>17</v>
      </c>
      <c r="I18" s="105">
        <v>17</v>
      </c>
      <c r="J18" s="105">
        <v>17</v>
      </c>
      <c r="K18" s="105">
        <v>17</v>
      </c>
      <c r="L18" s="105">
        <v>17</v>
      </c>
      <c r="M18" s="105">
        <v>26</v>
      </c>
      <c r="N18" s="105">
        <v>25</v>
      </c>
      <c r="O18" s="105">
        <v>25</v>
      </c>
      <c r="P18" s="105">
        <v>25</v>
      </c>
      <c r="Q18" s="105">
        <v>25</v>
      </c>
      <c r="R18" s="105">
        <v>25</v>
      </c>
      <c r="S18" s="105">
        <v>25</v>
      </c>
      <c r="T18" s="105">
        <v>25</v>
      </c>
      <c r="U18" s="105">
        <v>25</v>
      </c>
      <c r="V18" s="105">
        <v>25.4</v>
      </c>
      <c r="W18" s="105">
        <v>25.4</v>
      </c>
      <c r="X18" s="105">
        <v>25.3</v>
      </c>
      <c r="Y18" s="105">
        <v>25.3</v>
      </c>
      <c r="Z18" s="105">
        <v>25.3</v>
      </c>
      <c r="AA18" s="105">
        <v>25.3</v>
      </c>
      <c r="AB18" s="105">
        <v>25.3</v>
      </c>
      <c r="AC18" s="105">
        <v>25.3</v>
      </c>
      <c r="AD18" s="105">
        <v>25.3</v>
      </c>
      <c r="AE18" s="105">
        <v>25.2</v>
      </c>
      <c r="AF18" s="105">
        <v>25.2</v>
      </c>
      <c r="AG18" s="126">
        <v>25</v>
      </c>
      <c r="AH18" s="20">
        <f t="shared" si="2"/>
        <v>26</v>
      </c>
      <c r="AI18" s="19">
        <f t="shared" si="3"/>
        <v>17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20</v>
      </c>
      <c r="C19" s="105">
        <v>20</v>
      </c>
      <c r="D19" s="105">
        <v>20</v>
      </c>
      <c r="E19" s="105">
        <v>20</v>
      </c>
      <c r="F19" s="105">
        <v>20</v>
      </c>
      <c r="G19" s="105">
        <v>20</v>
      </c>
      <c r="H19" s="105">
        <v>20</v>
      </c>
      <c r="I19" s="105">
        <v>20</v>
      </c>
      <c r="J19" s="105">
        <v>20</v>
      </c>
      <c r="K19" s="105">
        <v>20</v>
      </c>
      <c r="L19" s="105">
        <v>20</v>
      </c>
      <c r="M19" s="105">
        <v>20</v>
      </c>
      <c r="N19" s="105">
        <v>20</v>
      </c>
      <c r="O19" s="105">
        <v>20</v>
      </c>
      <c r="P19" s="105">
        <v>20</v>
      </c>
      <c r="Q19" s="105">
        <v>20</v>
      </c>
      <c r="R19" s="105">
        <v>20</v>
      </c>
      <c r="S19" s="105">
        <v>20</v>
      </c>
      <c r="T19" s="105">
        <v>20</v>
      </c>
      <c r="U19" s="105">
        <v>20</v>
      </c>
      <c r="V19" s="105">
        <v>20</v>
      </c>
      <c r="W19" s="105">
        <v>20</v>
      </c>
      <c r="X19" s="105">
        <v>20</v>
      </c>
      <c r="Y19" s="105">
        <v>20</v>
      </c>
      <c r="Z19" s="105">
        <v>20</v>
      </c>
      <c r="AA19" s="105">
        <v>20</v>
      </c>
      <c r="AB19" s="105">
        <v>20</v>
      </c>
      <c r="AC19" s="105">
        <v>20</v>
      </c>
      <c r="AD19" s="105">
        <v>20</v>
      </c>
      <c r="AE19" s="105">
        <v>20</v>
      </c>
      <c r="AF19" s="105">
        <v>20</v>
      </c>
      <c r="AG19" s="126">
        <v>25</v>
      </c>
      <c r="AH19" s="20">
        <f t="shared" si="2"/>
        <v>20</v>
      </c>
      <c r="AI19" s="19">
        <f t="shared" si="3"/>
        <v>20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25</v>
      </c>
      <c r="C20" s="105">
        <v>25</v>
      </c>
      <c r="D20" s="105">
        <v>15.5</v>
      </c>
      <c r="E20" s="105">
        <v>15.5</v>
      </c>
      <c r="F20" s="105">
        <v>15.5</v>
      </c>
      <c r="G20" s="105">
        <v>15.5</v>
      </c>
      <c r="H20" s="105">
        <v>15.5</v>
      </c>
      <c r="I20" s="105">
        <v>15.5</v>
      </c>
      <c r="J20" s="105">
        <v>18</v>
      </c>
      <c r="K20" s="105">
        <v>18</v>
      </c>
      <c r="L20" s="105">
        <v>18</v>
      </c>
      <c r="M20" s="105">
        <v>18</v>
      </c>
      <c r="N20" s="105">
        <v>18</v>
      </c>
      <c r="O20" s="105">
        <v>18</v>
      </c>
      <c r="P20" s="105">
        <v>18</v>
      </c>
      <c r="Q20" s="105">
        <v>18</v>
      </c>
      <c r="R20" s="105">
        <v>18</v>
      </c>
      <c r="S20" s="105">
        <v>18</v>
      </c>
      <c r="T20" s="105">
        <v>18</v>
      </c>
      <c r="U20" s="105">
        <v>18</v>
      </c>
      <c r="V20" s="105">
        <v>18</v>
      </c>
      <c r="W20" s="105">
        <v>18</v>
      </c>
      <c r="X20" s="105">
        <v>18</v>
      </c>
      <c r="Y20" s="105">
        <v>25</v>
      </c>
      <c r="Z20" s="105">
        <v>25</v>
      </c>
      <c r="AA20" s="105">
        <v>25</v>
      </c>
      <c r="AB20" s="105">
        <v>25</v>
      </c>
      <c r="AC20" s="105">
        <v>25</v>
      </c>
      <c r="AD20" s="105">
        <v>25</v>
      </c>
      <c r="AE20" s="105">
        <v>25</v>
      </c>
      <c r="AF20" s="105">
        <v>25</v>
      </c>
      <c r="AG20" s="126">
        <v>25</v>
      </c>
      <c r="AH20" s="20">
        <f t="shared" si="2"/>
        <v>25</v>
      </c>
      <c r="AI20" s="19">
        <f t="shared" si="3"/>
        <v>15.5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19</v>
      </c>
      <c r="C21" s="105">
        <v>19</v>
      </c>
      <c r="D21" s="105">
        <v>19</v>
      </c>
      <c r="E21" s="105">
        <v>19</v>
      </c>
      <c r="F21" s="105">
        <v>19</v>
      </c>
      <c r="G21" s="105">
        <v>19</v>
      </c>
      <c r="H21" s="105">
        <v>19</v>
      </c>
      <c r="I21" s="105">
        <v>19</v>
      </c>
      <c r="J21" s="105">
        <v>19</v>
      </c>
      <c r="K21" s="105">
        <v>19</v>
      </c>
      <c r="L21" s="105">
        <v>19</v>
      </c>
      <c r="M21" s="105">
        <v>19</v>
      </c>
      <c r="N21" s="105">
        <v>19</v>
      </c>
      <c r="O21" s="105">
        <v>19</v>
      </c>
      <c r="P21" s="105">
        <v>19</v>
      </c>
      <c r="Q21" s="105">
        <v>19</v>
      </c>
      <c r="R21" s="105">
        <v>19</v>
      </c>
      <c r="S21" s="105">
        <v>19</v>
      </c>
      <c r="T21" s="105">
        <v>19</v>
      </c>
      <c r="U21" s="105">
        <v>19</v>
      </c>
      <c r="V21" s="105">
        <v>19</v>
      </c>
      <c r="W21" s="105">
        <v>19</v>
      </c>
      <c r="X21" s="105">
        <v>23.5</v>
      </c>
      <c r="Y21" s="105">
        <v>23.5</v>
      </c>
      <c r="Z21" s="105">
        <v>23.5</v>
      </c>
      <c r="AA21" s="105">
        <v>23.5</v>
      </c>
      <c r="AB21" s="105">
        <v>23.5</v>
      </c>
      <c r="AC21" s="105">
        <v>23.5</v>
      </c>
      <c r="AD21" s="105">
        <v>23.5</v>
      </c>
      <c r="AE21" s="105">
        <v>23.5</v>
      </c>
      <c r="AF21" s="105">
        <v>23.5</v>
      </c>
      <c r="AG21" s="126">
        <v>23.5</v>
      </c>
      <c r="AH21" s="20">
        <f t="shared" si="2"/>
        <v>23.5</v>
      </c>
      <c r="AI21" s="19">
        <f t="shared" si="3"/>
        <v>19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20</v>
      </c>
      <c r="C22" s="105">
        <v>20</v>
      </c>
      <c r="D22" s="105">
        <v>20</v>
      </c>
      <c r="E22" s="105">
        <v>20</v>
      </c>
      <c r="F22" s="105">
        <v>20</v>
      </c>
      <c r="G22" s="105">
        <v>20</v>
      </c>
      <c r="H22" s="105">
        <v>20</v>
      </c>
      <c r="I22" s="105">
        <v>20</v>
      </c>
      <c r="J22" s="105">
        <v>20</v>
      </c>
      <c r="K22" s="105">
        <v>20</v>
      </c>
      <c r="L22" s="105">
        <v>20</v>
      </c>
      <c r="M22" s="105">
        <v>20</v>
      </c>
      <c r="N22" s="105">
        <v>20</v>
      </c>
      <c r="O22" s="105">
        <v>20</v>
      </c>
      <c r="P22" s="105">
        <v>20</v>
      </c>
      <c r="Q22" s="105">
        <v>20</v>
      </c>
      <c r="R22" s="105">
        <v>20</v>
      </c>
      <c r="S22" s="105">
        <v>15</v>
      </c>
      <c r="T22" s="105">
        <v>15</v>
      </c>
      <c r="U22" s="105">
        <v>15</v>
      </c>
      <c r="V22" s="105">
        <v>15</v>
      </c>
      <c r="W22" s="105">
        <v>15</v>
      </c>
      <c r="X22" s="105">
        <v>22</v>
      </c>
      <c r="Y22" s="105">
        <v>22</v>
      </c>
      <c r="Z22" s="105">
        <v>22</v>
      </c>
      <c r="AA22" s="105">
        <v>22</v>
      </c>
      <c r="AB22" s="105">
        <v>22</v>
      </c>
      <c r="AC22" s="105">
        <v>22</v>
      </c>
      <c r="AD22" s="105">
        <v>22</v>
      </c>
      <c r="AE22" s="105">
        <v>22</v>
      </c>
      <c r="AF22" s="105">
        <v>22</v>
      </c>
      <c r="AG22" s="126">
        <v>22.2</v>
      </c>
      <c r="AH22" s="20">
        <f t="shared" si="2"/>
        <v>22</v>
      </c>
      <c r="AI22" s="19">
        <f t="shared" si="3"/>
        <v>15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18</v>
      </c>
      <c r="C23" s="105">
        <v>18</v>
      </c>
      <c r="D23" s="105">
        <v>18</v>
      </c>
      <c r="E23" s="105">
        <v>18</v>
      </c>
      <c r="F23" s="105">
        <v>18</v>
      </c>
      <c r="G23" s="105">
        <v>18</v>
      </c>
      <c r="H23" s="105">
        <v>18</v>
      </c>
      <c r="I23" s="105">
        <v>18</v>
      </c>
      <c r="J23" s="105">
        <v>18</v>
      </c>
      <c r="K23" s="105">
        <v>18</v>
      </c>
      <c r="L23" s="105">
        <v>18</v>
      </c>
      <c r="M23" s="105">
        <v>18</v>
      </c>
      <c r="N23" s="105">
        <v>18</v>
      </c>
      <c r="O23" s="105">
        <v>18</v>
      </c>
      <c r="P23" s="105">
        <v>18</v>
      </c>
      <c r="Q23" s="105">
        <v>18</v>
      </c>
      <c r="R23" s="105">
        <v>18</v>
      </c>
      <c r="S23" s="105">
        <v>18</v>
      </c>
      <c r="T23" s="105">
        <v>22</v>
      </c>
      <c r="U23" s="105">
        <v>22</v>
      </c>
      <c r="V23" s="105">
        <v>24</v>
      </c>
      <c r="W23" s="105">
        <v>24</v>
      </c>
      <c r="X23" s="105">
        <v>24</v>
      </c>
      <c r="Y23" s="105">
        <v>24</v>
      </c>
      <c r="Z23" s="105">
        <v>24</v>
      </c>
      <c r="AA23" s="105">
        <v>24</v>
      </c>
      <c r="AB23" s="105">
        <v>24</v>
      </c>
      <c r="AC23" s="105">
        <v>24</v>
      </c>
      <c r="AD23" s="105">
        <v>19</v>
      </c>
      <c r="AE23" s="105">
        <v>19</v>
      </c>
      <c r="AF23" s="105">
        <v>19</v>
      </c>
      <c r="AG23" s="126">
        <v>22.1</v>
      </c>
      <c r="AH23" s="20">
        <f t="shared" si="2"/>
        <v>24</v>
      </c>
      <c r="AI23" s="19">
        <f t="shared" si="3"/>
        <v>18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18</v>
      </c>
      <c r="C24" s="105">
        <v>18</v>
      </c>
      <c r="D24" s="105">
        <v>18</v>
      </c>
      <c r="E24" s="105">
        <v>18</v>
      </c>
      <c r="F24" s="105">
        <v>18</v>
      </c>
      <c r="G24" s="105">
        <v>18</v>
      </c>
      <c r="H24" s="105">
        <v>18</v>
      </c>
      <c r="I24" s="105">
        <v>18</v>
      </c>
      <c r="J24" s="105">
        <v>18</v>
      </c>
      <c r="K24" s="105">
        <v>18</v>
      </c>
      <c r="L24" s="105">
        <v>18</v>
      </c>
      <c r="M24" s="105">
        <v>22</v>
      </c>
      <c r="N24" s="105">
        <v>22</v>
      </c>
      <c r="O24" s="105">
        <v>22</v>
      </c>
      <c r="P24" s="105">
        <v>22</v>
      </c>
      <c r="Q24" s="105">
        <v>22</v>
      </c>
      <c r="R24" s="105">
        <v>22</v>
      </c>
      <c r="S24" s="105">
        <v>22</v>
      </c>
      <c r="T24" s="105">
        <v>22</v>
      </c>
      <c r="U24" s="105">
        <v>22</v>
      </c>
      <c r="V24" s="105">
        <v>22</v>
      </c>
      <c r="W24" s="105">
        <v>22</v>
      </c>
      <c r="X24" s="105">
        <v>22</v>
      </c>
      <c r="Y24" s="105">
        <v>22</v>
      </c>
      <c r="Z24" s="105">
        <v>22</v>
      </c>
      <c r="AA24" s="105">
        <v>22</v>
      </c>
      <c r="AB24" s="105">
        <v>22</v>
      </c>
      <c r="AC24" s="105">
        <v>22</v>
      </c>
      <c r="AD24" s="105">
        <v>18</v>
      </c>
      <c r="AE24" s="105">
        <v>18</v>
      </c>
      <c r="AF24" s="105">
        <v>18</v>
      </c>
      <c r="AG24" s="126">
        <v>22</v>
      </c>
      <c r="AH24" s="20">
        <f t="shared" si="2"/>
        <v>22</v>
      </c>
      <c r="AI24" s="19">
        <f t="shared" si="3"/>
        <v>18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22</v>
      </c>
      <c r="C25" s="105">
        <v>22</v>
      </c>
      <c r="D25" s="105">
        <v>22</v>
      </c>
      <c r="E25" s="105">
        <v>22</v>
      </c>
      <c r="F25" s="105">
        <v>22</v>
      </c>
      <c r="G25" s="105">
        <v>22</v>
      </c>
      <c r="H25" s="105">
        <v>22</v>
      </c>
      <c r="I25" s="105">
        <v>22</v>
      </c>
      <c r="J25" s="105">
        <v>22</v>
      </c>
      <c r="K25" s="105">
        <v>22</v>
      </c>
      <c r="L25" s="105">
        <v>22</v>
      </c>
      <c r="M25" s="105">
        <v>22</v>
      </c>
      <c r="N25" s="105">
        <v>22</v>
      </c>
      <c r="O25" s="105">
        <v>22</v>
      </c>
      <c r="P25" s="105">
        <v>22</v>
      </c>
      <c r="Q25" s="105">
        <v>22</v>
      </c>
      <c r="R25" s="105">
        <v>22</v>
      </c>
      <c r="S25" s="105">
        <v>18</v>
      </c>
      <c r="T25" s="105">
        <v>18</v>
      </c>
      <c r="U25" s="105">
        <v>18</v>
      </c>
      <c r="V25" s="105">
        <v>18</v>
      </c>
      <c r="W25" s="105">
        <v>18</v>
      </c>
      <c r="X25" s="105">
        <v>22</v>
      </c>
      <c r="Y25" s="105">
        <v>22</v>
      </c>
      <c r="Z25" s="105">
        <v>22</v>
      </c>
      <c r="AA25" s="105">
        <v>22</v>
      </c>
      <c r="AB25" s="105">
        <v>22</v>
      </c>
      <c r="AC25" s="105">
        <v>22</v>
      </c>
      <c r="AD25" s="105">
        <v>22</v>
      </c>
      <c r="AE25" s="105">
        <v>22</v>
      </c>
      <c r="AF25" s="105">
        <v>20</v>
      </c>
      <c r="AG25" s="126">
        <v>22</v>
      </c>
      <c r="AH25" s="20">
        <f t="shared" si="2"/>
        <v>22</v>
      </c>
      <c r="AI25" s="19">
        <f t="shared" si="3"/>
        <v>18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5">
        <v>0</v>
      </c>
      <c r="M26" s="105">
        <v>0</v>
      </c>
      <c r="N26" s="105">
        <v>0</v>
      </c>
      <c r="O26" s="105">
        <v>0</v>
      </c>
      <c r="P26" s="105">
        <v>0</v>
      </c>
      <c r="Q26" s="105">
        <v>0</v>
      </c>
      <c r="R26" s="105">
        <v>0</v>
      </c>
      <c r="S26" s="105">
        <v>0</v>
      </c>
      <c r="T26" s="105">
        <v>0</v>
      </c>
      <c r="U26" s="105">
        <v>10</v>
      </c>
      <c r="V26" s="105">
        <v>10</v>
      </c>
      <c r="W26" s="105">
        <v>10</v>
      </c>
      <c r="X26" s="105">
        <v>10</v>
      </c>
      <c r="Y26" s="105">
        <v>10</v>
      </c>
      <c r="Z26" s="105">
        <v>10</v>
      </c>
      <c r="AA26" s="105">
        <v>10</v>
      </c>
      <c r="AB26" s="105">
        <v>10</v>
      </c>
      <c r="AC26" s="105">
        <v>10</v>
      </c>
      <c r="AD26" s="105">
        <v>0</v>
      </c>
      <c r="AE26" s="105">
        <v>0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10</v>
      </c>
      <c r="C27" s="105">
        <v>10</v>
      </c>
      <c r="D27" s="105">
        <v>10</v>
      </c>
      <c r="E27" s="105">
        <v>10.5</v>
      </c>
      <c r="F27" s="105">
        <v>10.5</v>
      </c>
      <c r="G27" s="105">
        <v>10.5</v>
      </c>
      <c r="H27" s="105">
        <v>10.5</v>
      </c>
      <c r="I27" s="105">
        <v>10.5</v>
      </c>
      <c r="J27" s="105">
        <v>10.5</v>
      </c>
      <c r="K27" s="105">
        <v>10</v>
      </c>
      <c r="L27" s="105">
        <v>10</v>
      </c>
      <c r="M27" s="105">
        <v>10</v>
      </c>
      <c r="N27" s="105">
        <v>10</v>
      </c>
      <c r="O27" s="105">
        <v>10</v>
      </c>
      <c r="P27" s="105">
        <v>10</v>
      </c>
      <c r="Q27" s="105">
        <v>10</v>
      </c>
      <c r="R27" s="105">
        <v>10</v>
      </c>
      <c r="S27" s="105">
        <v>10</v>
      </c>
      <c r="T27" s="105">
        <v>10</v>
      </c>
      <c r="U27" s="105">
        <v>10</v>
      </c>
      <c r="V27" s="105">
        <v>10</v>
      </c>
      <c r="W27" s="105">
        <v>10</v>
      </c>
      <c r="X27" s="105">
        <v>10</v>
      </c>
      <c r="Y27" s="105">
        <v>10</v>
      </c>
      <c r="Z27" s="105">
        <v>10</v>
      </c>
      <c r="AA27" s="105">
        <v>10</v>
      </c>
      <c r="AB27" s="105">
        <v>10</v>
      </c>
      <c r="AC27" s="105">
        <v>10</v>
      </c>
      <c r="AD27" s="105">
        <v>10</v>
      </c>
      <c r="AE27" s="105">
        <v>10</v>
      </c>
      <c r="AF27" s="105">
        <v>10</v>
      </c>
      <c r="AG27" s="126">
        <v>14.9</v>
      </c>
      <c r="AH27" s="20">
        <f t="shared" si="2"/>
        <v>10.5</v>
      </c>
      <c r="AI27" s="19">
        <f t="shared" si="3"/>
        <v>10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>
        <v>6.8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>
        <v>6.8</v>
      </c>
      <c r="AE28" s="105">
        <v>6.8</v>
      </c>
      <c r="AF28" s="105">
        <v>6.8</v>
      </c>
      <c r="AG28" s="126">
        <v>13.6</v>
      </c>
      <c r="AH28" s="20">
        <f t="shared" si="2"/>
        <v>6.8</v>
      </c>
      <c r="AI28" s="19">
        <f t="shared" si="3"/>
        <v>6.8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11.5</v>
      </c>
      <c r="C29" s="105">
        <v>11.5</v>
      </c>
      <c r="D29" s="105">
        <v>11.5</v>
      </c>
      <c r="E29" s="105">
        <v>11.5</v>
      </c>
      <c r="F29" s="105">
        <v>11.5</v>
      </c>
      <c r="G29" s="105">
        <v>11.5</v>
      </c>
      <c r="H29" s="105">
        <v>11.5</v>
      </c>
      <c r="I29" s="105">
        <v>11.5</v>
      </c>
      <c r="J29" s="105">
        <v>11.5</v>
      </c>
      <c r="K29" s="105">
        <v>11.5</v>
      </c>
      <c r="L29" s="105">
        <v>11.5</v>
      </c>
      <c r="M29" s="105">
        <v>11.5</v>
      </c>
      <c r="N29" s="105">
        <v>11.5</v>
      </c>
      <c r="O29" s="105">
        <v>11.5</v>
      </c>
      <c r="P29" s="105">
        <v>11.5</v>
      </c>
      <c r="Q29" s="105">
        <v>11.5</v>
      </c>
      <c r="R29" s="105">
        <v>11.5</v>
      </c>
      <c r="S29" s="105">
        <v>11.5</v>
      </c>
      <c r="T29" s="105">
        <v>11.5</v>
      </c>
      <c r="U29" s="105">
        <v>11.5</v>
      </c>
      <c r="V29" s="105">
        <v>11.5</v>
      </c>
      <c r="W29" s="105">
        <v>11.5</v>
      </c>
      <c r="X29" s="105">
        <v>11.5</v>
      </c>
      <c r="Y29" s="105">
        <v>11.5</v>
      </c>
      <c r="Z29" s="105">
        <v>11.5</v>
      </c>
      <c r="AA29" s="105">
        <v>11.5</v>
      </c>
      <c r="AB29" s="105">
        <v>11.5</v>
      </c>
      <c r="AC29" s="105">
        <v>11.5</v>
      </c>
      <c r="AD29" s="105">
        <v>11.5</v>
      </c>
      <c r="AE29" s="105">
        <v>11.5</v>
      </c>
      <c r="AF29" s="105">
        <v>11.5</v>
      </c>
      <c r="AG29" s="126">
        <v>13</v>
      </c>
      <c r="AH29" s="20">
        <f t="shared" si="2"/>
        <v>11.5</v>
      </c>
      <c r="AI29" s="19">
        <f t="shared" si="3"/>
        <v>11.5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0</v>
      </c>
      <c r="N30" s="105">
        <v>0</v>
      </c>
      <c r="O30" s="105">
        <v>0</v>
      </c>
      <c r="P30" s="105">
        <v>0</v>
      </c>
      <c r="Q30" s="105">
        <v>0</v>
      </c>
      <c r="R30" s="105">
        <v>0</v>
      </c>
      <c r="S30" s="105">
        <v>0</v>
      </c>
      <c r="T30" s="105">
        <v>0</v>
      </c>
      <c r="U30" s="105">
        <v>0</v>
      </c>
      <c r="V30" s="105">
        <v>0</v>
      </c>
      <c r="W30" s="105">
        <v>0</v>
      </c>
      <c r="X30" s="105">
        <v>6</v>
      </c>
      <c r="Y30" s="105">
        <v>12</v>
      </c>
      <c r="Z30" s="105">
        <v>12</v>
      </c>
      <c r="AA30" s="105">
        <v>12</v>
      </c>
      <c r="AB30" s="105">
        <v>12</v>
      </c>
      <c r="AC30" s="105">
        <v>5</v>
      </c>
      <c r="AD30" s="105">
        <v>5</v>
      </c>
      <c r="AE30" s="105">
        <v>0</v>
      </c>
      <c r="AF30" s="105">
        <v>0</v>
      </c>
      <c r="AG30" s="126">
        <v>12</v>
      </c>
      <c r="AH30" s="20">
        <f t="shared" si="2"/>
        <v>12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12.3</v>
      </c>
      <c r="C31" s="105">
        <v>12.3</v>
      </c>
      <c r="D31" s="105">
        <v>12.3</v>
      </c>
      <c r="E31" s="105">
        <v>12.3</v>
      </c>
      <c r="F31" s="105">
        <v>12.3</v>
      </c>
      <c r="G31" s="105">
        <v>12.3</v>
      </c>
      <c r="H31" s="105">
        <v>12.3</v>
      </c>
      <c r="I31" s="105">
        <v>12.3</v>
      </c>
      <c r="J31" s="105">
        <v>12.3</v>
      </c>
      <c r="K31" s="105">
        <v>12.3</v>
      </c>
      <c r="L31" s="105">
        <v>12.3</v>
      </c>
      <c r="M31" s="105">
        <v>12.3</v>
      </c>
      <c r="N31" s="105">
        <v>12.3</v>
      </c>
      <c r="O31" s="105">
        <v>12.3</v>
      </c>
      <c r="P31" s="105">
        <v>12.3</v>
      </c>
      <c r="Q31" s="105">
        <v>12.3</v>
      </c>
      <c r="R31" s="105">
        <v>12.3</v>
      </c>
      <c r="S31" s="105">
        <v>12.3</v>
      </c>
      <c r="T31" s="105">
        <v>12.3</v>
      </c>
      <c r="U31" s="105">
        <v>12.3</v>
      </c>
      <c r="V31" s="105">
        <v>12.3</v>
      </c>
      <c r="W31" s="105">
        <v>12.3</v>
      </c>
      <c r="X31" s="105">
        <v>12.3</v>
      </c>
      <c r="Y31" s="105">
        <v>12.3</v>
      </c>
      <c r="Z31" s="105">
        <v>12.3</v>
      </c>
      <c r="AA31" s="105">
        <v>12.3</v>
      </c>
      <c r="AB31" s="105">
        <v>12</v>
      </c>
      <c r="AC31" s="105">
        <v>12</v>
      </c>
      <c r="AD31" s="105">
        <v>12</v>
      </c>
      <c r="AE31" s="105">
        <v>12</v>
      </c>
      <c r="AF31" s="105">
        <v>12</v>
      </c>
      <c r="AG31" s="126">
        <v>12</v>
      </c>
      <c r="AH31" s="20">
        <f t="shared" si="2"/>
        <v>12.3</v>
      </c>
      <c r="AI31" s="19">
        <f t="shared" si="3"/>
        <v>12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0</v>
      </c>
      <c r="C32" s="105">
        <v>0</v>
      </c>
      <c r="D32" s="105">
        <v>0</v>
      </c>
      <c r="E32" s="105">
        <v>0</v>
      </c>
      <c r="F32" s="105">
        <v>0</v>
      </c>
      <c r="G32" s="105">
        <v>0</v>
      </c>
      <c r="H32" s="105">
        <v>0</v>
      </c>
      <c r="I32" s="105">
        <v>0</v>
      </c>
      <c r="J32" s="105">
        <v>0</v>
      </c>
      <c r="K32" s="105">
        <v>0</v>
      </c>
      <c r="L32" s="105">
        <v>0</v>
      </c>
      <c r="M32" s="105">
        <v>0</v>
      </c>
      <c r="N32" s="105">
        <v>0</v>
      </c>
      <c r="O32" s="105">
        <v>0</v>
      </c>
      <c r="P32" s="105">
        <v>0</v>
      </c>
      <c r="Q32" s="105">
        <v>0</v>
      </c>
      <c r="R32" s="105">
        <v>0</v>
      </c>
      <c r="S32" s="105">
        <v>0</v>
      </c>
      <c r="T32" s="105">
        <v>0</v>
      </c>
      <c r="U32" s="105">
        <v>0</v>
      </c>
      <c r="V32" s="105">
        <v>0</v>
      </c>
      <c r="W32" s="105">
        <v>0</v>
      </c>
      <c r="X32" s="105">
        <v>0</v>
      </c>
      <c r="Y32" s="105">
        <v>0</v>
      </c>
      <c r="Z32" s="105">
        <v>0</v>
      </c>
      <c r="AA32" s="105">
        <v>0</v>
      </c>
      <c r="AB32" s="105">
        <v>0</v>
      </c>
      <c r="AC32" s="105">
        <v>0</v>
      </c>
      <c r="AD32" s="105">
        <v>0</v>
      </c>
      <c r="AE32" s="105">
        <v>0</v>
      </c>
      <c r="AF32" s="105">
        <v>0</v>
      </c>
      <c r="AG32" s="126">
        <v>12</v>
      </c>
      <c r="AH32" s="20">
        <f t="shared" si="2"/>
        <v>0</v>
      </c>
      <c r="AI32" s="19">
        <f t="shared" si="3"/>
        <v>0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0</v>
      </c>
      <c r="C33" s="105">
        <v>0</v>
      </c>
      <c r="D33" s="105">
        <v>0</v>
      </c>
      <c r="E33" s="105">
        <v>0</v>
      </c>
      <c r="F33" s="105">
        <v>0</v>
      </c>
      <c r="G33" s="105">
        <v>0</v>
      </c>
      <c r="H33" s="105">
        <v>0</v>
      </c>
      <c r="I33" s="105">
        <v>0</v>
      </c>
      <c r="J33" s="105">
        <v>0</v>
      </c>
      <c r="K33" s="105">
        <v>0</v>
      </c>
      <c r="L33" s="105">
        <v>0</v>
      </c>
      <c r="M33" s="105">
        <v>0</v>
      </c>
      <c r="N33" s="105">
        <v>0</v>
      </c>
      <c r="O33" s="105">
        <v>0</v>
      </c>
      <c r="P33" s="105">
        <v>0</v>
      </c>
      <c r="Q33" s="105">
        <v>0</v>
      </c>
      <c r="R33" s="105">
        <v>0</v>
      </c>
      <c r="S33" s="105">
        <v>0</v>
      </c>
      <c r="T33" s="105">
        <v>0</v>
      </c>
      <c r="U33" s="105">
        <v>0</v>
      </c>
      <c r="V33" s="105">
        <v>0</v>
      </c>
      <c r="W33" s="105">
        <v>0</v>
      </c>
      <c r="X33" s="105">
        <v>0</v>
      </c>
      <c r="Y33" s="105">
        <v>0</v>
      </c>
      <c r="Z33" s="105">
        <v>0</v>
      </c>
      <c r="AA33" s="105">
        <v>0</v>
      </c>
      <c r="AB33" s="105">
        <v>0</v>
      </c>
      <c r="AC33" s="105">
        <v>0</v>
      </c>
      <c r="AD33" s="105">
        <v>0</v>
      </c>
      <c r="AE33" s="105">
        <v>0</v>
      </c>
      <c r="AF33" s="105">
        <v>0</v>
      </c>
      <c r="AG33" s="125">
        <v>22</v>
      </c>
      <c r="AH33" s="20">
        <f t="shared" si="2"/>
        <v>0</v>
      </c>
      <c r="AI33" s="19">
        <f t="shared" si="3"/>
        <v>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12</v>
      </c>
      <c r="C34" s="105">
        <v>12</v>
      </c>
      <c r="D34" s="105">
        <v>12</v>
      </c>
      <c r="E34" s="105">
        <v>12</v>
      </c>
      <c r="F34" s="105">
        <v>12</v>
      </c>
      <c r="G34" s="105">
        <v>12</v>
      </c>
      <c r="H34" s="105">
        <v>12</v>
      </c>
      <c r="I34" s="105">
        <v>12</v>
      </c>
      <c r="J34" s="105">
        <v>12</v>
      </c>
      <c r="K34" s="105">
        <v>12</v>
      </c>
      <c r="L34" s="105">
        <v>12</v>
      </c>
      <c r="M34" s="105">
        <v>12</v>
      </c>
      <c r="N34" s="105">
        <v>12</v>
      </c>
      <c r="O34" s="105">
        <v>12</v>
      </c>
      <c r="P34" s="105">
        <v>12</v>
      </c>
      <c r="Q34" s="105">
        <v>12</v>
      </c>
      <c r="R34" s="105">
        <v>12</v>
      </c>
      <c r="S34" s="105">
        <v>12</v>
      </c>
      <c r="T34" s="105">
        <v>12</v>
      </c>
      <c r="U34" s="105">
        <v>12</v>
      </c>
      <c r="V34" s="105">
        <v>12</v>
      </c>
      <c r="W34" s="105">
        <v>12</v>
      </c>
      <c r="X34" s="105">
        <v>12</v>
      </c>
      <c r="Y34" s="105">
        <v>12</v>
      </c>
      <c r="Z34" s="105">
        <v>12</v>
      </c>
      <c r="AA34" s="105">
        <v>12</v>
      </c>
      <c r="AB34" s="105">
        <v>12</v>
      </c>
      <c r="AC34" s="105">
        <v>12</v>
      </c>
      <c r="AD34" s="105">
        <v>12</v>
      </c>
      <c r="AE34" s="105">
        <v>12</v>
      </c>
      <c r="AF34" s="105">
        <v>12</v>
      </c>
      <c r="AG34" s="96">
        <v>11.88</v>
      </c>
      <c r="AH34" s="20">
        <f t="shared" si="2"/>
        <v>12</v>
      </c>
      <c r="AI34" s="19">
        <f t="shared" si="3"/>
        <v>12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11</v>
      </c>
      <c r="O35" s="105">
        <v>11</v>
      </c>
      <c r="P35" s="105">
        <v>11</v>
      </c>
      <c r="Q35" s="105">
        <v>11</v>
      </c>
      <c r="R35" s="105">
        <v>11</v>
      </c>
      <c r="S35" s="105">
        <v>11</v>
      </c>
      <c r="T35" s="105">
        <v>11</v>
      </c>
      <c r="U35" s="105">
        <v>11</v>
      </c>
      <c r="V35" s="105">
        <v>11</v>
      </c>
      <c r="W35" s="105">
        <v>11</v>
      </c>
      <c r="X35" s="105">
        <v>11</v>
      </c>
      <c r="Y35" s="105">
        <v>11</v>
      </c>
      <c r="Z35" s="105">
        <v>11</v>
      </c>
      <c r="AA35" s="105">
        <v>11</v>
      </c>
      <c r="AB35" s="105">
        <v>11</v>
      </c>
      <c r="AC35" s="105">
        <v>11</v>
      </c>
      <c r="AD35" s="105">
        <v>11</v>
      </c>
      <c r="AE35" s="105">
        <v>11</v>
      </c>
      <c r="AF35" s="105">
        <v>11</v>
      </c>
      <c r="AG35" s="94">
        <v>11</v>
      </c>
      <c r="AH35" s="20">
        <f t="shared" si="2"/>
        <v>11</v>
      </c>
      <c r="AI35" s="19">
        <f t="shared" si="3"/>
        <v>11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>
        <v>9</v>
      </c>
      <c r="E36" s="105">
        <v>9</v>
      </c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>
        <v>9</v>
      </c>
      <c r="N36" s="105">
        <v>9</v>
      </c>
      <c r="O36" s="105">
        <v>9</v>
      </c>
      <c r="P36" s="105">
        <v>9</v>
      </c>
      <c r="Q36" s="105">
        <v>9</v>
      </c>
      <c r="R36" s="105">
        <v>9</v>
      </c>
      <c r="S36" s="105">
        <v>9</v>
      </c>
      <c r="T36" s="105">
        <v>9</v>
      </c>
      <c r="U36" s="105">
        <v>9</v>
      </c>
      <c r="V36" s="105">
        <v>9</v>
      </c>
      <c r="W36" s="105">
        <v>9</v>
      </c>
      <c r="X36" s="105">
        <v>9</v>
      </c>
      <c r="Y36" s="105">
        <v>9</v>
      </c>
      <c r="Z36" s="105">
        <v>9</v>
      </c>
      <c r="AA36" s="105">
        <v>9</v>
      </c>
      <c r="AB36" s="105">
        <v>9</v>
      </c>
      <c r="AC36" s="105">
        <v>9</v>
      </c>
      <c r="AD36" s="105">
        <v>9</v>
      </c>
      <c r="AE36" s="105">
        <v>9</v>
      </c>
      <c r="AF36" s="105">
        <v>9</v>
      </c>
      <c r="AG36" s="94">
        <v>10</v>
      </c>
      <c r="AH36" s="20">
        <f t="shared" si="2"/>
        <v>9</v>
      </c>
      <c r="AI36" s="19">
        <f t="shared" si="3"/>
        <v>9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2</v>
      </c>
      <c r="N37" s="105">
        <v>2</v>
      </c>
      <c r="O37" s="105">
        <v>2</v>
      </c>
      <c r="P37" s="105">
        <v>2</v>
      </c>
      <c r="Q37" s="105">
        <v>2</v>
      </c>
      <c r="R37" s="105">
        <v>2</v>
      </c>
      <c r="S37" s="105">
        <v>2</v>
      </c>
      <c r="T37" s="105">
        <v>2</v>
      </c>
      <c r="U37" s="105">
        <v>2</v>
      </c>
      <c r="V37" s="105">
        <v>2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2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350</v>
      </c>
      <c r="C38" s="113">
        <v>350</v>
      </c>
      <c r="D38" s="113">
        <v>350</v>
      </c>
      <c r="E38" s="113">
        <v>350</v>
      </c>
      <c r="F38" s="113">
        <v>350</v>
      </c>
      <c r="G38" s="113">
        <v>350</v>
      </c>
      <c r="H38" s="113">
        <v>350</v>
      </c>
      <c r="I38" s="113">
        <v>350</v>
      </c>
      <c r="J38" s="113">
        <v>350</v>
      </c>
      <c r="K38" s="113">
        <v>350</v>
      </c>
      <c r="L38" s="113">
        <v>350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350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f>72.4+91.3</f>
        <v>163.69999999999999</v>
      </c>
      <c r="C39" s="119">
        <f>72.6+91.6</f>
        <v>164.2</v>
      </c>
      <c r="D39" s="119">
        <f>71.9+91.9</f>
        <v>163.80000000000001</v>
      </c>
      <c r="E39" s="119">
        <v>165</v>
      </c>
      <c r="F39" s="119">
        <v>168</v>
      </c>
      <c r="G39" s="119">
        <v>163</v>
      </c>
      <c r="H39" s="119">
        <v>156</v>
      </c>
      <c r="I39" s="119">
        <v>159</v>
      </c>
      <c r="J39" s="119">
        <v>160</v>
      </c>
      <c r="K39" s="119">
        <f>64.9+93.7</f>
        <v>158.60000000000002</v>
      </c>
      <c r="L39" s="113">
        <f>65.8+93.7</f>
        <v>159.5</v>
      </c>
      <c r="M39" s="113">
        <f>64+94.9</f>
        <v>158.9</v>
      </c>
      <c r="N39" s="113">
        <f>64.9+98.5</f>
        <v>163.4</v>
      </c>
      <c r="O39" s="113">
        <f>71.2+83.6</f>
        <v>154.80000000000001</v>
      </c>
      <c r="P39" s="113">
        <f>71.2+83.6</f>
        <v>154.80000000000001</v>
      </c>
      <c r="Q39" s="113">
        <f>76.4+77.1</f>
        <v>153.5</v>
      </c>
      <c r="R39" s="113">
        <f>76.4+77.1</f>
        <v>153.5</v>
      </c>
      <c r="S39" s="119">
        <f>87+73.1</f>
        <v>160.1</v>
      </c>
      <c r="T39" s="119">
        <f>89.1+72.8</f>
        <v>161.89999999999998</v>
      </c>
      <c r="U39" s="119">
        <f>89.4+75.5</f>
        <v>164.9</v>
      </c>
      <c r="V39" s="119">
        <f>90.3+78</f>
        <v>168.3</v>
      </c>
      <c r="W39" s="119">
        <f>94+77</f>
        <v>171</v>
      </c>
      <c r="X39" s="119">
        <f>92+77</f>
        <v>169</v>
      </c>
      <c r="Y39" s="119">
        <v>169.7</v>
      </c>
      <c r="Z39" s="119">
        <f>92.5+81.4</f>
        <v>173.9</v>
      </c>
      <c r="AA39" s="119">
        <f>92.7+82</f>
        <v>174.7</v>
      </c>
      <c r="AB39" s="119">
        <f>92.7+82</f>
        <v>174.7</v>
      </c>
      <c r="AC39" s="119">
        <f>82.7+94.2</f>
        <v>176.9</v>
      </c>
      <c r="AD39" s="119">
        <f>73.9+94.4</f>
        <v>168.3</v>
      </c>
      <c r="AE39" s="119">
        <f>74+90.1</f>
        <v>164.1</v>
      </c>
      <c r="AF39" s="119">
        <f>74.4+90.5</f>
        <v>164.9</v>
      </c>
      <c r="AG39" s="94">
        <v>240</v>
      </c>
      <c r="AH39" s="20">
        <f t="shared" si="2"/>
        <v>176.9</v>
      </c>
      <c r="AI39" s="19">
        <f t="shared" si="3"/>
        <v>153.5</v>
      </c>
      <c r="AK39" s="41"/>
    </row>
    <row r="40" spans="1:88" ht="15.75" thickBot="1" x14ac:dyDescent="0.3">
      <c r="A40" s="118" t="s">
        <v>195</v>
      </c>
      <c r="B40" s="86">
        <f t="shared" ref="B40:AG40" si="4">SUM(B11:B38)</f>
        <v>736.40000000000009</v>
      </c>
      <c r="C40" s="86">
        <f t="shared" si="4"/>
        <v>736.40000000000009</v>
      </c>
      <c r="D40" s="86">
        <f t="shared" si="4"/>
        <v>726.90000000000009</v>
      </c>
      <c r="E40" s="86">
        <f>SUM(E11:E38)</f>
        <v>719.7</v>
      </c>
      <c r="F40" s="86">
        <f t="shared" si="4"/>
        <v>718.7</v>
      </c>
      <c r="G40" s="86">
        <f t="shared" si="4"/>
        <v>718.7</v>
      </c>
      <c r="H40" s="86">
        <f t="shared" si="4"/>
        <v>718.7</v>
      </c>
      <c r="I40" s="86">
        <f t="shared" si="4"/>
        <v>718.7</v>
      </c>
      <c r="J40" s="86">
        <f t="shared" si="4"/>
        <v>721.6</v>
      </c>
      <c r="K40" s="86">
        <f t="shared" si="4"/>
        <v>738.6</v>
      </c>
      <c r="L40" s="86">
        <f t="shared" si="4"/>
        <v>738.6</v>
      </c>
      <c r="M40" s="86">
        <f t="shared" si="4"/>
        <v>725.3</v>
      </c>
      <c r="N40" s="86">
        <f t="shared" si="4"/>
        <v>733.7</v>
      </c>
      <c r="O40" s="86">
        <f t="shared" si="4"/>
        <v>738.3</v>
      </c>
      <c r="P40" s="86">
        <f t="shared" si="4"/>
        <v>738.3</v>
      </c>
      <c r="Q40" s="86">
        <f t="shared" si="4"/>
        <v>738.40000000000009</v>
      </c>
      <c r="R40" s="86">
        <f t="shared" ref="R40" si="5">SUM(R11:R38)</f>
        <v>737.9</v>
      </c>
      <c r="S40" s="86">
        <f t="shared" si="4"/>
        <v>728.9</v>
      </c>
      <c r="T40" s="86">
        <f t="shared" si="4"/>
        <v>732.9</v>
      </c>
      <c r="U40" s="86">
        <f t="shared" si="4"/>
        <v>745.4</v>
      </c>
      <c r="V40" s="86">
        <f t="shared" si="4"/>
        <v>747.40000000000009</v>
      </c>
      <c r="W40" s="86">
        <f t="shared" si="4"/>
        <v>748.40000000000009</v>
      </c>
      <c r="X40" s="86">
        <f t="shared" si="4"/>
        <v>843.7</v>
      </c>
      <c r="Y40" s="86">
        <f t="shared" si="4"/>
        <v>856.7</v>
      </c>
      <c r="Z40" s="86">
        <f t="shared" si="4"/>
        <v>856.7</v>
      </c>
      <c r="AA40" s="86">
        <f t="shared" si="4"/>
        <v>856.7</v>
      </c>
      <c r="AB40" s="86">
        <f t="shared" si="4"/>
        <v>845.7</v>
      </c>
      <c r="AC40" s="86">
        <f t="shared" si="4"/>
        <v>821.3</v>
      </c>
      <c r="AD40" s="86">
        <f t="shared" si="4"/>
        <v>777</v>
      </c>
      <c r="AE40" s="86">
        <f t="shared" si="4"/>
        <v>748.1</v>
      </c>
      <c r="AF40" s="86">
        <f t="shared" si="4"/>
        <v>736.7</v>
      </c>
      <c r="AG40" s="101">
        <f t="shared" si="4"/>
        <v>707.78000000000009</v>
      </c>
      <c r="AH40" s="20">
        <f t="shared" si="2"/>
        <v>856.7</v>
      </c>
      <c r="AI40" s="19">
        <f t="shared" si="3"/>
        <v>718.7</v>
      </c>
      <c r="AK40" s="41"/>
    </row>
    <row r="41" spans="1:88" x14ac:dyDescent="0.25">
      <c r="A41" s="117" t="s">
        <v>194</v>
      </c>
      <c r="B41" s="105">
        <v>400</v>
      </c>
      <c r="C41" s="105">
        <v>400</v>
      </c>
      <c r="D41" s="105">
        <v>400</v>
      </c>
      <c r="E41" s="105">
        <v>400</v>
      </c>
      <c r="F41" s="105">
        <v>400</v>
      </c>
      <c r="G41" s="105">
        <v>380</v>
      </c>
      <c r="H41" s="105">
        <v>380</v>
      </c>
      <c r="I41" s="105">
        <v>380</v>
      </c>
      <c r="J41" s="105">
        <v>400</v>
      </c>
      <c r="K41" s="105">
        <v>456</v>
      </c>
      <c r="L41" s="105">
        <v>400</v>
      </c>
      <c r="M41" s="105">
        <v>456</v>
      </c>
      <c r="N41" s="105">
        <v>456</v>
      </c>
      <c r="O41" s="105">
        <v>456</v>
      </c>
      <c r="P41" s="105">
        <v>456</v>
      </c>
      <c r="Q41" s="105">
        <v>456</v>
      </c>
      <c r="R41" s="105">
        <v>456</v>
      </c>
      <c r="S41" s="105">
        <v>456</v>
      </c>
      <c r="T41" s="105">
        <v>456</v>
      </c>
      <c r="U41" s="105">
        <v>456</v>
      </c>
      <c r="V41" s="105">
        <v>456</v>
      </c>
      <c r="W41" s="105">
        <v>456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456</v>
      </c>
      <c r="AD41" s="105">
        <v>456</v>
      </c>
      <c r="AE41" s="105">
        <v>430</v>
      </c>
      <c r="AF41" s="105">
        <v>400</v>
      </c>
      <c r="AG41" s="96">
        <v>456</v>
      </c>
      <c r="AH41" s="20">
        <f t="shared" si="2"/>
        <v>456</v>
      </c>
      <c r="AI41" s="19">
        <f t="shared" si="3"/>
        <v>380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>
        <v>60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18</v>
      </c>
      <c r="H43" s="107">
        <v>18</v>
      </c>
      <c r="I43" s="107">
        <v>18</v>
      </c>
      <c r="J43" s="107">
        <v>18</v>
      </c>
      <c r="K43" s="107">
        <v>18</v>
      </c>
      <c r="L43" s="107">
        <v>18</v>
      </c>
      <c r="M43" s="107">
        <v>22.4</v>
      </c>
      <c r="N43" s="107">
        <v>22.4</v>
      </c>
      <c r="O43" s="107">
        <v>22.4</v>
      </c>
      <c r="P43" s="107">
        <v>22.4</v>
      </c>
      <c r="Q43" s="107">
        <v>22.4</v>
      </c>
      <c r="R43" s="107">
        <v>22.4</v>
      </c>
      <c r="S43" s="107">
        <v>22.4</v>
      </c>
      <c r="T43" s="107">
        <v>22.4</v>
      </c>
      <c r="U43" s="107">
        <v>22.4</v>
      </c>
      <c r="V43" s="107">
        <v>22.4</v>
      </c>
      <c r="W43" s="107">
        <v>22.4</v>
      </c>
      <c r="X43" s="107">
        <v>22.4</v>
      </c>
      <c r="Y43" s="107">
        <v>22.4</v>
      </c>
      <c r="Z43" s="107">
        <v>22.4</v>
      </c>
      <c r="AA43" s="107">
        <v>22.4</v>
      </c>
      <c r="AB43" s="107">
        <v>22.4</v>
      </c>
      <c r="AC43" s="107">
        <v>22.4</v>
      </c>
      <c r="AD43" s="107">
        <v>22.4</v>
      </c>
      <c r="AE43" s="107">
        <v>22.4</v>
      </c>
      <c r="AF43" s="107">
        <v>22.5</v>
      </c>
      <c r="AG43" s="106">
        <v>22.1</v>
      </c>
      <c r="AH43" s="20">
        <f t="shared" si="2"/>
        <v>22.5</v>
      </c>
      <c r="AI43" s="19">
        <f t="shared" si="3"/>
        <v>18</v>
      </c>
      <c r="AK43" s="41"/>
    </row>
    <row r="44" spans="1:88" ht="15.75" thickBot="1" x14ac:dyDescent="0.3">
      <c r="A44" s="114" t="s">
        <v>191</v>
      </c>
      <c r="B44" s="86">
        <f t="shared" ref="B44:AG44" si="6">SUM(B41:B43)</f>
        <v>482</v>
      </c>
      <c r="C44" s="86">
        <f t="shared" si="6"/>
        <v>482</v>
      </c>
      <c r="D44" s="86">
        <f t="shared" si="6"/>
        <v>482</v>
      </c>
      <c r="E44" s="86">
        <f t="shared" si="6"/>
        <v>482</v>
      </c>
      <c r="F44" s="86">
        <f t="shared" si="6"/>
        <v>482</v>
      </c>
      <c r="G44" s="86">
        <f t="shared" si="6"/>
        <v>458</v>
      </c>
      <c r="H44" s="86">
        <f t="shared" si="6"/>
        <v>458</v>
      </c>
      <c r="I44" s="86">
        <f t="shared" si="6"/>
        <v>458</v>
      </c>
      <c r="J44" s="86">
        <f t="shared" si="6"/>
        <v>478</v>
      </c>
      <c r="K44" s="86">
        <f t="shared" si="6"/>
        <v>534</v>
      </c>
      <c r="L44" s="86">
        <f t="shared" si="6"/>
        <v>478</v>
      </c>
      <c r="M44" s="86">
        <f t="shared" si="6"/>
        <v>538.4</v>
      </c>
      <c r="N44" s="86">
        <f t="shared" si="6"/>
        <v>538.4</v>
      </c>
      <c r="O44" s="86">
        <f t="shared" si="6"/>
        <v>538.4</v>
      </c>
      <c r="P44" s="86">
        <f t="shared" si="6"/>
        <v>538.4</v>
      </c>
      <c r="Q44" s="86">
        <f t="shared" si="6"/>
        <v>538.4</v>
      </c>
      <c r="R44" s="86">
        <f t="shared" si="6"/>
        <v>538.4</v>
      </c>
      <c r="S44" s="86">
        <f t="shared" si="6"/>
        <v>538.4</v>
      </c>
      <c r="T44" s="86">
        <f t="shared" si="6"/>
        <v>538.4</v>
      </c>
      <c r="U44" s="86">
        <f t="shared" si="6"/>
        <v>538.4</v>
      </c>
      <c r="V44" s="86">
        <f t="shared" si="6"/>
        <v>538.4</v>
      </c>
      <c r="W44" s="86">
        <f t="shared" si="6"/>
        <v>538.4</v>
      </c>
      <c r="X44" s="86">
        <f t="shared" si="6"/>
        <v>538.4</v>
      </c>
      <c r="Y44" s="86">
        <f t="shared" si="6"/>
        <v>538.4</v>
      </c>
      <c r="Z44" s="86">
        <f t="shared" si="6"/>
        <v>538.4</v>
      </c>
      <c r="AA44" s="86">
        <f t="shared" si="6"/>
        <v>538.4</v>
      </c>
      <c r="AB44" s="86">
        <f t="shared" si="6"/>
        <v>538.4</v>
      </c>
      <c r="AC44" s="86">
        <f t="shared" si="6"/>
        <v>538.4</v>
      </c>
      <c r="AD44" s="86">
        <f t="shared" si="6"/>
        <v>538.4</v>
      </c>
      <c r="AE44" s="86">
        <f t="shared" si="6"/>
        <v>512.4</v>
      </c>
      <c r="AF44" s="86">
        <f t="shared" si="6"/>
        <v>482.5</v>
      </c>
      <c r="AG44" s="101">
        <f t="shared" si="6"/>
        <v>538.1</v>
      </c>
      <c r="AH44" s="20">
        <f t="shared" si="2"/>
        <v>538.4</v>
      </c>
      <c r="AI44" s="19">
        <f t="shared" si="3"/>
        <v>458</v>
      </c>
      <c r="AK44" s="41"/>
    </row>
    <row r="45" spans="1:88" x14ac:dyDescent="0.25">
      <c r="A45" s="97" t="s">
        <v>190</v>
      </c>
      <c r="B45" s="105">
        <v>80.900000000000006</v>
      </c>
      <c r="C45" s="105">
        <v>81.099999999999994</v>
      </c>
      <c r="D45" s="105">
        <v>81.099999999999994</v>
      </c>
      <c r="E45" s="105">
        <v>70.900000000000006</v>
      </c>
      <c r="F45" s="105">
        <v>70.900000000000006</v>
      </c>
      <c r="G45" s="105">
        <v>80</v>
      </c>
      <c r="H45" s="105">
        <v>81.099999999999994</v>
      </c>
      <c r="I45" s="105">
        <v>81</v>
      </c>
      <c r="J45" s="105">
        <v>92</v>
      </c>
      <c r="K45" s="105">
        <v>92</v>
      </c>
      <c r="L45" s="105">
        <v>92</v>
      </c>
      <c r="M45" s="105">
        <v>92</v>
      </c>
      <c r="N45" s="105">
        <v>92</v>
      </c>
      <c r="O45" s="105">
        <v>92.1</v>
      </c>
      <c r="P45" s="105">
        <v>92.1</v>
      </c>
      <c r="Q45" s="105">
        <v>92</v>
      </c>
      <c r="R45" s="105">
        <v>92.1</v>
      </c>
      <c r="S45" s="105">
        <v>92.1</v>
      </c>
      <c r="T45" s="105">
        <v>92.1</v>
      </c>
      <c r="U45" s="105">
        <v>92.1</v>
      </c>
      <c r="V45" s="105">
        <v>92.1</v>
      </c>
      <c r="W45" s="105">
        <v>92.1</v>
      </c>
      <c r="X45" s="105">
        <v>92.1</v>
      </c>
      <c r="Y45" s="105">
        <v>92.1</v>
      </c>
      <c r="Z45" s="105">
        <v>92.1</v>
      </c>
      <c r="AA45" s="105">
        <v>92.1</v>
      </c>
      <c r="AB45" s="105">
        <v>92.1</v>
      </c>
      <c r="AC45" s="105">
        <v>92.1</v>
      </c>
      <c r="AD45" s="105">
        <v>92.1</v>
      </c>
      <c r="AE45" s="105">
        <v>92.1</v>
      </c>
      <c r="AF45" s="105">
        <v>92.1</v>
      </c>
      <c r="AG45" s="96">
        <v>144</v>
      </c>
      <c r="AH45" s="20">
        <f t="shared" si="2"/>
        <v>92.1</v>
      </c>
      <c r="AI45" s="19">
        <f t="shared" si="3"/>
        <v>70.900000000000006</v>
      </c>
      <c r="AK45" s="41"/>
    </row>
    <row r="46" spans="1:88" x14ac:dyDescent="0.25">
      <c r="A46" s="95" t="s">
        <v>189</v>
      </c>
      <c r="B46" s="80">
        <v>60</v>
      </c>
      <c r="C46" s="80">
        <v>62.6</v>
      </c>
      <c r="D46" s="80">
        <v>61.7</v>
      </c>
      <c r="E46" s="80">
        <v>62</v>
      </c>
      <c r="F46" s="80">
        <v>62</v>
      </c>
      <c r="G46" s="80">
        <v>60</v>
      </c>
      <c r="H46" s="80">
        <v>70</v>
      </c>
      <c r="I46" s="80">
        <v>70</v>
      </c>
      <c r="J46" s="80">
        <v>70</v>
      </c>
      <c r="K46" s="80">
        <v>70</v>
      </c>
      <c r="L46" s="80">
        <v>70</v>
      </c>
      <c r="M46" s="80">
        <v>70</v>
      </c>
      <c r="N46" s="80">
        <v>70</v>
      </c>
      <c r="O46" s="80">
        <v>72.099999999999994</v>
      </c>
      <c r="P46" s="80">
        <v>72.099999999999994</v>
      </c>
      <c r="Q46" s="105">
        <v>72.099999999999994</v>
      </c>
      <c r="R46" s="105">
        <v>73.099999999999994</v>
      </c>
      <c r="S46" s="105">
        <v>73.099999999999994</v>
      </c>
      <c r="T46" s="105">
        <v>73.099999999999994</v>
      </c>
      <c r="U46" s="105">
        <v>73.099999999999994</v>
      </c>
      <c r="V46" s="105">
        <v>73.099999999999994</v>
      </c>
      <c r="W46" s="105">
        <v>73.099999999999994</v>
      </c>
      <c r="X46" s="105">
        <v>73.099999999999994</v>
      </c>
      <c r="Y46" s="80">
        <v>73.099999999999994</v>
      </c>
      <c r="Z46" s="80">
        <v>73.099999999999994</v>
      </c>
      <c r="AA46" s="80">
        <v>73.099999999999994</v>
      </c>
      <c r="AB46" s="80">
        <v>73.099999999999994</v>
      </c>
      <c r="AC46" s="80">
        <v>70.7</v>
      </c>
      <c r="AD46" s="80">
        <v>70.7</v>
      </c>
      <c r="AE46" s="80">
        <v>70.7</v>
      </c>
      <c r="AF46" s="80">
        <v>70.7</v>
      </c>
      <c r="AG46" s="94">
        <v>70</v>
      </c>
      <c r="AH46" s="20">
        <f t="shared" si="2"/>
        <v>73.099999999999994</v>
      </c>
      <c r="AI46" s="19">
        <f t="shared" si="3"/>
        <v>60</v>
      </c>
      <c r="AK46" s="41"/>
    </row>
    <row r="47" spans="1:88" x14ac:dyDescent="0.25">
      <c r="A47" s="95" t="s">
        <v>188</v>
      </c>
      <c r="B47" s="80">
        <v>41.4</v>
      </c>
      <c r="C47" s="80">
        <v>41.4</v>
      </c>
      <c r="D47" s="80">
        <v>33.5</v>
      </c>
      <c r="E47" s="80">
        <v>33.4</v>
      </c>
      <c r="F47" s="80">
        <v>33.5</v>
      </c>
      <c r="G47" s="80">
        <v>34.700000000000003</v>
      </c>
      <c r="H47" s="80">
        <v>40</v>
      </c>
      <c r="I47" s="80">
        <v>40</v>
      </c>
      <c r="J47" s="80">
        <v>41.3</v>
      </c>
      <c r="K47" s="80">
        <v>41.3</v>
      </c>
      <c r="L47" s="80">
        <v>41.3</v>
      </c>
      <c r="M47" s="80">
        <v>41.3</v>
      </c>
      <c r="N47" s="80">
        <v>41.3</v>
      </c>
      <c r="O47" s="80">
        <v>41.3</v>
      </c>
      <c r="P47" s="80">
        <v>41.3</v>
      </c>
      <c r="Q47" s="105">
        <v>40.9</v>
      </c>
      <c r="R47" s="105">
        <v>41.2</v>
      </c>
      <c r="S47" s="105">
        <v>41.2</v>
      </c>
      <c r="T47" s="105">
        <v>41.2</v>
      </c>
      <c r="U47" s="105">
        <v>41.2</v>
      </c>
      <c r="V47" s="105">
        <v>41.2</v>
      </c>
      <c r="W47" s="105">
        <v>41.2</v>
      </c>
      <c r="X47" s="105">
        <v>41.2</v>
      </c>
      <c r="Y47" s="80">
        <v>41.2</v>
      </c>
      <c r="Z47" s="80">
        <v>41.2</v>
      </c>
      <c r="AA47" s="80">
        <v>41.2</v>
      </c>
      <c r="AB47" s="80">
        <v>41.2</v>
      </c>
      <c r="AC47" s="80">
        <v>41.4</v>
      </c>
      <c r="AD47" s="80">
        <v>41.4</v>
      </c>
      <c r="AE47" s="80">
        <v>41.4</v>
      </c>
      <c r="AF47" s="80">
        <v>41.4</v>
      </c>
      <c r="AG47" s="94">
        <v>69</v>
      </c>
      <c r="AH47" s="20">
        <f t="shared" si="2"/>
        <v>41.4</v>
      </c>
      <c r="AI47" s="19">
        <f t="shared" si="3"/>
        <v>33.4</v>
      </c>
      <c r="AK47" s="41"/>
    </row>
    <row r="48" spans="1:88" x14ac:dyDescent="0.25">
      <c r="A48" s="95" t="s">
        <v>187</v>
      </c>
      <c r="B48" s="113">
        <v>40.799999999999997</v>
      </c>
      <c r="C48" s="113">
        <v>40.799999999999997</v>
      </c>
      <c r="D48" s="113">
        <v>40.799999999999997</v>
      </c>
      <c r="E48" s="113">
        <v>30</v>
      </c>
      <c r="F48" s="113">
        <v>30</v>
      </c>
      <c r="G48" s="113">
        <v>30</v>
      </c>
      <c r="H48" s="113">
        <v>30</v>
      </c>
      <c r="I48" s="113">
        <v>51</v>
      </c>
      <c r="J48" s="113">
        <v>61.3</v>
      </c>
      <c r="K48" s="113">
        <v>61.3</v>
      </c>
      <c r="L48" s="113">
        <v>61.3</v>
      </c>
      <c r="M48" s="113">
        <v>61.3</v>
      </c>
      <c r="N48" s="113">
        <v>61.3</v>
      </c>
      <c r="O48" s="113">
        <v>61.3</v>
      </c>
      <c r="P48" s="113">
        <v>61.3</v>
      </c>
      <c r="Q48" s="105">
        <v>60.7</v>
      </c>
      <c r="R48" s="105">
        <v>60.9</v>
      </c>
      <c r="S48" s="105">
        <v>60.9</v>
      </c>
      <c r="T48" s="105">
        <v>60.9</v>
      </c>
      <c r="U48" s="105">
        <v>60.9</v>
      </c>
      <c r="V48" s="105">
        <v>60.9</v>
      </c>
      <c r="W48" s="105">
        <v>60.9</v>
      </c>
      <c r="X48" s="105">
        <v>60.9</v>
      </c>
      <c r="Y48" s="80">
        <v>60.9</v>
      </c>
      <c r="Z48" s="80">
        <v>60.9</v>
      </c>
      <c r="AA48" s="80">
        <v>60.9</v>
      </c>
      <c r="AB48" s="80">
        <v>60.9</v>
      </c>
      <c r="AC48" s="80">
        <v>60.9</v>
      </c>
      <c r="AD48" s="80">
        <v>60.9</v>
      </c>
      <c r="AE48" s="80">
        <v>60.9</v>
      </c>
      <c r="AF48" s="80">
        <v>60.9</v>
      </c>
      <c r="AG48" s="94">
        <v>60</v>
      </c>
      <c r="AH48" s="20">
        <f t="shared" si="2"/>
        <v>61.3</v>
      </c>
      <c r="AI48" s="19">
        <f t="shared" si="3"/>
        <v>30</v>
      </c>
      <c r="AK48" s="41"/>
    </row>
    <row r="49" spans="1:41" x14ac:dyDescent="0.25">
      <c r="A49" s="95" t="s">
        <v>186</v>
      </c>
      <c r="B49" s="113">
        <v>0</v>
      </c>
      <c r="C49" s="113">
        <v>0</v>
      </c>
      <c r="D49" s="113">
        <v>0</v>
      </c>
      <c r="E49" s="113">
        <v>0</v>
      </c>
      <c r="F49" s="113">
        <v>0</v>
      </c>
      <c r="G49" s="113">
        <v>0</v>
      </c>
      <c r="H49" s="113">
        <v>0</v>
      </c>
      <c r="I49" s="113">
        <v>0</v>
      </c>
      <c r="J49" s="113">
        <v>0</v>
      </c>
      <c r="K49" s="113">
        <v>0</v>
      </c>
      <c r="L49" s="113">
        <v>0</v>
      </c>
      <c r="M49" s="113">
        <v>0</v>
      </c>
      <c r="N49" s="113">
        <v>0</v>
      </c>
      <c r="O49" s="113">
        <v>0</v>
      </c>
      <c r="P49" s="113">
        <v>0</v>
      </c>
      <c r="Q49" s="105">
        <v>0</v>
      </c>
      <c r="R49" s="105">
        <v>0</v>
      </c>
      <c r="S49" s="105">
        <v>0</v>
      </c>
      <c r="T49" s="105">
        <v>0</v>
      </c>
      <c r="U49" s="105">
        <v>0</v>
      </c>
      <c r="V49" s="105">
        <v>0</v>
      </c>
      <c r="W49" s="105">
        <v>0</v>
      </c>
      <c r="X49" s="105">
        <v>0</v>
      </c>
      <c r="Y49" s="80">
        <v>0</v>
      </c>
      <c r="Z49" s="80">
        <v>0</v>
      </c>
      <c r="AA49" s="80">
        <v>0</v>
      </c>
      <c r="AB49" s="80">
        <v>0</v>
      </c>
      <c r="AC49" s="80">
        <v>0</v>
      </c>
      <c r="AD49" s="80">
        <v>0</v>
      </c>
      <c r="AE49" s="80">
        <v>0</v>
      </c>
      <c r="AF49" s="80">
        <v>0</v>
      </c>
      <c r="AG49" s="94">
        <v>30</v>
      </c>
      <c r="AH49" s="20">
        <f t="shared" si="2"/>
        <v>0</v>
      </c>
      <c r="AI49" s="19">
        <f t="shared" si="3"/>
        <v>0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8</v>
      </c>
      <c r="N50" s="80">
        <v>8</v>
      </c>
      <c r="O50" s="80">
        <v>8</v>
      </c>
      <c r="P50" s="80">
        <v>8</v>
      </c>
      <c r="Q50" s="80">
        <v>8</v>
      </c>
      <c r="R50" s="80">
        <v>8</v>
      </c>
      <c r="S50" s="80">
        <v>8</v>
      </c>
      <c r="T50" s="80">
        <v>8</v>
      </c>
      <c r="U50" s="80">
        <v>8</v>
      </c>
      <c r="V50" s="80">
        <v>8</v>
      </c>
      <c r="W50" s="80">
        <v>0</v>
      </c>
      <c r="X50" s="80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105">
        <v>0</v>
      </c>
      <c r="AG50" s="94">
        <v>25</v>
      </c>
      <c r="AH50" s="20">
        <f t="shared" si="2"/>
        <v>8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0</v>
      </c>
      <c r="C51" s="80">
        <v>0</v>
      </c>
      <c r="D51" s="80">
        <v>0</v>
      </c>
      <c r="E51" s="80">
        <v>0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>
        <v>0</v>
      </c>
      <c r="L51" s="80">
        <v>0</v>
      </c>
      <c r="M51" s="80">
        <v>0</v>
      </c>
      <c r="N51" s="80">
        <v>0</v>
      </c>
      <c r="O51" s="80">
        <v>0</v>
      </c>
      <c r="P51" s="80">
        <v>0</v>
      </c>
      <c r="Q51" s="80">
        <v>0</v>
      </c>
      <c r="R51" s="80">
        <v>0</v>
      </c>
      <c r="S51" s="80">
        <v>0</v>
      </c>
      <c r="T51" s="80">
        <v>0</v>
      </c>
      <c r="U51" s="80">
        <v>0</v>
      </c>
      <c r="V51" s="80">
        <v>0</v>
      </c>
      <c r="W51" s="80">
        <v>0</v>
      </c>
      <c r="X51" s="80">
        <v>0</v>
      </c>
      <c r="Y51" s="105">
        <v>0</v>
      </c>
      <c r="Z51" s="105">
        <v>0</v>
      </c>
      <c r="AA51" s="105">
        <v>0</v>
      </c>
      <c r="AB51" s="105">
        <v>0</v>
      </c>
      <c r="AC51" s="105">
        <v>0</v>
      </c>
      <c r="AD51" s="105">
        <v>0</v>
      </c>
      <c r="AE51" s="105">
        <v>0</v>
      </c>
      <c r="AF51" s="105">
        <v>0</v>
      </c>
      <c r="AG51" s="94">
        <v>24</v>
      </c>
      <c r="AH51" s="20">
        <f t="shared" si="2"/>
        <v>0</v>
      </c>
      <c r="AI51" s="19">
        <f t="shared" si="3"/>
        <v>0</v>
      </c>
      <c r="AK51" s="41"/>
    </row>
    <row r="52" spans="1:41" x14ac:dyDescent="0.25">
      <c r="A52" s="95" t="s">
        <v>183</v>
      </c>
      <c r="B52" s="80">
        <v>0</v>
      </c>
      <c r="C52" s="80">
        <v>0</v>
      </c>
      <c r="D52" s="80">
        <v>0</v>
      </c>
      <c r="E52" s="80">
        <v>0</v>
      </c>
      <c r="F52" s="80">
        <v>0</v>
      </c>
      <c r="G52" s="80">
        <v>0</v>
      </c>
      <c r="H52" s="80">
        <v>0</v>
      </c>
      <c r="I52" s="80">
        <v>0</v>
      </c>
      <c r="J52" s="80">
        <v>0</v>
      </c>
      <c r="K52" s="80">
        <v>0</v>
      </c>
      <c r="L52" s="80">
        <v>0</v>
      </c>
      <c r="M52" s="80">
        <v>1</v>
      </c>
      <c r="N52" s="80">
        <v>3</v>
      </c>
      <c r="O52" s="80">
        <v>3</v>
      </c>
      <c r="P52" s="80">
        <v>3</v>
      </c>
      <c r="Q52" s="80">
        <v>3</v>
      </c>
      <c r="R52" s="80">
        <v>3</v>
      </c>
      <c r="S52" s="80">
        <v>3</v>
      </c>
      <c r="T52" s="80">
        <v>3</v>
      </c>
      <c r="U52" s="80">
        <v>3</v>
      </c>
      <c r="V52" s="80">
        <v>3</v>
      </c>
      <c r="W52" s="80">
        <v>3</v>
      </c>
      <c r="X52" s="80">
        <v>3</v>
      </c>
      <c r="Y52" s="80">
        <v>2.5</v>
      </c>
      <c r="Z52" s="80">
        <v>2.5</v>
      </c>
      <c r="AA52" s="80">
        <v>2.5</v>
      </c>
      <c r="AB52" s="80">
        <v>2.5</v>
      </c>
      <c r="AC52" s="80">
        <v>2.5</v>
      </c>
      <c r="AD52" s="80">
        <v>2.5</v>
      </c>
      <c r="AE52" s="80">
        <v>2.5</v>
      </c>
      <c r="AF52" s="80">
        <v>2.5</v>
      </c>
      <c r="AG52" s="94">
        <v>15</v>
      </c>
      <c r="AH52" s="20">
        <f t="shared" si="2"/>
        <v>3</v>
      </c>
      <c r="AI52" s="19">
        <f t="shared" si="3"/>
        <v>0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0</v>
      </c>
      <c r="C53" s="80">
        <v>0</v>
      </c>
      <c r="D53" s="80">
        <v>0</v>
      </c>
      <c r="E53" s="80">
        <v>0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>
        <v>0</v>
      </c>
      <c r="L53" s="80">
        <v>0</v>
      </c>
      <c r="M53" s="80">
        <v>0</v>
      </c>
      <c r="N53" s="80">
        <v>0</v>
      </c>
      <c r="O53" s="80">
        <v>0</v>
      </c>
      <c r="P53" s="80">
        <v>0</v>
      </c>
      <c r="Q53" s="80">
        <v>0</v>
      </c>
      <c r="R53" s="80">
        <v>0</v>
      </c>
      <c r="S53" s="80">
        <v>0</v>
      </c>
      <c r="T53" s="80">
        <v>0</v>
      </c>
      <c r="U53" s="80">
        <v>0</v>
      </c>
      <c r="V53" s="80">
        <v>0</v>
      </c>
      <c r="W53" s="80">
        <v>0</v>
      </c>
      <c r="X53" s="80">
        <v>0</v>
      </c>
      <c r="Y53" s="80">
        <v>0</v>
      </c>
      <c r="Z53" s="80">
        <v>0</v>
      </c>
      <c r="AA53" s="80">
        <v>0</v>
      </c>
      <c r="AB53" s="80">
        <v>0</v>
      </c>
      <c r="AC53" s="80">
        <v>0</v>
      </c>
      <c r="AD53" s="80">
        <v>0</v>
      </c>
      <c r="AE53" s="80">
        <v>0</v>
      </c>
      <c r="AF53" s="80">
        <v>0</v>
      </c>
      <c r="AG53" s="94">
        <v>14.1</v>
      </c>
      <c r="AH53" s="20">
        <f t="shared" si="2"/>
        <v>0</v>
      </c>
      <c r="AI53" s="19">
        <f t="shared" si="3"/>
        <v>0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7.1</v>
      </c>
      <c r="C54" s="80">
        <v>7.1</v>
      </c>
      <c r="D54" s="80">
        <v>7.1</v>
      </c>
      <c r="E54" s="80">
        <v>7.1</v>
      </c>
      <c r="F54" s="80">
        <v>7.2</v>
      </c>
      <c r="G54" s="80">
        <v>7.1</v>
      </c>
      <c r="H54" s="80">
        <v>7.1</v>
      </c>
      <c r="I54" s="80">
        <v>14.1</v>
      </c>
      <c r="J54" s="80">
        <v>14.3</v>
      </c>
      <c r="K54" s="80">
        <v>14.3</v>
      </c>
      <c r="L54" s="80">
        <v>14.3</v>
      </c>
      <c r="M54" s="80">
        <v>14.3</v>
      </c>
      <c r="N54" s="80">
        <v>14.3</v>
      </c>
      <c r="O54" s="80">
        <v>14.3</v>
      </c>
      <c r="P54" s="80">
        <v>14.3</v>
      </c>
      <c r="Q54" s="80">
        <v>14.3</v>
      </c>
      <c r="R54" s="80">
        <v>14.3</v>
      </c>
      <c r="S54" s="80">
        <v>14.3</v>
      </c>
      <c r="T54" s="80">
        <v>14.3</v>
      </c>
      <c r="U54" s="80">
        <v>14.3</v>
      </c>
      <c r="V54" s="80">
        <v>14.3</v>
      </c>
      <c r="W54" s="80">
        <v>14.3</v>
      </c>
      <c r="X54" s="80">
        <v>14.3</v>
      </c>
      <c r="Y54" s="80">
        <v>14.3</v>
      </c>
      <c r="Z54" s="80">
        <v>14.3</v>
      </c>
      <c r="AA54" s="80">
        <v>14.3</v>
      </c>
      <c r="AB54" s="80">
        <v>14.3</v>
      </c>
      <c r="AC54" s="80">
        <v>14.3</v>
      </c>
      <c r="AD54" s="80">
        <v>14.3</v>
      </c>
      <c r="AE54" s="80">
        <v>14.3</v>
      </c>
      <c r="AF54" s="80">
        <v>14.3</v>
      </c>
      <c r="AG54" s="94">
        <v>14</v>
      </c>
      <c r="AH54" s="20">
        <f t="shared" si="2"/>
        <v>14.3</v>
      </c>
      <c r="AI54" s="19">
        <f t="shared" si="3"/>
        <v>7.1</v>
      </c>
      <c r="AK54" s="41"/>
    </row>
    <row r="55" spans="1:41" x14ac:dyDescent="0.25">
      <c r="A55" s="95" t="s">
        <v>180</v>
      </c>
      <c r="B55" s="80">
        <v>9</v>
      </c>
      <c r="C55" s="80">
        <v>9</v>
      </c>
      <c r="D55" s="80">
        <v>9</v>
      </c>
      <c r="E55" s="80">
        <v>9</v>
      </c>
      <c r="F55" s="80">
        <v>9</v>
      </c>
      <c r="G55" s="80">
        <v>9</v>
      </c>
      <c r="H55" s="80">
        <v>9</v>
      </c>
      <c r="I55" s="80">
        <v>9</v>
      </c>
      <c r="J55" s="80">
        <v>9</v>
      </c>
      <c r="K55" s="80">
        <v>9</v>
      </c>
      <c r="L55" s="80">
        <v>9</v>
      </c>
      <c r="M55" s="80">
        <v>9</v>
      </c>
      <c r="N55" s="80">
        <v>9</v>
      </c>
      <c r="O55" s="80">
        <v>9</v>
      </c>
      <c r="P55" s="80">
        <v>9</v>
      </c>
      <c r="Q55" s="80">
        <v>9</v>
      </c>
      <c r="R55" s="80">
        <v>9</v>
      </c>
      <c r="S55" s="80">
        <v>9</v>
      </c>
      <c r="T55" s="80">
        <v>9</v>
      </c>
      <c r="U55" s="80">
        <v>9</v>
      </c>
      <c r="V55" s="80">
        <v>9</v>
      </c>
      <c r="W55" s="80">
        <v>6.8</v>
      </c>
      <c r="X55" s="80">
        <v>6.8</v>
      </c>
      <c r="Y55" s="80">
        <v>6.8</v>
      </c>
      <c r="Z55" s="80">
        <v>6.8</v>
      </c>
      <c r="AA55" s="80">
        <v>6.8</v>
      </c>
      <c r="AB55" s="80">
        <v>9.1999999999999993</v>
      </c>
      <c r="AC55" s="80">
        <v>9.1999999999999993</v>
      </c>
      <c r="AD55" s="80">
        <v>9.1999999999999993</v>
      </c>
      <c r="AE55" s="80">
        <v>9.1999999999999993</v>
      </c>
      <c r="AF55" s="80">
        <v>9.1999999999999993</v>
      </c>
      <c r="AG55" s="94">
        <v>10.050000000000001</v>
      </c>
      <c r="AH55" s="20">
        <f t="shared" si="2"/>
        <v>9.1999999999999993</v>
      </c>
      <c r="AI55" s="19">
        <f t="shared" si="3"/>
        <v>6.8</v>
      </c>
      <c r="AK55" s="41"/>
    </row>
    <row r="56" spans="1:41" x14ac:dyDescent="0.25">
      <c r="A56" s="95" t="s">
        <v>179</v>
      </c>
      <c r="B56" s="80">
        <v>3.2</v>
      </c>
      <c r="C56" s="80">
        <v>3.2</v>
      </c>
      <c r="D56" s="80">
        <v>3.2</v>
      </c>
      <c r="E56" s="80">
        <v>3.2</v>
      </c>
      <c r="F56" s="80">
        <v>3.2</v>
      </c>
      <c r="G56" s="80">
        <v>3.2</v>
      </c>
      <c r="H56" s="80">
        <v>3.2</v>
      </c>
      <c r="I56" s="80">
        <v>3.2</v>
      </c>
      <c r="J56" s="80">
        <v>3.2</v>
      </c>
      <c r="K56" s="80">
        <v>3.2</v>
      </c>
      <c r="L56" s="80">
        <v>3.2</v>
      </c>
      <c r="M56" s="80">
        <v>3.2</v>
      </c>
      <c r="N56" s="80">
        <v>3.2</v>
      </c>
      <c r="O56" s="80">
        <v>3.2</v>
      </c>
      <c r="P56" s="80">
        <v>3.2</v>
      </c>
      <c r="Q56" s="80">
        <v>3.2</v>
      </c>
      <c r="R56" s="80">
        <v>3.2</v>
      </c>
      <c r="S56" s="80">
        <v>3.2</v>
      </c>
      <c r="T56" s="80">
        <v>3.2</v>
      </c>
      <c r="U56" s="80">
        <v>3.2</v>
      </c>
      <c r="V56" s="80">
        <v>3.2</v>
      </c>
      <c r="W56" s="80">
        <v>3.2</v>
      </c>
      <c r="X56" s="80">
        <v>3.2</v>
      </c>
      <c r="Y56" s="80">
        <v>3.2</v>
      </c>
      <c r="Z56" s="80">
        <v>3.2</v>
      </c>
      <c r="AA56" s="80">
        <v>3.2</v>
      </c>
      <c r="AB56" s="80">
        <v>3.2</v>
      </c>
      <c r="AC56" s="80">
        <v>3.2</v>
      </c>
      <c r="AD56" s="80">
        <v>3.2</v>
      </c>
      <c r="AE56" s="80">
        <v>3.2</v>
      </c>
      <c r="AF56" s="80">
        <v>3.2</v>
      </c>
      <c r="AG56" s="94">
        <v>6.2</v>
      </c>
      <c r="AH56" s="20">
        <f t="shared" si="2"/>
        <v>3.2</v>
      </c>
      <c r="AI56" s="19">
        <f t="shared" si="3"/>
        <v>3.2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7">SUM(B45:B57)</f>
        <v>245.94</v>
      </c>
      <c r="C58" s="86">
        <f t="shared" si="7"/>
        <v>248.73999999999995</v>
      </c>
      <c r="D58" s="86">
        <f t="shared" si="7"/>
        <v>239.94</v>
      </c>
      <c r="E58" s="86">
        <f t="shared" si="7"/>
        <v>219.14</v>
      </c>
      <c r="F58" s="86">
        <f t="shared" si="7"/>
        <v>219.33999999999997</v>
      </c>
      <c r="G58" s="86">
        <f t="shared" si="7"/>
        <v>227.53999999999996</v>
      </c>
      <c r="H58" s="86">
        <f t="shared" si="7"/>
        <v>243.93999999999997</v>
      </c>
      <c r="I58" s="86">
        <f t="shared" si="7"/>
        <v>271.84000000000003</v>
      </c>
      <c r="J58" s="86">
        <f t="shared" si="7"/>
        <v>294.64000000000004</v>
      </c>
      <c r="K58" s="86">
        <f t="shared" si="7"/>
        <v>294.64000000000004</v>
      </c>
      <c r="L58" s="86">
        <f t="shared" si="7"/>
        <v>294.64000000000004</v>
      </c>
      <c r="M58" s="86">
        <f t="shared" si="7"/>
        <v>303.64000000000004</v>
      </c>
      <c r="N58" s="86">
        <f t="shared" si="7"/>
        <v>305.64000000000004</v>
      </c>
      <c r="O58" s="86">
        <f t="shared" si="7"/>
        <v>307.84000000000003</v>
      </c>
      <c r="P58" s="86">
        <f t="shared" si="7"/>
        <v>307.84000000000003</v>
      </c>
      <c r="Q58" s="86">
        <f t="shared" si="7"/>
        <v>306.74</v>
      </c>
      <c r="R58" s="86">
        <f t="shared" si="7"/>
        <v>308.33999999999997</v>
      </c>
      <c r="S58" s="86">
        <f t="shared" si="7"/>
        <v>308.33999999999997</v>
      </c>
      <c r="T58" s="86">
        <f t="shared" si="7"/>
        <v>308.33999999999997</v>
      </c>
      <c r="U58" s="86">
        <f t="shared" si="7"/>
        <v>308.33999999999997</v>
      </c>
      <c r="V58" s="86">
        <f t="shared" si="7"/>
        <v>308.33999999999997</v>
      </c>
      <c r="W58" s="86">
        <f t="shared" si="7"/>
        <v>298.14</v>
      </c>
      <c r="X58" s="86">
        <f t="shared" si="7"/>
        <v>298.14</v>
      </c>
      <c r="Y58" s="86">
        <f t="shared" si="7"/>
        <v>297.64</v>
      </c>
      <c r="Z58" s="86">
        <f t="shared" si="7"/>
        <v>297.64</v>
      </c>
      <c r="AA58" s="86">
        <f t="shared" si="7"/>
        <v>297.64</v>
      </c>
      <c r="AB58" s="86">
        <f t="shared" si="7"/>
        <v>300.03999999999996</v>
      </c>
      <c r="AC58" s="86">
        <f t="shared" si="7"/>
        <v>297.84000000000003</v>
      </c>
      <c r="AD58" s="86">
        <f t="shared" si="7"/>
        <v>297.84000000000003</v>
      </c>
      <c r="AE58" s="86">
        <f t="shared" si="7"/>
        <v>297.84000000000003</v>
      </c>
      <c r="AF58" s="86">
        <f t="shared" si="7"/>
        <v>297.84000000000003</v>
      </c>
      <c r="AG58" s="101">
        <f t="shared" si="7"/>
        <v>489.91</v>
      </c>
      <c r="AH58" s="20">
        <f t="shared" si="2"/>
        <v>308.33999999999997</v>
      </c>
      <c r="AI58" s="19">
        <f t="shared" si="3"/>
        <v>219.14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>
        <v>0</v>
      </c>
      <c r="S59" s="105"/>
      <c r="T59" s="105"/>
      <c r="U59" s="105"/>
      <c r="V59" s="105"/>
      <c r="W59" s="105"/>
      <c r="X59" s="105"/>
      <c r="Y59" s="105"/>
      <c r="Z59" s="105"/>
      <c r="AA59" s="105"/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/>
      <c r="T60" s="80"/>
      <c r="U60" s="80"/>
      <c r="V60" s="80"/>
      <c r="W60" s="80"/>
      <c r="X60" s="80"/>
      <c r="Y60" s="80"/>
      <c r="Z60" s="80"/>
      <c r="AA60" s="80"/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/>
      <c r="T61" s="107"/>
      <c r="U61" s="107"/>
      <c r="V61" s="107"/>
      <c r="W61" s="107"/>
      <c r="X61" s="107"/>
      <c r="Y61" s="107"/>
      <c r="Z61" s="107"/>
      <c r="AA61" s="107"/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8">SUM(B59:B61)</f>
        <v>0</v>
      </c>
      <c r="C62" s="86">
        <f t="shared" si="8"/>
        <v>0</v>
      </c>
      <c r="D62" s="86">
        <f t="shared" si="8"/>
        <v>0</v>
      </c>
      <c r="E62" s="86">
        <f t="shared" si="8"/>
        <v>0</v>
      </c>
      <c r="F62" s="86">
        <f t="shared" si="8"/>
        <v>0</v>
      </c>
      <c r="G62" s="86">
        <f t="shared" si="8"/>
        <v>0</v>
      </c>
      <c r="H62" s="86">
        <f t="shared" si="8"/>
        <v>0</v>
      </c>
      <c r="I62" s="86">
        <f t="shared" si="8"/>
        <v>0</v>
      </c>
      <c r="J62" s="86">
        <f t="shared" si="8"/>
        <v>0</v>
      </c>
      <c r="K62" s="86">
        <f t="shared" si="8"/>
        <v>0</v>
      </c>
      <c r="L62" s="86">
        <f t="shared" si="8"/>
        <v>0</v>
      </c>
      <c r="M62" s="86">
        <f t="shared" si="8"/>
        <v>0</v>
      </c>
      <c r="N62" s="86">
        <f t="shared" si="8"/>
        <v>0</v>
      </c>
      <c r="O62" s="86">
        <f t="shared" si="8"/>
        <v>0</v>
      </c>
      <c r="P62" s="86">
        <f t="shared" si="8"/>
        <v>0</v>
      </c>
      <c r="Q62" s="86">
        <f t="shared" si="8"/>
        <v>0</v>
      </c>
      <c r="R62" s="86">
        <f t="shared" si="8"/>
        <v>0</v>
      </c>
      <c r="S62" s="86">
        <f t="shared" si="8"/>
        <v>0</v>
      </c>
      <c r="T62" s="86">
        <f t="shared" si="8"/>
        <v>0</v>
      </c>
      <c r="U62" s="86">
        <f t="shared" si="8"/>
        <v>0</v>
      </c>
      <c r="V62" s="86">
        <f t="shared" si="8"/>
        <v>0</v>
      </c>
      <c r="W62" s="86">
        <f t="shared" si="8"/>
        <v>0</v>
      </c>
      <c r="X62" s="86">
        <f t="shared" si="8"/>
        <v>0</v>
      </c>
      <c r="Y62" s="86">
        <f t="shared" si="8"/>
        <v>0</v>
      </c>
      <c r="Z62" s="86">
        <f t="shared" si="8"/>
        <v>0</v>
      </c>
      <c r="AA62" s="86">
        <f t="shared" si="8"/>
        <v>0</v>
      </c>
      <c r="AB62" s="86">
        <f t="shared" si="8"/>
        <v>0</v>
      </c>
      <c r="AC62" s="86">
        <f t="shared" si="8"/>
        <v>0</v>
      </c>
      <c r="AD62" s="86">
        <f t="shared" si="8"/>
        <v>0</v>
      </c>
      <c r="AE62" s="86">
        <f t="shared" si="8"/>
        <v>0</v>
      </c>
      <c r="AF62" s="86">
        <f t="shared" si="8"/>
        <v>0</v>
      </c>
      <c r="AG62" s="101">
        <f t="shared" si="8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>
        <v>0</v>
      </c>
      <c r="S63" s="105">
        <v>0</v>
      </c>
      <c r="T63" s="105">
        <v>0</v>
      </c>
      <c r="U63" s="105">
        <v>0</v>
      </c>
      <c r="V63" s="105">
        <v>0</v>
      </c>
      <c r="W63" s="105">
        <v>0</v>
      </c>
      <c r="X63" s="105">
        <v>12</v>
      </c>
      <c r="Y63" s="105">
        <v>51.2</v>
      </c>
      <c r="Z63" s="105">
        <v>47.2</v>
      </c>
      <c r="AA63" s="105">
        <v>17.600000000000001</v>
      </c>
      <c r="AB63" s="105">
        <v>0</v>
      </c>
      <c r="AC63" s="105">
        <v>0</v>
      </c>
      <c r="AD63" s="105">
        <v>0</v>
      </c>
      <c r="AE63" s="105">
        <v>0</v>
      </c>
      <c r="AF63" s="105">
        <v>0</v>
      </c>
      <c r="AG63" s="96"/>
      <c r="AH63" s="20">
        <f t="shared" si="2"/>
        <v>51.2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-403.8</v>
      </c>
      <c r="C65" s="80">
        <v>-431</v>
      </c>
      <c r="D65" s="80">
        <v>-435</v>
      </c>
      <c r="E65" s="80">
        <v>-423</v>
      </c>
      <c r="F65" s="80">
        <v>-431</v>
      </c>
      <c r="G65" s="80">
        <v>-400</v>
      </c>
      <c r="H65" s="80">
        <v>-411</v>
      </c>
      <c r="I65" s="80">
        <v>-382</v>
      </c>
      <c r="J65" s="80">
        <v>-410</v>
      </c>
      <c r="K65" s="80">
        <v>-390.1</v>
      </c>
      <c r="L65" s="80">
        <v>-410</v>
      </c>
      <c r="M65" s="80">
        <v>-405</v>
      </c>
      <c r="N65" s="80">
        <v>-436</v>
      </c>
      <c r="O65" s="80">
        <v>-391</v>
      </c>
      <c r="P65" s="80">
        <v>-400</v>
      </c>
      <c r="Q65" s="80">
        <v>-416</v>
      </c>
      <c r="R65" s="80">
        <v>-440</v>
      </c>
      <c r="S65" s="80">
        <v>-388</v>
      </c>
      <c r="T65" s="80">
        <v>-367</v>
      </c>
      <c r="U65" s="80">
        <v>-389</v>
      </c>
      <c r="V65" s="80">
        <v>-398</v>
      </c>
      <c r="W65" s="80">
        <v>-385</v>
      </c>
      <c r="X65" s="80">
        <v>-319</v>
      </c>
      <c r="Y65" s="80">
        <v>-314</v>
      </c>
      <c r="Z65" s="80">
        <v>-351</v>
      </c>
      <c r="AA65" s="80">
        <v>-350</v>
      </c>
      <c r="AB65" s="80">
        <v>-384.4</v>
      </c>
      <c r="AC65" s="80">
        <v>-397</v>
      </c>
      <c r="AD65" s="80">
        <v>-412.2</v>
      </c>
      <c r="AE65" s="80">
        <v>-422</v>
      </c>
      <c r="AF65" s="80">
        <v>-406</v>
      </c>
      <c r="AG65" s="102"/>
      <c r="AH65" s="20">
        <f t="shared" si="2"/>
        <v>-314</v>
      </c>
      <c r="AI65" s="19">
        <f t="shared" si="3"/>
        <v>-440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9">SUMIF(B63:B73,"&gt;0")</f>
        <v>0</v>
      </c>
      <c r="C74" s="86">
        <f t="shared" si="9"/>
        <v>0</v>
      </c>
      <c r="D74" s="86">
        <f t="shared" si="9"/>
        <v>0</v>
      </c>
      <c r="E74" s="86">
        <f t="shared" si="9"/>
        <v>0</v>
      </c>
      <c r="F74" s="86">
        <f t="shared" si="9"/>
        <v>0</v>
      </c>
      <c r="G74" s="86">
        <f t="shared" si="9"/>
        <v>0</v>
      </c>
      <c r="H74" s="86">
        <f t="shared" si="9"/>
        <v>0</v>
      </c>
      <c r="I74" s="86">
        <f t="shared" si="9"/>
        <v>0</v>
      </c>
      <c r="J74" s="86">
        <f t="shared" si="9"/>
        <v>0</v>
      </c>
      <c r="K74" s="86">
        <f t="shared" si="9"/>
        <v>0</v>
      </c>
      <c r="L74" s="86">
        <f t="shared" si="9"/>
        <v>0</v>
      </c>
      <c r="M74" s="86">
        <f t="shared" si="9"/>
        <v>0</v>
      </c>
      <c r="N74" s="86">
        <f t="shared" si="9"/>
        <v>0</v>
      </c>
      <c r="O74" s="86">
        <f t="shared" si="9"/>
        <v>0</v>
      </c>
      <c r="P74" s="86">
        <f t="shared" si="9"/>
        <v>0</v>
      </c>
      <c r="Q74" s="86">
        <f t="shared" si="9"/>
        <v>0</v>
      </c>
      <c r="R74" s="86">
        <f t="shared" si="9"/>
        <v>0</v>
      </c>
      <c r="S74" s="86">
        <f t="shared" si="9"/>
        <v>0</v>
      </c>
      <c r="T74" s="86">
        <f t="shared" si="9"/>
        <v>0</v>
      </c>
      <c r="U74" s="86">
        <f t="shared" si="9"/>
        <v>0</v>
      </c>
      <c r="V74" s="86">
        <f t="shared" si="9"/>
        <v>0</v>
      </c>
      <c r="W74" s="86">
        <f t="shared" si="9"/>
        <v>0</v>
      </c>
      <c r="X74" s="86">
        <f t="shared" si="9"/>
        <v>12</v>
      </c>
      <c r="Y74" s="86">
        <f t="shared" si="9"/>
        <v>51.2</v>
      </c>
      <c r="Z74" s="86">
        <f t="shared" si="9"/>
        <v>47.2</v>
      </c>
      <c r="AA74" s="86">
        <f t="shared" si="9"/>
        <v>17.600000000000001</v>
      </c>
      <c r="AB74" s="86">
        <f t="shared" si="9"/>
        <v>0</v>
      </c>
      <c r="AC74" s="86">
        <f t="shared" si="9"/>
        <v>0</v>
      </c>
      <c r="AD74" s="86">
        <f t="shared" si="9"/>
        <v>0</v>
      </c>
      <c r="AE74" s="86">
        <f t="shared" si="9"/>
        <v>0</v>
      </c>
      <c r="AF74" s="86">
        <f t="shared" si="9"/>
        <v>0</v>
      </c>
      <c r="AG74" s="85">
        <f>SUM(AG63:AG73)</f>
        <v>0</v>
      </c>
      <c r="AH74" s="20">
        <f t="shared" si="2"/>
        <v>51.2</v>
      </c>
      <c r="AI74" s="19">
        <f t="shared" si="3"/>
        <v>0</v>
      </c>
      <c r="AK74" s="41"/>
    </row>
    <row r="75" spans="1:37" x14ac:dyDescent="0.25">
      <c r="A75" s="97" t="s">
        <v>164</v>
      </c>
      <c r="B75" s="93">
        <v>0</v>
      </c>
      <c r="C75" s="93">
        <v>0</v>
      </c>
      <c r="D75" s="93">
        <v>0</v>
      </c>
      <c r="E75" s="93">
        <v>0</v>
      </c>
      <c r="F75" s="93">
        <v>0</v>
      </c>
      <c r="G75" s="93">
        <v>0</v>
      </c>
      <c r="H75" s="93">
        <v>0</v>
      </c>
      <c r="I75" s="93">
        <v>0</v>
      </c>
      <c r="J75" s="93">
        <v>0</v>
      </c>
      <c r="K75" s="93">
        <v>0</v>
      </c>
      <c r="L75" s="93">
        <v>0</v>
      </c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>
        <v>0</v>
      </c>
      <c r="AC75" s="93">
        <v>0</v>
      </c>
      <c r="AD75" s="93">
        <v>0</v>
      </c>
      <c r="AE75" s="93">
        <v>0</v>
      </c>
      <c r="AF75" s="93">
        <v>0</v>
      </c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>
        <v>0</v>
      </c>
      <c r="C76" s="103">
        <v>0</v>
      </c>
      <c r="D76" s="103">
        <v>0</v>
      </c>
      <c r="E76" s="103">
        <v>0</v>
      </c>
      <c r="F76" s="103">
        <v>0</v>
      </c>
      <c r="G76" s="103">
        <v>0</v>
      </c>
      <c r="H76" s="103">
        <v>0</v>
      </c>
      <c r="I76" s="103">
        <v>0</v>
      </c>
      <c r="J76" s="103">
        <v>0</v>
      </c>
      <c r="K76" s="103">
        <v>0</v>
      </c>
      <c r="L76" s="103">
        <v>0</v>
      </c>
      <c r="M76" s="103">
        <v>0</v>
      </c>
      <c r="N76" s="103">
        <v>0</v>
      </c>
      <c r="O76" s="103">
        <v>0</v>
      </c>
      <c r="P76" s="103">
        <v>0</v>
      </c>
      <c r="Q76" s="103">
        <v>0</v>
      </c>
      <c r="R76" s="103">
        <v>0</v>
      </c>
      <c r="S76" s="103"/>
      <c r="T76" s="103"/>
      <c r="U76" s="103"/>
      <c r="V76" s="103"/>
      <c r="W76" s="103"/>
      <c r="X76" s="103"/>
      <c r="Y76" s="103"/>
      <c r="Z76" s="103"/>
      <c r="AA76" s="103"/>
      <c r="AB76" s="103">
        <v>0</v>
      </c>
      <c r="AC76" s="103">
        <v>0</v>
      </c>
      <c r="AD76" s="103">
        <v>0</v>
      </c>
      <c r="AE76" s="103">
        <v>0</v>
      </c>
      <c r="AF76" s="103">
        <v>0</v>
      </c>
      <c r="AG76" s="102">
        <v>14.4</v>
      </c>
      <c r="AH76" s="20">
        <f t="shared" ref="AH76:AH109" si="10">MAX(B76:AF76)</f>
        <v>0</v>
      </c>
      <c r="AI76" s="19">
        <f t="shared" ref="AI76:AI109" si="11">MIN(B76:AF76)</f>
        <v>0</v>
      </c>
      <c r="AK76" s="41"/>
    </row>
    <row r="77" spans="1:37" ht="15.75" thickBot="1" x14ac:dyDescent="0.3">
      <c r="A77" s="91" t="s">
        <v>162</v>
      </c>
      <c r="B77" s="90">
        <v>0</v>
      </c>
      <c r="C77" s="90">
        <v>0</v>
      </c>
      <c r="D77" s="90">
        <v>0</v>
      </c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/>
      <c r="T77" s="90"/>
      <c r="U77" s="90"/>
      <c r="V77" s="90"/>
      <c r="W77" s="90"/>
      <c r="X77" s="90"/>
      <c r="Y77" s="90"/>
      <c r="Z77" s="90"/>
      <c r="AA77" s="90"/>
      <c r="AB77" s="90">
        <v>0</v>
      </c>
      <c r="AC77" s="90">
        <v>0</v>
      </c>
      <c r="AD77" s="90">
        <v>0</v>
      </c>
      <c r="AE77" s="90">
        <v>0</v>
      </c>
      <c r="AF77" s="90">
        <v>0</v>
      </c>
      <c r="AG77" s="89">
        <v>2</v>
      </c>
      <c r="AH77" s="20">
        <f t="shared" si="10"/>
        <v>0</v>
      </c>
      <c r="AI77" s="19">
        <f t="shared" si="11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10"/>
        <v>0</v>
      </c>
      <c r="AI78" s="19">
        <f t="shared" si="11"/>
        <v>0</v>
      </c>
    </row>
    <row r="79" spans="1:37" ht="15.75" thickBot="1" x14ac:dyDescent="0.3">
      <c r="A79" s="87" t="s">
        <v>160</v>
      </c>
      <c r="B79" s="98">
        <f t="shared" ref="B79:AG79" si="12">B40+B44+B62+B58+B74+B78</f>
        <v>1464.3400000000001</v>
      </c>
      <c r="C79" s="98">
        <f t="shared" si="12"/>
        <v>1467.14</v>
      </c>
      <c r="D79" s="98">
        <f t="shared" si="12"/>
        <v>1448.8400000000001</v>
      </c>
      <c r="E79" s="98">
        <f t="shared" si="12"/>
        <v>1420.8400000000001</v>
      </c>
      <c r="F79" s="98">
        <f t="shared" si="12"/>
        <v>1420.04</v>
      </c>
      <c r="G79" s="98">
        <f t="shared" si="12"/>
        <v>1404.24</v>
      </c>
      <c r="H79" s="98">
        <f t="shared" si="12"/>
        <v>1420.64</v>
      </c>
      <c r="I79" s="98">
        <f t="shared" si="12"/>
        <v>1448.54</v>
      </c>
      <c r="J79" s="98">
        <f t="shared" si="12"/>
        <v>1494.24</v>
      </c>
      <c r="K79" s="98">
        <f t="shared" si="12"/>
        <v>1567.24</v>
      </c>
      <c r="L79" s="98">
        <f t="shared" si="12"/>
        <v>1511.24</v>
      </c>
      <c r="M79" s="98">
        <f t="shared" si="12"/>
        <v>1567.34</v>
      </c>
      <c r="N79" s="98">
        <f t="shared" si="12"/>
        <v>1577.74</v>
      </c>
      <c r="O79" s="98">
        <f t="shared" si="12"/>
        <v>1584.54</v>
      </c>
      <c r="P79" s="98">
        <f t="shared" si="12"/>
        <v>1584.54</v>
      </c>
      <c r="Q79" s="98">
        <f t="shared" si="12"/>
        <v>1583.5400000000002</v>
      </c>
      <c r="R79" s="98">
        <f t="shared" si="12"/>
        <v>1584.6399999999999</v>
      </c>
      <c r="S79" s="98">
        <f t="shared" si="12"/>
        <v>1575.6399999999999</v>
      </c>
      <c r="T79" s="98">
        <f t="shared" si="12"/>
        <v>1579.6399999999999</v>
      </c>
      <c r="U79" s="98">
        <f t="shared" si="12"/>
        <v>1592.1399999999999</v>
      </c>
      <c r="V79" s="98">
        <f t="shared" si="12"/>
        <v>1594.14</v>
      </c>
      <c r="W79" s="98">
        <f t="shared" si="12"/>
        <v>1584.94</v>
      </c>
      <c r="X79" s="98">
        <f t="shared" si="12"/>
        <v>1692.2399999999998</v>
      </c>
      <c r="Y79" s="98">
        <f t="shared" si="12"/>
        <v>1743.9399999999998</v>
      </c>
      <c r="Z79" s="98">
        <f t="shared" si="12"/>
        <v>1739.9399999999998</v>
      </c>
      <c r="AA79" s="98">
        <f t="shared" si="12"/>
        <v>1710.3399999999997</v>
      </c>
      <c r="AB79" s="98">
        <f t="shared" si="12"/>
        <v>1684.1399999999999</v>
      </c>
      <c r="AC79" s="98">
        <f t="shared" si="12"/>
        <v>1657.54</v>
      </c>
      <c r="AD79" s="98">
        <f t="shared" si="12"/>
        <v>1613.2400000000002</v>
      </c>
      <c r="AE79" s="98">
        <f t="shared" si="12"/>
        <v>1558.3400000000001</v>
      </c>
      <c r="AF79" s="98">
        <f t="shared" si="12"/>
        <v>1517.04</v>
      </c>
      <c r="AG79" s="101">
        <f t="shared" si="12"/>
        <v>1897.1900000000003</v>
      </c>
      <c r="AH79" s="20">
        <f t="shared" si="10"/>
        <v>1743.9399999999998</v>
      </c>
      <c r="AI79" s="19">
        <f t="shared" si="11"/>
        <v>1404.24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10"/>
        <v>0</v>
      </c>
      <c r="AI80" s="19">
        <f t="shared" si="11"/>
        <v>0</v>
      </c>
    </row>
    <row r="81" spans="1:37" ht="15.75" thickBot="1" x14ac:dyDescent="0.3">
      <c r="A81" s="87" t="s">
        <v>158</v>
      </c>
      <c r="B81" s="98">
        <f t="shared" ref="B81:AF81" si="13">B79+B80</f>
        <v>1464.3400000000001</v>
      </c>
      <c r="C81" s="98">
        <f t="shared" si="13"/>
        <v>1467.14</v>
      </c>
      <c r="D81" s="98">
        <f t="shared" si="13"/>
        <v>1448.8400000000001</v>
      </c>
      <c r="E81" s="98">
        <f t="shared" si="13"/>
        <v>1420.8400000000001</v>
      </c>
      <c r="F81" s="98">
        <f t="shared" si="13"/>
        <v>1420.04</v>
      </c>
      <c r="G81" s="98">
        <f t="shared" si="13"/>
        <v>1404.24</v>
      </c>
      <c r="H81" s="98">
        <f t="shared" si="13"/>
        <v>1420.64</v>
      </c>
      <c r="I81" s="98">
        <f t="shared" si="13"/>
        <v>1448.54</v>
      </c>
      <c r="J81" s="98">
        <f t="shared" si="13"/>
        <v>1494.24</v>
      </c>
      <c r="K81" s="98">
        <f t="shared" si="13"/>
        <v>1567.24</v>
      </c>
      <c r="L81" s="98">
        <f t="shared" si="13"/>
        <v>1511.24</v>
      </c>
      <c r="M81" s="98">
        <f t="shared" si="13"/>
        <v>1567.34</v>
      </c>
      <c r="N81" s="98">
        <f t="shared" si="13"/>
        <v>1577.74</v>
      </c>
      <c r="O81" s="98">
        <f t="shared" si="13"/>
        <v>1584.54</v>
      </c>
      <c r="P81" s="98">
        <f t="shared" si="13"/>
        <v>1584.54</v>
      </c>
      <c r="Q81" s="98">
        <f t="shared" si="13"/>
        <v>1583.5400000000002</v>
      </c>
      <c r="R81" s="98">
        <f t="shared" si="13"/>
        <v>1584.6399999999999</v>
      </c>
      <c r="S81" s="98">
        <f t="shared" si="13"/>
        <v>1575.6399999999999</v>
      </c>
      <c r="T81" s="98">
        <f t="shared" si="13"/>
        <v>1579.6399999999999</v>
      </c>
      <c r="U81" s="98">
        <f t="shared" si="13"/>
        <v>1592.1399999999999</v>
      </c>
      <c r="V81" s="98">
        <f t="shared" si="13"/>
        <v>1594.14</v>
      </c>
      <c r="W81" s="98">
        <f t="shared" si="13"/>
        <v>1584.94</v>
      </c>
      <c r="X81" s="98">
        <f t="shared" si="13"/>
        <v>1692.2399999999998</v>
      </c>
      <c r="Y81" s="98">
        <f t="shared" si="13"/>
        <v>1743.9399999999998</v>
      </c>
      <c r="Z81" s="98">
        <f t="shared" si="13"/>
        <v>1739.9399999999998</v>
      </c>
      <c r="AA81" s="98">
        <f t="shared" si="13"/>
        <v>1710.3399999999997</v>
      </c>
      <c r="AB81" s="98">
        <f t="shared" si="13"/>
        <v>1684.1399999999999</v>
      </c>
      <c r="AC81" s="98">
        <f t="shared" si="13"/>
        <v>1657.54</v>
      </c>
      <c r="AD81" s="98">
        <f t="shared" si="13"/>
        <v>1613.2400000000002</v>
      </c>
      <c r="AE81" s="98">
        <f t="shared" si="13"/>
        <v>1558.3400000000001</v>
      </c>
      <c r="AF81" s="98">
        <f t="shared" si="13"/>
        <v>1517.04</v>
      </c>
      <c r="AG81" s="85">
        <f>AG78+AG74+AG62+AG58+AG40+AG80</f>
        <v>1359.0900000000001</v>
      </c>
      <c r="AH81" s="20">
        <f t="shared" si="10"/>
        <v>1743.9399999999998</v>
      </c>
      <c r="AI81" s="19">
        <f t="shared" si="11"/>
        <v>1404.24</v>
      </c>
    </row>
    <row r="82" spans="1:37" ht="15.75" thickBot="1" x14ac:dyDescent="0.3">
      <c r="A82" s="87" t="s">
        <v>157</v>
      </c>
      <c r="B82" s="98">
        <f t="shared" ref="B82:AF82" si="14">B81-B89</f>
        <v>1060.5400000000002</v>
      </c>
      <c r="C82" s="98">
        <f t="shared" si="14"/>
        <v>1036.1400000000001</v>
      </c>
      <c r="D82" s="98">
        <f t="shared" si="14"/>
        <v>1013.8400000000001</v>
      </c>
      <c r="E82" s="98">
        <f t="shared" si="14"/>
        <v>997.84000000000015</v>
      </c>
      <c r="F82" s="98">
        <f t="shared" si="14"/>
        <v>989.04</v>
      </c>
      <c r="G82" s="98">
        <f t="shared" si="14"/>
        <v>1004.24</v>
      </c>
      <c r="H82" s="98">
        <f t="shared" si="14"/>
        <v>1009.6400000000001</v>
      </c>
      <c r="I82" s="98">
        <f t="shared" si="14"/>
        <v>1066.54</v>
      </c>
      <c r="J82" s="98">
        <f t="shared" si="14"/>
        <v>1084.24</v>
      </c>
      <c r="K82" s="98">
        <f t="shared" si="14"/>
        <v>1177.1399999999999</v>
      </c>
      <c r="L82" s="98">
        <f t="shared" si="14"/>
        <v>1101.24</v>
      </c>
      <c r="M82" s="98">
        <f t="shared" si="14"/>
        <v>1162.3399999999999</v>
      </c>
      <c r="N82" s="98">
        <f t="shared" si="14"/>
        <v>1141.74</v>
      </c>
      <c r="O82" s="98">
        <f t="shared" si="14"/>
        <v>1193.54</v>
      </c>
      <c r="P82" s="98">
        <f t="shared" si="14"/>
        <v>1184.54</v>
      </c>
      <c r="Q82" s="98">
        <f t="shared" si="14"/>
        <v>1167.5400000000002</v>
      </c>
      <c r="R82" s="98">
        <f t="shared" si="14"/>
        <v>1144.6399999999999</v>
      </c>
      <c r="S82" s="98">
        <f t="shared" si="14"/>
        <v>1187.6399999999999</v>
      </c>
      <c r="T82" s="98">
        <f t="shared" si="14"/>
        <v>1212.6399999999999</v>
      </c>
      <c r="U82" s="98">
        <f t="shared" si="14"/>
        <v>1203.1399999999999</v>
      </c>
      <c r="V82" s="98">
        <f t="shared" si="14"/>
        <v>1196.1400000000001</v>
      </c>
      <c r="W82" s="98">
        <f t="shared" si="14"/>
        <v>1199.94</v>
      </c>
      <c r="X82" s="98">
        <f t="shared" si="14"/>
        <v>1373.2399999999998</v>
      </c>
      <c r="Y82" s="98">
        <f t="shared" si="14"/>
        <v>1429.9399999999998</v>
      </c>
      <c r="Z82" s="98">
        <f t="shared" si="14"/>
        <v>1388.9399999999998</v>
      </c>
      <c r="AA82" s="98">
        <f t="shared" si="14"/>
        <v>1360.3399999999997</v>
      </c>
      <c r="AB82" s="98">
        <f t="shared" si="14"/>
        <v>1299.7399999999998</v>
      </c>
      <c r="AC82" s="98">
        <f t="shared" si="14"/>
        <v>1260.54</v>
      </c>
      <c r="AD82" s="98">
        <f t="shared" si="14"/>
        <v>1201.0400000000002</v>
      </c>
      <c r="AE82" s="98">
        <f t="shared" si="14"/>
        <v>1136.3400000000001</v>
      </c>
      <c r="AF82" s="98">
        <f t="shared" si="14"/>
        <v>1111.04</v>
      </c>
      <c r="AG82" s="85"/>
      <c r="AH82" s="20">
        <f t="shared" si="10"/>
        <v>1429.9399999999998</v>
      </c>
      <c r="AI82" s="19">
        <f t="shared" si="11"/>
        <v>989.04</v>
      </c>
    </row>
    <row r="83" spans="1:37" x14ac:dyDescent="0.25">
      <c r="A83" s="97" t="s">
        <v>156</v>
      </c>
      <c r="B83" s="93">
        <f t="shared" ref="B83:AF83" si="15">IF(B66&lt;0,B66*-1,0)</f>
        <v>0</v>
      </c>
      <c r="C83" s="93">
        <f t="shared" si="15"/>
        <v>0</v>
      </c>
      <c r="D83" s="93">
        <f t="shared" si="15"/>
        <v>0</v>
      </c>
      <c r="E83" s="93">
        <f t="shared" si="15"/>
        <v>0</v>
      </c>
      <c r="F83" s="93">
        <f t="shared" si="15"/>
        <v>0</v>
      </c>
      <c r="G83" s="93">
        <f t="shared" si="15"/>
        <v>0</v>
      </c>
      <c r="H83" s="93">
        <f t="shared" si="15"/>
        <v>0</v>
      </c>
      <c r="I83" s="93">
        <f t="shared" si="15"/>
        <v>0</v>
      </c>
      <c r="J83" s="93">
        <f t="shared" si="15"/>
        <v>0</v>
      </c>
      <c r="K83" s="93">
        <f t="shared" si="15"/>
        <v>0</v>
      </c>
      <c r="L83" s="93">
        <f t="shared" si="15"/>
        <v>0</v>
      </c>
      <c r="M83" s="93">
        <f t="shared" si="15"/>
        <v>0</v>
      </c>
      <c r="N83" s="93">
        <f t="shared" si="15"/>
        <v>0</v>
      </c>
      <c r="O83" s="93">
        <f t="shared" si="15"/>
        <v>0</v>
      </c>
      <c r="P83" s="93">
        <f t="shared" si="15"/>
        <v>0</v>
      </c>
      <c r="Q83" s="93">
        <f t="shared" si="15"/>
        <v>0</v>
      </c>
      <c r="R83" s="93">
        <f t="shared" si="15"/>
        <v>0</v>
      </c>
      <c r="S83" s="93">
        <f t="shared" si="15"/>
        <v>0</v>
      </c>
      <c r="T83" s="93">
        <f t="shared" si="15"/>
        <v>0</v>
      </c>
      <c r="U83" s="93">
        <f t="shared" si="15"/>
        <v>0</v>
      </c>
      <c r="V83" s="93">
        <f t="shared" si="15"/>
        <v>0</v>
      </c>
      <c r="W83" s="93">
        <f t="shared" si="15"/>
        <v>0</v>
      </c>
      <c r="X83" s="93">
        <f t="shared" si="15"/>
        <v>0</v>
      </c>
      <c r="Y83" s="93">
        <f t="shared" si="15"/>
        <v>0</v>
      </c>
      <c r="Z83" s="93">
        <f t="shared" si="15"/>
        <v>0</v>
      </c>
      <c r="AA83" s="93">
        <f t="shared" si="15"/>
        <v>0</v>
      </c>
      <c r="AB83" s="93">
        <f t="shared" si="15"/>
        <v>0</v>
      </c>
      <c r="AC83" s="93">
        <f t="shared" si="15"/>
        <v>0</v>
      </c>
      <c r="AD83" s="93">
        <f t="shared" si="15"/>
        <v>0</v>
      </c>
      <c r="AE83" s="93">
        <f t="shared" si="15"/>
        <v>0</v>
      </c>
      <c r="AF83" s="93">
        <f t="shared" si="15"/>
        <v>0</v>
      </c>
      <c r="AG83" s="96"/>
      <c r="AH83" s="20">
        <f t="shared" si="10"/>
        <v>0</v>
      </c>
      <c r="AI83" s="19">
        <f t="shared" si="11"/>
        <v>0</v>
      </c>
    </row>
    <row r="84" spans="1:37" x14ac:dyDescent="0.25">
      <c r="A84" s="95" t="s">
        <v>155</v>
      </c>
      <c r="B84" s="93">
        <f t="shared" ref="B84:AF84" si="16">IF(B64&lt;0,B64*-1,0)</f>
        <v>0</v>
      </c>
      <c r="C84" s="93">
        <f t="shared" si="16"/>
        <v>0</v>
      </c>
      <c r="D84" s="93">
        <f t="shared" si="16"/>
        <v>0</v>
      </c>
      <c r="E84" s="93">
        <f t="shared" si="16"/>
        <v>0</v>
      </c>
      <c r="F84" s="93">
        <f t="shared" si="16"/>
        <v>0</v>
      </c>
      <c r="G84" s="93">
        <f t="shared" si="16"/>
        <v>0</v>
      </c>
      <c r="H84" s="93">
        <f t="shared" si="16"/>
        <v>0</v>
      </c>
      <c r="I84" s="93">
        <f t="shared" si="16"/>
        <v>0</v>
      </c>
      <c r="J84" s="93">
        <f t="shared" si="16"/>
        <v>0</v>
      </c>
      <c r="K84" s="93">
        <f t="shared" si="16"/>
        <v>0</v>
      </c>
      <c r="L84" s="93">
        <f t="shared" si="16"/>
        <v>0</v>
      </c>
      <c r="M84" s="93">
        <f t="shared" si="16"/>
        <v>0</v>
      </c>
      <c r="N84" s="93">
        <f t="shared" si="16"/>
        <v>0</v>
      </c>
      <c r="O84" s="93">
        <f t="shared" si="16"/>
        <v>0</v>
      </c>
      <c r="P84" s="93">
        <f t="shared" si="16"/>
        <v>0</v>
      </c>
      <c r="Q84" s="93">
        <f t="shared" si="16"/>
        <v>0</v>
      </c>
      <c r="R84" s="93">
        <f t="shared" si="16"/>
        <v>0</v>
      </c>
      <c r="S84" s="93">
        <f t="shared" si="16"/>
        <v>0</v>
      </c>
      <c r="T84" s="93">
        <f t="shared" si="16"/>
        <v>0</v>
      </c>
      <c r="U84" s="93">
        <f t="shared" si="16"/>
        <v>0</v>
      </c>
      <c r="V84" s="93">
        <f t="shared" si="16"/>
        <v>0</v>
      </c>
      <c r="W84" s="93">
        <f t="shared" si="16"/>
        <v>0</v>
      </c>
      <c r="X84" s="93">
        <f t="shared" si="16"/>
        <v>0</v>
      </c>
      <c r="Y84" s="93">
        <f t="shared" si="16"/>
        <v>0</v>
      </c>
      <c r="Z84" s="93">
        <f t="shared" si="16"/>
        <v>0</v>
      </c>
      <c r="AA84" s="93">
        <f t="shared" si="16"/>
        <v>0</v>
      </c>
      <c r="AB84" s="93">
        <f t="shared" si="16"/>
        <v>0</v>
      </c>
      <c r="AC84" s="93">
        <f t="shared" si="16"/>
        <v>0</v>
      </c>
      <c r="AD84" s="93">
        <f t="shared" si="16"/>
        <v>0</v>
      </c>
      <c r="AE84" s="93">
        <f t="shared" si="16"/>
        <v>0</v>
      </c>
      <c r="AF84" s="93">
        <f t="shared" si="16"/>
        <v>0</v>
      </c>
      <c r="AG84" s="94"/>
      <c r="AH84" s="20">
        <f t="shared" si="10"/>
        <v>0</v>
      </c>
      <c r="AI84" s="19">
        <f t="shared" si="11"/>
        <v>0</v>
      </c>
    </row>
    <row r="85" spans="1:37" x14ac:dyDescent="0.25">
      <c r="A85" s="91" t="s">
        <v>154</v>
      </c>
      <c r="B85" s="93">
        <f t="shared" ref="B85:AF85" si="17">IF(B67&lt;0,B67*-1,0)</f>
        <v>0</v>
      </c>
      <c r="C85" s="93">
        <f t="shared" si="17"/>
        <v>0</v>
      </c>
      <c r="D85" s="93">
        <f t="shared" si="17"/>
        <v>0</v>
      </c>
      <c r="E85" s="93">
        <f t="shared" si="17"/>
        <v>0</v>
      </c>
      <c r="F85" s="93">
        <f t="shared" si="17"/>
        <v>0</v>
      </c>
      <c r="G85" s="93">
        <f t="shared" si="17"/>
        <v>0</v>
      </c>
      <c r="H85" s="93">
        <f t="shared" si="17"/>
        <v>0</v>
      </c>
      <c r="I85" s="93">
        <f t="shared" si="17"/>
        <v>0</v>
      </c>
      <c r="J85" s="93">
        <f t="shared" si="17"/>
        <v>0</v>
      </c>
      <c r="K85" s="93">
        <f t="shared" si="17"/>
        <v>0</v>
      </c>
      <c r="L85" s="93">
        <f t="shared" si="17"/>
        <v>0</v>
      </c>
      <c r="M85" s="93">
        <f t="shared" si="17"/>
        <v>0</v>
      </c>
      <c r="N85" s="93">
        <f t="shared" si="17"/>
        <v>0</v>
      </c>
      <c r="O85" s="93">
        <f t="shared" si="17"/>
        <v>0</v>
      </c>
      <c r="P85" s="93">
        <f t="shared" si="17"/>
        <v>0</v>
      </c>
      <c r="Q85" s="93">
        <f t="shared" si="17"/>
        <v>0</v>
      </c>
      <c r="R85" s="93">
        <f t="shared" si="17"/>
        <v>0</v>
      </c>
      <c r="S85" s="93">
        <f t="shared" si="17"/>
        <v>0</v>
      </c>
      <c r="T85" s="93">
        <f t="shared" si="17"/>
        <v>0</v>
      </c>
      <c r="U85" s="93">
        <f t="shared" si="17"/>
        <v>0</v>
      </c>
      <c r="V85" s="93">
        <f t="shared" si="17"/>
        <v>0</v>
      </c>
      <c r="W85" s="93">
        <f t="shared" si="17"/>
        <v>0</v>
      </c>
      <c r="X85" s="93">
        <f t="shared" si="17"/>
        <v>0</v>
      </c>
      <c r="Y85" s="93">
        <f t="shared" si="17"/>
        <v>0</v>
      </c>
      <c r="Z85" s="93">
        <f t="shared" si="17"/>
        <v>0</v>
      </c>
      <c r="AA85" s="93">
        <f t="shared" si="17"/>
        <v>0</v>
      </c>
      <c r="AB85" s="93">
        <f t="shared" si="17"/>
        <v>0</v>
      </c>
      <c r="AC85" s="93">
        <f t="shared" si="17"/>
        <v>0</v>
      </c>
      <c r="AD85" s="93">
        <f t="shared" si="17"/>
        <v>0</v>
      </c>
      <c r="AE85" s="93">
        <f t="shared" si="17"/>
        <v>0</v>
      </c>
      <c r="AF85" s="93">
        <f t="shared" si="17"/>
        <v>0</v>
      </c>
      <c r="AG85" s="92"/>
      <c r="AH85" s="20">
        <f t="shared" si="10"/>
        <v>0</v>
      </c>
      <c r="AI85" s="19">
        <f t="shared" si="11"/>
        <v>0</v>
      </c>
    </row>
    <row r="86" spans="1:37" x14ac:dyDescent="0.25">
      <c r="A86" s="91" t="s">
        <v>153</v>
      </c>
      <c r="B86" s="93">
        <f t="shared" ref="B86:AF86" si="18">IF(B65&lt;0,B65*-1,0)</f>
        <v>403.8</v>
      </c>
      <c r="C86" s="93">
        <f t="shared" si="18"/>
        <v>431</v>
      </c>
      <c r="D86" s="93">
        <f t="shared" si="18"/>
        <v>435</v>
      </c>
      <c r="E86" s="93">
        <f t="shared" si="18"/>
        <v>423</v>
      </c>
      <c r="F86" s="93">
        <f t="shared" si="18"/>
        <v>431</v>
      </c>
      <c r="G86" s="93">
        <f t="shared" si="18"/>
        <v>400</v>
      </c>
      <c r="H86" s="93">
        <f t="shared" si="18"/>
        <v>411</v>
      </c>
      <c r="I86" s="93">
        <f t="shared" si="18"/>
        <v>382</v>
      </c>
      <c r="J86" s="93">
        <f t="shared" si="18"/>
        <v>410</v>
      </c>
      <c r="K86" s="93">
        <f t="shared" si="18"/>
        <v>390.1</v>
      </c>
      <c r="L86" s="93">
        <f t="shared" si="18"/>
        <v>410</v>
      </c>
      <c r="M86" s="93">
        <f t="shared" si="18"/>
        <v>405</v>
      </c>
      <c r="N86" s="93">
        <f t="shared" si="18"/>
        <v>436</v>
      </c>
      <c r="O86" s="93">
        <f t="shared" si="18"/>
        <v>391</v>
      </c>
      <c r="P86" s="93">
        <f t="shared" si="18"/>
        <v>400</v>
      </c>
      <c r="Q86" s="93">
        <f t="shared" si="18"/>
        <v>416</v>
      </c>
      <c r="R86" s="93">
        <f t="shared" si="18"/>
        <v>440</v>
      </c>
      <c r="S86" s="93">
        <f t="shared" si="18"/>
        <v>388</v>
      </c>
      <c r="T86" s="93">
        <f t="shared" si="18"/>
        <v>367</v>
      </c>
      <c r="U86" s="93">
        <f t="shared" si="18"/>
        <v>389</v>
      </c>
      <c r="V86" s="93">
        <f t="shared" si="18"/>
        <v>398</v>
      </c>
      <c r="W86" s="93">
        <f t="shared" si="18"/>
        <v>385</v>
      </c>
      <c r="X86" s="93">
        <f t="shared" si="18"/>
        <v>319</v>
      </c>
      <c r="Y86" s="93">
        <f t="shared" si="18"/>
        <v>314</v>
      </c>
      <c r="Z86" s="93">
        <f t="shared" si="18"/>
        <v>351</v>
      </c>
      <c r="AA86" s="93">
        <f t="shared" si="18"/>
        <v>350</v>
      </c>
      <c r="AB86" s="93">
        <f t="shared" si="18"/>
        <v>384.4</v>
      </c>
      <c r="AC86" s="93">
        <f t="shared" si="18"/>
        <v>397</v>
      </c>
      <c r="AD86" s="93">
        <f t="shared" si="18"/>
        <v>412.2</v>
      </c>
      <c r="AE86" s="93">
        <f t="shared" si="18"/>
        <v>422</v>
      </c>
      <c r="AF86" s="93">
        <f t="shared" si="18"/>
        <v>406</v>
      </c>
      <c r="AG86" s="92"/>
      <c r="AH86" s="20">
        <f t="shared" si="10"/>
        <v>440</v>
      </c>
      <c r="AI86" s="19">
        <f t="shared" si="11"/>
        <v>314</v>
      </c>
    </row>
    <row r="87" spans="1:37" x14ac:dyDescent="0.25">
      <c r="A87" s="91" t="s">
        <v>152</v>
      </c>
      <c r="B87" s="93">
        <f t="shared" ref="B87:AF87" si="19">IF(B63&lt;0,B63*-1,0)</f>
        <v>0</v>
      </c>
      <c r="C87" s="93">
        <f t="shared" si="19"/>
        <v>0</v>
      </c>
      <c r="D87" s="93">
        <f t="shared" si="19"/>
        <v>0</v>
      </c>
      <c r="E87" s="93">
        <f t="shared" si="19"/>
        <v>0</v>
      </c>
      <c r="F87" s="93">
        <f t="shared" si="19"/>
        <v>0</v>
      </c>
      <c r="G87" s="93">
        <f t="shared" si="19"/>
        <v>0</v>
      </c>
      <c r="H87" s="93">
        <f t="shared" si="19"/>
        <v>0</v>
      </c>
      <c r="I87" s="93">
        <f t="shared" si="19"/>
        <v>0</v>
      </c>
      <c r="J87" s="93">
        <f t="shared" si="19"/>
        <v>0</v>
      </c>
      <c r="K87" s="93">
        <f t="shared" si="19"/>
        <v>0</v>
      </c>
      <c r="L87" s="93">
        <f t="shared" si="19"/>
        <v>0</v>
      </c>
      <c r="M87" s="93">
        <f t="shared" si="19"/>
        <v>0</v>
      </c>
      <c r="N87" s="93">
        <f t="shared" si="19"/>
        <v>0</v>
      </c>
      <c r="O87" s="93">
        <f t="shared" si="19"/>
        <v>0</v>
      </c>
      <c r="P87" s="93">
        <f t="shared" si="19"/>
        <v>0</v>
      </c>
      <c r="Q87" s="93">
        <f t="shared" si="19"/>
        <v>0</v>
      </c>
      <c r="R87" s="93">
        <f t="shared" si="19"/>
        <v>0</v>
      </c>
      <c r="S87" s="93">
        <f t="shared" si="19"/>
        <v>0</v>
      </c>
      <c r="T87" s="93">
        <f t="shared" si="19"/>
        <v>0</v>
      </c>
      <c r="U87" s="93">
        <f t="shared" si="19"/>
        <v>0</v>
      </c>
      <c r="V87" s="93">
        <f t="shared" si="19"/>
        <v>0</v>
      </c>
      <c r="W87" s="93">
        <f t="shared" si="19"/>
        <v>0</v>
      </c>
      <c r="X87" s="93">
        <f t="shared" si="19"/>
        <v>0</v>
      </c>
      <c r="Y87" s="93">
        <f t="shared" si="19"/>
        <v>0</v>
      </c>
      <c r="Z87" s="93">
        <f t="shared" si="19"/>
        <v>0</v>
      </c>
      <c r="AA87" s="93">
        <f t="shared" si="19"/>
        <v>0</v>
      </c>
      <c r="AB87" s="93">
        <f t="shared" si="19"/>
        <v>0</v>
      </c>
      <c r="AC87" s="93">
        <f t="shared" si="19"/>
        <v>0</v>
      </c>
      <c r="AD87" s="93">
        <f t="shared" si="19"/>
        <v>0</v>
      </c>
      <c r="AE87" s="93">
        <f t="shared" si="19"/>
        <v>0</v>
      </c>
      <c r="AF87" s="93">
        <f t="shared" si="19"/>
        <v>0</v>
      </c>
      <c r="AG87" s="92"/>
      <c r="AH87" s="20">
        <f t="shared" si="10"/>
        <v>0</v>
      </c>
      <c r="AI87" s="19">
        <f t="shared" si="11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10"/>
        <v>0</v>
      </c>
      <c r="AI88" s="19">
        <f t="shared" si="11"/>
        <v>0</v>
      </c>
    </row>
    <row r="89" spans="1:37" ht="15.75" thickBot="1" x14ac:dyDescent="0.3">
      <c r="A89" s="88" t="s">
        <v>150</v>
      </c>
      <c r="B89" s="86">
        <f t="shared" ref="B89:AF89" si="20">SUM(B83:B88)</f>
        <v>403.8</v>
      </c>
      <c r="C89" s="86">
        <f t="shared" si="20"/>
        <v>431</v>
      </c>
      <c r="D89" s="86">
        <f t="shared" si="20"/>
        <v>435</v>
      </c>
      <c r="E89" s="86">
        <f t="shared" si="20"/>
        <v>423</v>
      </c>
      <c r="F89" s="86">
        <f t="shared" si="20"/>
        <v>431</v>
      </c>
      <c r="G89" s="86">
        <f t="shared" si="20"/>
        <v>400</v>
      </c>
      <c r="H89" s="86">
        <f t="shared" si="20"/>
        <v>411</v>
      </c>
      <c r="I89" s="86">
        <f t="shared" si="20"/>
        <v>382</v>
      </c>
      <c r="J89" s="86">
        <f t="shared" si="20"/>
        <v>410</v>
      </c>
      <c r="K89" s="86">
        <f t="shared" si="20"/>
        <v>390.1</v>
      </c>
      <c r="L89" s="86">
        <f t="shared" si="20"/>
        <v>410</v>
      </c>
      <c r="M89" s="86">
        <f t="shared" si="20"/>
        <v>405</v>
      </c>
      <c r="N89" s="86">
        <f t="shared" si="20"/>
        <v>436</v>
      </c>
      <c r="O89" s="86">
        <f t="shared" si="20"/>
        <v>391</v>
      </c>
      <c r="P89" s="86">
        <f t="shared" si="20"/>
        <v>400</v>
      </c>
      <c r="Q89" s="86">
        <f t="shared" si="20"/>
        <v>416</v>
      </c>
      <c r="R89" s="86">
        <f t="shared" si="20"/>
        <v>440</v>
      </c>
      <c r="S89" s="86">
        <f t="shared" si="20"/>
        <v>388</v>
      </c>
      <c r="T89" s="86">
        <f t="shared" si="20"/>
        <v>367</v>
      </c>
      <c r="U89" s="86">
        <f t="shared" si="20"/>
        <v>389</v>
      </c>
      <c r="V89" s="86">
        <f t="shared" si="20"/>
        <v>398</v>
      </c>
      <c r="W89" s="86">
        <f t="shared" si="20"/>
        <v>385</v>
      </c>
      <c r="X89" s="86">
        <f t="shared" si="20"/>
        <v>319</v>
      </c>
      <c r="Y89" s="86">
        <f t="shared" si="20"/>
        <v>314</v>
      </c>
      <c r="Z89" s="86">
        <f t="shared" si="20"/>
        <v>351</v>
      </c>
      <c r="AA89" s="86">
        <f t="shared" si="20"/>
        <v>350</v>
      </c>
      <c r="AB89" s="86">
        <f t="shared" si="20"/>
        <v>384.4</v>
      </c>
      <c r="AC89" s="86">
        <f t="shared" si="20"/>
        <v>397</v>
      </c>
      <c r="AD89" s="86">
        <f t="shared" si="20"/>
        <v>412.2</v>
      </c>
      <c r="AE89" s="86">
        <f t="shared" si="20"/>
        <v>422</v>
      </c>
      <c r="AF89" s="86">
        <f t="shared" si="20"/>
        <v>406</v>
      </c>
      <c r="AG89" s="85"/>
      <c r="AH89" s="20">
        <f t="shared" si="10"/>
        <v>440</v>
      </c>
      <c r="AI89" s="19">
        <f t="shared" si="11"/>
        <v>314</v>
      </c>
      <c r="AK89" s="41"/>
    </row>
    <row r="90" spans="1:37" ht="15.75" thickBot="1" x14ac:dyDescent="0.3">
      <c r="A90" s="87" t="s">
        <v>149</v>
      </c>
      <c r="B90" s="86">
        <f t="shared" ref="B90:AF90" si="21">B74-B89</f>
        <v>-403.8</v>
      </c>
      <c r="C90" s="86">
        <f t="shared" si="21"/>
        <v>-431</v>
      </c>
      <c r="D90" s="86">
        <f t="shared" si="21"/>
        <v>-435</v>
      </c>
      <c r="E90" s="86">
        <f t="shared" si="21"/>
        <v>-423</v>
      </c>
      <c r="F90" s="86">
        <f t="shared" si="21"/>
        <v>-431</v>
      </c>
      <c r="G90" s="86">
        <f t="shared" si="21"/>
        <v>-400</v>
      </c>
      <c r="H90" s="86">
        <f t="shared" si="21"/>
        <v>-411</v>
      </c>
      <c r="I90" s="86">
        <f t="shared" si="21"/>
        <v>-382</v>
      </c>
      <c r="J90" s="86">
        <f t="shared" si="21"/>
        <v>-410</v>
      </c>
      <c r="K90" s="86">
        <f t="shared" si="21"/>
        <v>-390.1</v>
      </c>
      <c r="L90" s="86">
        <f t="shared" si="21"/>
        <v>-410</v>
      </c>
      <c r="M90" s="86">
        <f t="shared" si="21"/>
        <v>-405</v>
      </c>
      <c r="N90" s="86">
        <f t="shared" si="21"/>
        <v>-436</v>
      </c>
      <c r="O90" s="86">
        <f t="shared" si="21"/>
        <v>-391</v>
      </c>
      <c r="P90" s="86">
        <f t="shared" si="21"/>
        <v>-400</v>
      </c>
      <c r="Q90" s="86">
        <f t="shared" si="21"/>
        <v>-416</v>
      </c>
      <c r="R90" s="86">
        <f t="shared" si="21"/>
        <v>-440</v>
      </c>
      <c r="S90" s="86">
        <f t="shared" si="21"/>
        <v>-388</v>
      </c>
      <c r="T90" s="86">
        <f t="shared" si="21"/>
        <v>-367</v>
      </c>
      <c r="U90" s="86">
        <f t="shared" si="21"/>
        <v>-389</v>
      </c>
      <c r="V90" s="86">
        <f t="shared" si="21"/>
        <v>-398</v>
      </c>
      <c r="W90" s="86">
        <f t="shared" si="21"/>
        <v>-385</v>
      </c>
      <c r="X90" s="86">
        <f t="shared" si="21"/>
        <v>-307</v>
      </c>
      <c r="Y90" s="86">
        <f t="shared" si="21"/>
        <v>-262.8</v>
      </c>
      <c r="Z90" s="86">
        <f t="shared" si="21"/>
        <v>-303.8</v>
      </c>
      <c r="AA90" s="86">
        <f t="shared" si="21"/>
        <v>-332.4</v>
      </c>
      <c r="AB90" s="86">
        <f t="shared" si="21"/>
        <v>-384.4</v>
      </c>
      <c r="AC90" s="86">
        <f t="shared" si="21"/>
        <v>-397</v>
      </c>
      <c r="AD90" s="86">
        <f t="shared" si="21"/>
        <v>-412.2</v>
      </c>
      <c r="AE90" s="86">
        <f t="shared" si="21"/>
        <v>-422</v>
      </c>
      <c r="AF90" s="86">
        <f t="shared" si="21"/>
        <v>-406</v>
      </c>
      <c r="AG90" s="85"/>
      <c r="AH90" s="20">
        <f t="shared" si="10"/>
        <v>-262.8</v>
      </c>
      <c r="AI90" s="19">
        <f t="shared" si="11"/>
        <v>-440</v>
      </c>
    </row>
    <row r="91" spans="1:37" x14ac:dyDescent="0.25">
      <c r="A91" s="47" t="s">
        <v>148</v>
      </c>
      <c r="B91" s="84">
        <v>50.051000000000002</v>
      </c>
      <c r="C91" s="84">
        <v>49.984000000000002</v>
      </c>
      <c r="D91" s="84">
        <v>49.993000000000002</v>
      </c>
      <c r="E91" s="84">
        <v>50.033000000000001</v>
      </c>
      <c r="F91" s="84">
        <v>50.043999999999997</v>
      </c>
      <c r="G91" s="84">
        <v>50.037999999999997</v>
      </c>
      <c r="H91" s="84">
        <v>50.015999999999998</v>
      </c>
      <c r="I91" s="84">
        <v>49.972000000000001</v>
      </c>
      <c r="J91" s="84">
        <v>50.024000000000001</v>
      </c>
      <c r="K91" s="84">
        <v>50.033999999999999</v>
      </c>
      <c r="L91" s="84">
        <v>50.058999999999997</v>
      </c>
      <c r="M91" s="84">
        <v>50.097999999999999</v>
      </c>
      <c r="N91" s="84">
        <v>50.04</v>
      </c>
      <c r="O91" s="84">
        <v>50.06</v>
      </c>
      <c r="P91" s="84">
        <v>50.01</v>
      </c>
      <c r="Q91" s="84">
        <v>50.046999999999997</v>
      </c>
      <c r="R91" s="84">
        <v>49.91</v>
      </c>
      <c r="S91" s="84">
        <v>50.122</v>
      </c>
      <c r="T91" s="84">
        <v>49.896000000000001</v>
      </c>
      <c r="U91" s="84">
        <v>49.973999999999997</v>
      </c>
      <c r="V91" s="84">
        <v>49.94</v>
      </c>
      <c r="W91" s="84">
        <v>50.029000000000003</v>
      </c>
      <c r="X91" s="84">
        <v>49.893999999999998</v>
      </c>
      <c r="Y91" s="84">
        <v>49.84</v>
      </c>
      <c r="Z91" s="84">
        <v>50.064</v>
      </c>
      <c r="AA91" s="84">
        <v>50.045999999999999</v>
      </c>
      <c r="AB91" s="84">
        <v>50.045000000000002</v>
      </c>
      <c r="AC91" s="84">
        <v>49.975999999999999</v>
      </c>
      <c r="AD91" s="84">
        <v>50.026000000000003</v>
      </c>
      <c r="AE91" s="84">
        <v>49.984999999999999</v>
      </c>
      <c r="AF91" s="84">
        <v>49.976999999999997</v>
      </c>
      <c r="AG91" s="83"/>
      <c r="AH91" s="20">
        <f t="shared" si="10"/>
        <v>50.122</v>
      </c>
      <c r="AI91" s="19">
        <f t="shared" si="11"/>
        <v>49.84</v>
      </c>
    </row>
    <row r="92" spans="1:37" x14ac:dyDescent="0.25">
      <c r="A92" s="44" t="s">
        <v>147</v>
      </c>
      <c r="B92" s="80">
        <v>126.7</v>
      </c>
      <c r="C92" s="80">
        <v>125.9</v>
      </c>
      <c r="D92" s="80">
        <v>126.3</v>
      </c>
      <c r="E92" s="80">
        <v>126.5</v>
      </c>
      <c r="F92" s="80">
        <v>127</v>
      </c>
      <c r="G92" s="80">
        <v>126.5</v>
      </c>
      <c r="H92" s="80">
        <v>126.6</v>
      </c>
      <c r="I92" s="80">
        <v>126.6</v>
      </c>
      <c r="J92" s="80">
        <v>124.3</v>
      </c>
      <c r="K92" s="80">
        <v>123.7</v>
      </c>
      <c r="L92" s="80">
        <v>123.9</v>
      </c>
      <c r="M92" s="80">
        <v>123.4</v>
      </c>
      <c r="N92" s="80">
        <v>123.6</v>
      </c>
      <c r="O92" s="80">
        <v>123.3</v>
      </c>
      <c r="P92" s="80">
        <v>124.4</v>
      </c>
      <c r="Q92" s="80">
        <v>124.1</v>
      </c>
      <c r="R92" s="80">
        <v>124.2</v>
      </c>
      <c r="S92" s="80">
        <v>124.2</v>
      </c>
      <c r="T92" s="80">
        <v>124.5</v>
      </c>
      <c r="U92" s="80">
        <v>124.8</v>
      </c>
      <c r="V92" s="80">
        <v>126</v>
      </c>
      <c r="W92" s="80">
        <v>126</v>
      </c>
      <c r="X92" s="80">
        <v>124</v>
      </c>
      <c r="Y92" s="80">
        <v>124</v>
      </c>
      <c r="Z92" s="80">
        <v>124.8</v>
      </c>
      <c r="AA92" s="80">
        <v>125.4</v>
      </c>
      <c r="AB92" s="80">
        <v>125.4</v>
      </c>
      <c r="AC92" s="80">
        <v>126.1</v>
      </c>
      <c r="AD92" s="80">
        <v>125.4</v>
      </c>
      <c r="AE92" s="80">
        <v>124.9</v>
      </c>
      <c r="AF92" s="80">
        <v>125.7</v>
      </c>
      <c r="AG92" s="79"/>
      <c r="AH92" s="20">
        <f t="shared" si="10"/>
        <v>127</v>
      </c>
      <c r="AI92" s="19">
        <f t="shared" si="11"/>
        <v>123.3</v>
      </c>
    </row>
    <row r="93" spans="1:37" x14ac:dyDescent="0.25">
      <c r="A93" s="44" t="s">
        <v>146</v>
      </c>
      <c r="B93" s="80">
        <v>131.80000000000001</v>
      </c>
      <c r="C93" s="80">
        <v>130.9</v>
      </c>
      <c r="D93" s="80">
        <v>131.4</v>
      </c>
      <c r="E93" s="80">
        <v>131.19999999999999</v>
      </c>
      <c r="F93" s="80">
        <v>131.6</v>
      </c>
      <c r="G93" s="80">
        <v>130.9</v>
      </c>
      <c r="H93" s="80">
        <v>130.9</v>
      </c>
      <c r="I93" s="80">
        <v>130.6</v>
      </c>
      <c r="J93" s="80">
        <v>128.19999999999999</v>
      </c>
      <c r="K93" s="80">
        <v>127.7</v>
      </c>
      <c r="L93" s="80">
        <v>127.6</v>
      </c>
      <c r="M93" s="80">
        <v>126.9</v>
      </c>
      <c r="N93" s="80">
        <v>127.3</v>
      </c>
      <c r="O93" s="80">
        <v>127.3</v>
      </c>
      <c r="P93" s="80">
        <v>128</v>
      </c>
      <c r="Q93" s="80">
        <v>127.9</v>
      </c>
      <c r="R93" s="80">
        <v>128.19999999999999</v>
      </c>
      <c r="S93" s="80">
        <v>128.1</v>
      </c>
      <c r="T93" s="80">
        <v>128.1</v>
      </c>
      <c r="U93" s="80">
        <v>128.19999999999999</v>
      </c>
      <c r="V93" s="80">
        <v>129.30000000000001</v>
      </c>
      <c r="W93" s="80">
        <v>129.4</v>
      </c>
      <c r="X93" s="80">
        <v>127</v>
      </c>
      <c r="Y93" s="80">
        <v>127</v>
      </c>
      <c r="Z93" s="80">
        <v>128</v>
      </c>
      <c r="AA93" s="80">
        <v>128.5</v>
      </c>
      <c r="AB93" s="80">
        <v>129.4</v>
      </c>
      <c r="AC93" s="80">
        <v>130</v>
      </c>
      <c r="AD93" s="80">
        <v>129.9</v>
      </c>
      <c r="AE93" s="80">
        <v>130.1</v>
      </c>
      <c r="AF93" s="80">
        <v>130.5</v>
      </c>
      <c r="AG93" s="79"/>
      <c r="AH93" s="20">
        <f t="shared" si="10"/>
        <v>131.80000000000001</v>
      </c>
      <c r="AI93" s="19">
        <f t="shared" si="11"/>
        <v>126.9</v>
      </c>
    </row>
    <row r="94" spans="1:37" x14ac:dyDescent="0.25">
      <c r="A94" s="44" t="s">
        <v>145</v>
      </c>
      <c r="B94" s="80">
        <v>130</v>
      </c>
      <c r="C94" s="80">
        <v>130.6</v>
      </c>
      <c r="D94" s="80">
        <v>128.5</v>
      </c>
      <c r="E94" s="80">
        <v>129.5</v>
      </c>
      <c r="F94" s="80">
        <v>131.30000000000001</v>
      </c>
      <c r="G94" s="80">
        <v>131.5</v>
      </c>
      <c r="H94" s="80">
        <v>133.30000000000001</v>
      </c>
      <c r="I94" s="80">
        <v>130</v>
      </c>
      <c r="J94" s="80">
        <v>130</v>
      </c>
      <c r="K94" s="80">
        <v>130</v>
      </c>
      <c r="L94" s="80">
        <v>130</v>
      </c>
      <c r="M94" s="80">
        <v>129</v>
      </c>
      <c r="N94" s="80">
        <v>128.19999999999999</v>
      </c>
      <c r="O94" s="80">
        <v>128.4</v>
      </c>
      <c r="P94" s="80">
        <v>127.5</v>
      </c>
      <c r="Q94" s="80">
        <v>129.19999999999999</v>
      </c>
      <c r="R94" s="80">
        <v>128.30000000000001</v>
      </c>
      <c r="S94" s="80">
        <v>127.9</v>
      </c>
      <c r="T94" s="80">
        <v>128.30000000000001</v>
      </c>
      <c r="U94" s="80">
        <v>128.30000000000001</v>
      </c>
      <c r="V94" s="80">
        <v>129.80000000000001</v>
      </c>
      <c r="W94" s="80">
        <v>129</v>
      </c>
      <c r="X94" s="80">
        <v>129</v>
      </c>
      <c r="Y94" s="80">
        <v>129.30000000000001</v>
      </c>
      <c r="Z94" s="80">
        <v>129.4</v>
      </c>
      <c r="AA94" s="80">
        <v>129</v>
      </c>
      <c r="AB94" s="80">
        <v>129.9</v>
      </c>
      <c r="AC94" s="80">
        <v>129.80000000000001</v>
      </c>
      <c r="AD94" s="80">
        <v>129.9</v>
      </c>
      <c r="AE94" s="80">
        <v>128.5</v>
      </c>
      <c r="AF94" s="80">
        <v>128.1</v>
      </c>
      <c r="AG94" s="79"/>
      <c r="AH94" s="20">
        <f t="shared" si="10"/>
        <v>133.30000000000001</v>
      </c>
      <c r="AI94" s="19">
        <f t="shared" si="11"/>
        <v>127.5</v>
      </c>
    </row>
    <row r="95" spans="1:37" x14ac:dyDescent="0.25">
      <c r="A95" s="82" t="s">
        <v>144</v>
      </c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79"/>
      <c r="AH95" s="20">
        <f t="shared" si="10"/>
        <v>0</v>
      </c>
      <c r="AI95" s="19">
        <f t="shared" si="11"/>
        <v>0</v>
      </c>
    </row>
    <row r="96" spans="1:37" x14ac:dyDescent="0.25">
      <c r="A96" s="82" t="s">
        <v>143</v>
      </c>
      <c r="B96" s="66">
        <v>132</v>
      </c>
      <c r="C96" s="66">
        <v>133.6</v>
      </c>
      <c r="D96" s="66">
        <v>134.30000000000001</v>
      </c>
      <c r="E96" s="66">
        <v>135</v>
      </c>
      <c r="F96" s="66">
        <v>136</v>
      </c>
      <c r="G96" s="66">
        <v>135</v>
      </c>
      <c r="H96" s="66">
        <v>135</v>
      </c>
      <c r="I96" s="66">
        <v>136.30000000000001</v>
      </c>
      <c r="J96" s="66">
        <v>136.30000000000001</v>
      </c>
      <c r="K96" s="66">
        <v>136.30000000000001</v>
      </c>
      <c r="L96" s="66">
        <v>136.30000000000001</v>
      </c>
      <c r="M96" s="66">
        <v>135</v>
      </c>
      <c r="N96" s="66">
        <v>132.69999999999999</v>
      </c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>
        <v>133.6</v>
      </c>
      <c r="AC96" s="66">
        <v>131</v>
      </c>
      <c r="AD96" s="66">
        <v>130.9</v>
      </c>
      <c r="AE96" s="66">
        <v>133.30000000000001</v>
      </c>
      <c r="AF96" s="66">
        <v>132.1</v>
      </c>
      <c r="AG96" s="81"/>
      <c r="AH96" s="20">
        <f t="shared" si="10"/>
        <v>136.30000000000001</v>
      </c>
      <c r="AI96" s="19">
        <f t="shared" si="11"/>
        <v>130.9</v>
      </c>
    </row>
    <row r="97" spans="1:37" x14ac:dyDescent="0.25">
      <c r="A97" s="44" t="s">
        <v>142</v>
      </c>
      <c r="B97" s="80">
        <v>133.1</v>
      </c>
      <c r="C97" s="80">
        <v>134.5</v>
      </c>
      <c r="D97" s="80">
        <v>135.19999999999999</v>
      </c>
      <c r="E97" s="80">
        <v>133.4</v>
      </c>
      <c r="F97" s="80">
        <v>133.4</v>
      </c>
      <c r="G97" s="80">
        <v>132.4</v>
      </c>
      <c r="H97" s="80">
        <v>130.9</v>
      </c>
      <c r="I97" s="80">
        <v>129.4</v>
      </c>
      <c r="J97" s="80">
        <v>129.4</v>
      </c>
      <c r="K97" s="80">
        <v>129.4</v>
      </c>
      <c r="L97" s="80">
        <v>129.4</v>
      </c>
      <c r="M97" s="80">
        <v>126.5</v>
      </c>
      <c r="N97" s="80">
        <v>129.4</v>
      </c>
      <c r="O97" s="80">
        <v>128.80000000000001</v>
      </c>
      <c r="P97" s="80">
        <v>133.1</v>
      </c>
      <c r="Q97" s="80">
        <v>132.80000000000001</v>
      </c>
      <c r="R97" s="80">
        <v>132.80000000000001</v>
      </c>
      <c r="S97" s="80">
        <v>129.1</v>
      </c>
      <c r="T97" s="80">
        <v>135</v>
      </c>
      <c r="U97" s="80">
        <v>132.19999999999999</v>
      </c>
      <c r="V97" s="80">
        <v>134</v>
      </c>
      <c r="W97" s="80">
        <v>134.30000000000001</v>
      </c>
      <c r="X97" s="80">
        <v>129</v>
      </c>
      <c r="Y97" s="80">
        <v>124.1</v>
      </c>
      <c r="Z97" s="80">
        <v>127.1</v>
      </c>
      <c r="AA97" s="80">
        <v>128.5</v>
      </c>
      <c r="AB97" s="80">
        <v>130.9</v>
      </c>
      <c r="AC97" s="80">
        <v>130.9</v>
      </c>
      <c r="AD97" s="80">
        <v>128.9</v>
      </c>
      <c r="AE97" s="80">
        <v>129</v>
      </c>
      <c r="AF97" s="80">
        <v>129.69999999999999</v>
      </c>
      <c r="AG97" s="79"/>
      <c r="AH97" s="20">
        <f t="shared" si="10"/>
        <v>135.19999999999999</v>
      </c>
      <c r="AI97" s="19">
        <f t="shared" si="11"/>
        <v>124.1</v>
      </c>
    </row>
    <row r="98" spans="1:37" ht="15.75" thickBot="1" x14ac:dyDescent="0.3">
      <c r="A98" s="44" t="s">
        <v>141</v>
      </c>
      <c r="B98" s="77">
        <v>66.5</v>
      </c>
      <c r="C98" s="77">
        <v>66.099999999999994</v>
      </c>
      <c r="D98" s="77">
        <v>66.3</v>
      </c>
      <c r="E98" s="77">
        <v>66.3</v>
      </c>
      <c r="F98" s="77">
        <v>66.3</v>
      </c>
      <c r="G98" s="77">
        <v>66.099999999999994</v>
      </c>
      <c r="H98" s="77">
        <v>66.099999999999994</v>
      </c>
      <c r="I98" s="77">
        <v>65.900000000000006</v>
      </c>
      <c r="J98" s="77">
        <v>65.900000000000006</v>
      </c>
      <c r="K98" s="77">
        <v>65.900000000000006</v>
      </c>
      <c r="L98" s="77">
        <v>65.900000000000006</v>
      </c>
      <c r="M98" s="77">
        <v>63.7</v>
      </c>
      <c r="N98" s="77">
        <v>64.099999999999994</v>
      </c>
      <c r="O98" s="77">
        <v>64</v>
      </c>
      <c r="P98" s="77">
        <v>64.5</v>
      </c>
      <c r="Q98" s="77">
        <v>64.400000000000006</v>
      </c>
      <c r="R98" s="77">
        <v>64.7</v>
      </c>
      <c r="S98" s="77">
        <v>64.599999999999994</v>
      </c>
      <c r="T98" s="77">
        <v>64.5</v>
      </c>
      <c r="U98" s="77">
        <v>64.599999999999994</v>
      </c>
      <c r="V98" s="77">
        <v>65.2</v>
      </c>
      <c r="W98" s="77">
        <v>65.400000000000006</v>
      </c>
      <c r="X98" s="77">
        <v>64</v>
      </c>
      <c r="Y98" s="77">
        <v>64.099999999999994</v>
      </c>
      <c r="Z98" s="77">
        <v>64.5</v>
      </c>
      <c r="AA98" s="77">
        <v>65</v>
      </c>
      <c r="AB98" s="77">
        <v>65.099999999999994</v>
      </c>
      <c r="AC98" s="77">
        <v>65.599999999999994</v>
      </c>
      <c r="AD98" s="77">
        <v>65.5</v>
      </c>
      <c r="AE98" s="77">
        <v>65.8</v>
      </c>
      <c r="AF98" s="77">
        <v>66</v>
      </c>
      <c r="AG98" s="76"/>
      <c r="AH98" s="20">
        <f t="shared" si="10"/>
        <v>66.5</v>
      </c>
      <c r="AI98" s="19">
        <f t="shared" si="11"/>
        <v>63.7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10"/>
        <v>0</v>
      </c>
      <c r="AI99" s="19">
        <f t="shared" si="11"/>
        <v>0</v>
      </c>
    </row>
    <row r="100" spans="1:37" ht="15.75" thickBot="1" x14ac:dyDescent="0.3">
      <c r="A100" s="75" t="s">
        <v>140</v>
      </c>
      <c r="B100" s="74">
        <f t="shared" ref="B100:AF100" si="22">SUM(B15,B20,B22:B23,B48,B50:B51,B53,B55,B101:B105,B127,B133,B139,B148,B150,B162,B169,B172:B173,B180,B182,B184,B188:B190,B192:B194,B199,B205:B206,B208:B210,B218,B223)</f>
        <v>49.999999999999979</v>
      </c>
      <c r="C100" s="74">
        <f t="shared" si="22"/>
        <v>37.839999999999996</v>
      </c>
      <c r="D100" s="74">
        <f t="shared" si="22"/>
        <v>29.840000000000007</v>
      </c>
      <c r="E100" s="74">
        <f t="shared" si="22"/>
        <v>27.940000000000008</v>
      </c>
      <c r="F100" s="74">
        <f t="shared" si="22"/>
        <v>35.039999999999992</v>
      </c>
      <c r="G100" s="74">
        <f t="shared" si="22"/>
        <v>44.439999999999991</v>
      </c>
      <c r="H100" s="74">
        <f t="shared" si="22"/>
        <v>49.54</v>
      </c>
      <c r="I100" s="74">
        <f t="shared" si="22"/>
        <v>91.539999999999992</v>
      </c>
      <c r="J100" s="74">
        <f t="shared" si="22"/>
        <v>104.34</v>
      </c>
      <c r="K100" s="74">
        <f t="shared" si="22"/>
        <v>104.34</v>
      </c>
      <c r="L100" s="74">
        <f t="shared" si="22"/>
        <v>165.14000000000001</v>
      </c>
      <c r="M100" s="74">
        <f t="shared" si="22"/>
        <v>174.14</v>
      </c>
      <c r="N100" s="74">
        <f t="shared" si="22"/>
        <v>147.63999999999999</v>
      </c>
      <c r="O100" s="74">
        <f t="shared" si="22"/>
        <v>158.94000000000003</v>
      </c>
      <c r="P100" s="74">
        <f t="shared" si="22"/>
        <v>103.54</v>
      </c>
      <c r="Q100" s="74">
        <f t="shared" si="22"/>
        <v>156.80000000000001</v>
      </c>
      <c r="R100" s="74">
        <f t="shared" si="22"/>
        <v>150.4</v>
      </c>
      <c r="S100" s="74">
        <f t="shared" si="22"/>
        <v>159.69999999999999</v>
      </c>
      <c r="T100" s="74">
        <f t="shared" si="22"/>
        <v>163.50000000000003</v>
      </c>
      <c r="U100" s="74">
        <f t="shared" si="22"/>
        <v>169.7</v>
      </c>
      <c r="V100" s="74">
        <f t="shared" si="22"/>
        <v>189.20000000000002</v>
      </c>
      <c r="W100" s="74">
        <f t="shared" si="22"/>
        <v>176.7</v>
      </c>
      <c r="X100" s="74">
        <f t="shared" si="22"/>
        <v>257</v>
      </c>
      <c r="Y100" s="74">
        <f t="shared" si="22"/>
        <v>277</v>
      </c>
      <c r="Z100" s="74">
        <f t="shared" si="22"/>
        <v>255.10000000000002</v>
      </c>
      <c r="AA100" s="74">
        <f t="shared" si="22"/>
        <v>234.70000000000002</v>
      </c>
      <c r="AB100" s="74">
        <f t="shared" si="22"/>
        <v>187.10000000000002</v>
      </c>
      <c r="AC100" s="74">
        <f t="shared" si="22"/>
        <v>165</v>
      </c>
      <c r="AD100" s="74">
        <f t="shared" si="22"/>
        <v>133.6</v>
      </c>
      <c r="AE100" s="74">
        <f t="shared" si="22"/>
        <v>64.299999999999983</v>
      </c>
      <c r="AF100" s="74">
        <f t="shared" si="22"/>
        <v>69.2</v>
      </c>
      <c r="AG100" s="73"/>
      <c r="AH100" s="20">
        <f t="shared" si="10"/>
        <v>277</v>
      </c>
      <c r="AI100" s="19">
        <f t="shared" si="11"/>
        <v>27.940000000000008</v>
      </c>
    </row>
    <row r="101" spans="1:37" x14ac:dyDescent="0.25">
      <c r="A101" s="47" t="s">
        <v>139</v>
      </c>
      <c r="B101" s="72">
        <v>19.899999999999999</v>
      </c>
      <c r="C101" s="72">
        <v>24.3</v>
      </c>
      <c r="D101" s="72">
        <v>20.100000000000001</v>
      </c>
      <c r="E101" s="72">
        <v>20.7</v>
      </c>
      <c r="F101" s="72">
        <v>20.3</v>
      </c>
      <c r="G101" s="72">
        <v>23.1</v>
      </c>
      <c r="H101" s="72">
        <v>24.7</v>
      </c>
      <c r="I101" s="72">
        <v>17.600000000000001</v>
      </c>
      <c r="J101" s="72">
        <v>17.600000000000001</v>
      </c>
      <c r="K101" s="72">
        <v>17.600000000000001</v>
      </c>
      <c r="L101" s="72">
        <v>21.1</v>
      </c>
      <c r="M101" s="72">
        <v>22.2</v>
      </c>
      <c r="N101" s="72">
        <v>18.7</v>
      </c>
      <c r="O101" s="72">
        <v>18</v>
      </c>
      <c r="P101" s="72">
        <v>13</v>
      </c>
      <c r="Q101" s="72">
        <v>18.899999999999999</v>
      </c>
      <c r="R101" s="72">
        <v>23.7</v>
      </c>
      <c r="S101" s="72">
        <v>17.5</v>
      </c>
      <c r="T101" s="72">
        <v>14.4</v>
      </c>
      <c r="U101" s="72">
        <v>19.7</v>
      </c>
      <c r="V101" s="72">
        <v>19.3</v>
      </c>
      <c r="W101" s="72">
        <v>21.9</v>
      </c>
      <c r="X101" s="72">
        <v>30</v>
      </c>
      <c r="Y101" s="72">
        <v>34.299999999999997</v>
      </c>
      <c r="Z101" s="72">
        <v>34.1</v>
      </c>
      <c r="AA101" s="72">
        <v>32</v>
      </c>
      <c r="AB101" s="72">
        <v>28.3</v>
      </c>
      <c r="AC101" s="72">
        <v>22</v>
      </c>
      <c r="AD101" s="72">
        <v>22.1</v>
      </c>
      <c r="AE101" s="72">
        <v>21</v>
      </c>
      <c r="AF101" s="72">
        <v>21.3</v>
      </c>
      <c r="AG101" s="70">
        <v>75</v>
      </c>
      <c r="AH101" s="20">
        <f t="shared" si="10"/>
        <v>34.299999999999997</v>
      </c>
      <c r="AI101" s="19">
        <f t="shared" si="11"/>
        <v>13</v>
      </c>
    </row>
    <row r="102" spans="1:37" x14ac:dyDescent="0.25">
      <c r="A102" s="44" t="s">
        <v>138</v>
      </c>
      <c r="B102" s="71">
        <v>40.200000000000003</v>
      </c>
      <c r="C102" s="71">
        <v>45.4</v>
      </c>
      <c r="D102" s="71">
        <v>41.5</v>
      </c>
      <c r="E102" s="71">
        <v>41.2</v>
      </c>
      <c r="F102" s="71">
        <v>40.299999999999997</v>
      </c>
      <c r="G102" s="71">
        <v>43.5</v>
      </c>
      <c r="H102" s="71">
        <v>45.8</v>
      </c>
      <c r="I102" s="71">
        <v>33.5</v>
      </c>
      <c r="J102" s="71">
        <v>33.5</v>
      </c>
      <c r="K102" s="71">
        <v>33.5</v>
      </c>
      <c r="L102" s="71">
        <v>37.9</v>
      </c>
      <c r="M102" s="71">
        <v>38.9</v>
      </c>
      <c r="N102" s="71">
        <v>35.700000000000003</v>
      </c>
      <c r="O102" s="71">
        <v>33.4</v>
      </c>
      <c r="P102" s="71">
        <v>30.6</v>
      </c>
      <c r="Q102" s="71">
        <v>35.5</v>
      </c>
      <c r="R102" s="71">
        <v>40.200000000000003</v>
      </c>
      <c r="S102" s="71">
        <v>30.7</v>
      </c>
      <c r="T102" s="71">
        <v>26.8</v>
      </c>
      <c r="U102" s="71">
        <v>33.299999999999997</v>
      </c>
      <c r="V102" s="71">
        <v>32</v>
      </c>
      <c r="W102" s="71">
        <v>35.4</v>
      </c>
      <c r="X102" s="71">
        <v>49.5</v>
      </c>
      <c r="Y102" s="71">
        <v>57</v>
      </c>
      <c r="Z102" s="71">
        <v>54</v>
      </c>
      <c r="AA102" s="71">
        <v>52</v>
      </c>
      <c r="AB102" s="71">
        <v>48.2</v>
      </c>
      <c r="AC102" s="71">
        <v>36</v>
      </c>
      <c r="AD102" s="71">
        <v>39.9</v>
      </c>
      <c r="AE102" s="71">
        <v>35.1</v>
      </c>
      <c r="AF102" s="71">
        <v>37.1</v>
      </c>
      <c r="AG102" s="70">
        <v>240</v>
      </c>
      <c r="AH102" s="20">
        <f t="shared" si="10"/>
        <v>57</v>
      </c>
      <c r="AI102" s="19">
        <f t="shared" si="11"/>
        <v>26.8</v>
      </c>
    </row>
    <row r="103" spans="1:37" x14ac:dyDescent="0.25">
      <c r="A103" s="44" t="s">
        <v>137</v>
      </c>
      <c r="B103" s="71">
        <v>-124</v>
      </c>
      <c r="C103" s="71">
        <v>-146</v>
      </c>
      <c r="D103" s="71">
        <v>-136</v>
      </c>
      <c r="E103" s="71">
        <v>-129</v>
      </c>
      <c r="F103" s="71">
        <v>-120</v>
      </c>
      <c r="G103" s="71">
        <v>-118</v>
      </c>
      <c r="H103" s="71">
        <v>-119</v>
      </c>
      <c r="I103" s="71">
        <v>-85</v>
      </c>
      <c r="J103" s="71">
        <v>-85</v>
      </c>
      <c r="K103" s="71">
        <v>-85</v>
      </c>
      <c r="L103" s="71">
        <v>-41</v>
      </c>
      <c r="M103" s="71">
        <f>-19.5-20.7</f>
        <v>-40.200000000000003</v>
      </c>
      <c r="N103" s="71">
        <f>-28.8-29.9</f>
        <v>-58.7</v>
      </c>
      <c r="O103" s="71">
        <f>-21.9-23.4</f>
        <v>-45.3</v>
      </c>
      <c r="P103" s="71">
        <f>-44.4-43.9</f>
        <v>-88.3</v>
      </c>
      <c r="Q103" s="71">
        <f>-43.8-47.2</f>
        <v>-91</v>
      </c>
      <c r="R103" s="71">
        <f>-46-49.7</f>
        <v>-95.7</v>
      </c>
      <c r="S103" s="71">
        <f>-40-44</f>
        <v>-84</v>
      </c>
      <c r="T103" s="71">
        <f>-40-43</f>
        <v>-83</v>
      </c>
      <c r="U103" s="71">
        <f>-40.2-43</f>
        <v>-83.2</v>
      </c>
      <c r="V103" s="71">
        <f>-35-38</f>
        <v>-73</v>
      </c>
      <c r="W103" s="71">
        <f>-36-38</f>
        <v>-74</v>
      </c>
      <c r="X103" s="71">
        <f>-34.3-37.4</f>
        <v>-71.699999999999989</v>
      </c>
      <c r="Y103" s="71">
        <f>-31-34</f>
        <v>-65</v>
      </c>
      <c r="Z103" s="71">
        <f>-39-42</f>
        <v>-81</v>
      </c>
      <c r="AA103" s="71">
        <f>-45-49</f>
        <v>-94</v>
      </c>
      <c r="AB103" s="71">
        <v>-102</v>
      </c>
      <c r="AC103" s="71">
        <v>-104</v>
      </c>
      <c r="AD103" s="71">
        <v>-106</v>
      </c>
      <c r="AE103" s="71">
        <v>-131</v>
      </c>
      <c r="AF103" s="71">
        <v>-127</v>
      </c>
      <c r="AG103" s="70">
        <v>240</v>
      </c>
      <c r="AH103" s="20">
        <f t="shared" si="10"/>
        <v>-40.200000000000003</v>
      </c>
      <c r="AI103" s="19">
        <f t="shared" si="11"/>
        <v>-146</v>
      </c>
    </row>
    <row r="104" spans="1:37" x14ac:dyDescent="0.25">
      <c r="A104" s="44" t="s">
        <v>136</v>
      </c>
      <c r="B104" s="71">
        <v>1.1000000000000001</v>
      </c>
      <c r="C104" s="71">
        <v>0.4</v>
      </c>
      <c r="D104" s="71">
        <v>0</v>
      </c>
      <c r="E104" s="71">
        <v>1.6</v>
      </c>
      <c r="F104" s="71">
        <v>1</v>
      </c>
      <c r="G104" s="71">
        <v>2.4</v>
      </c>
      <c r="H104" s="71">
        <v>4.5999999999999996</v>
      </c>
      <c r="I104" s="71">
        <v>11</v>
      </c>
      <c r="J104" s="71">
        <v>11</v>
      </c>
      <c r="K104" s="71">
        <v>11</v>
      </c>
      <c r="L104" s="71">
        <v>19.899999999999999</v>
      </c>
      <c r="M104" s="71">
        <v>18</v>
      </c>
      <c r="N104" s="71">
        <v>16.7</v>
      </c>
      <c r="O104" s="71">
        <v>17.600000000000001</v>
      </c>
      <c r="P104" s="71">
        <v>13</v>
      </c>
      <c r="Q104" s="71">
        <v>15.2</v>
      </c>
      <c r="R104" s="71">
        <v>10.6</v>
      </c>
      <c r="S104" s="71">
        <v>8.6</v>
      </c>
      <c r="T104" s="71">
        <v>11.4</v>
      </c>
      <c r="U104" s="71">
        <v>13</v>
      </c>
      <c r="V104" s="71">
        <v>14</v>
      </c>
      <c r="W104" s="71">
        <v>14.1</v>
      </c>
      <c r="X104" s="71">
        <v>17.100000000000001</v>
      </c>
      <c r="Y104" s="71">
        <v>18</v>
      </c>
      <c r="Z104" s="71">
        <v>15.3</v>
      </c>
      <c r="AA104" s="71">
        <v>12</v>
      </c>
      <c r="AB104" s="71">
        <v>10.199999999999999</v>
      </c>
      <c r="AC104" s="71">
        <v>9</v>
      </c>
      <c r="AD104" s="71">
        <v>6.1</v>
      </c>
      <c r="AE104" s="71">
        <v>3.1</v>
      </c>
      <c r="AF104" s="71">
        <v>1.7</v>
      </c>
      <c r="AG104" s="70">
        <v>60</v>
      </c>
      <c r="AH104" s="20">
        <f t="shared" si="10"/>
        <v>19.899999999999999</v>
      </c>
      <c r="AI104" s="19">
        <f t="shared" si="11"/>
        <v>0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>
        <v>0</v>
      </c>
      <c r="N105" s="68">
        <v>0</v>
      </c>
      <c r="O105" s="68">
        <v>0</v>
      </c>
      <c r="P105" s="68">
        <v>0</v>
      </c>
      <c r="Q105" s="68">
        <v>44.5</v>
      </c>
      <c r="R105" s="68">
        <v>37.700000000000003</v>
      </c>
      <c r="S105" s="68">
        <v>58</v>
      </c>
      <c r="T105" s="68">
        <v>61</v>
      </c>
      <c r="U105" s="68">
        <v>54</v>
      </c>
      <c r="V105" s="68">
        <v>62</v>
      </c>
      <c r="W105" s="68">
        <v>54.6</v>
      </c>
      <c r="X105" s="68">
        <v>70.400000000000006</v>
      </c>
      <c r="Y105" s="68">
        <v>64</v>
      </c>
      <c r="Z105" s="68">
        <v>64</v>
      </c>
      <c r="AA105" s="68">
        <v>64</v>
      </c>
      <c r="AB105" s="68">
        <v>41.3</v>
      </c>
      <c r="AC105" s="68">
        <v>40.4</v>
      </c>
      <c r="AD105" s="68">
        <v>25.4</v>
      </c>
      <c r="AE105" s="68">
        <v>0</v>
      </c>
      <c r="AF105" s="68">
        <v>0</v>
      </c>
      <c r="AG105" s="69">
        <v>120</v>
      </c>
      <c r="AH105" s="20">
        <f t="shared" si="10"/>
        <v>70.400000000000006</v>
      </c>
      <c r="AI105" s="19">
        <f t="shared" si="11"/>
        <v>0</v>
      </c>
    </row>
    <row r="106" spans="1:37" x14ac:dyDescent="0.25">
      <c r="A106" s="40" t="s">
        <v>134</v>
      </c>
      <c r="B106" s="68">
        <v>5</v>
      </c>
      <c r="C106" s="68">
        <v>-14.3</v>
      </c>
      <c r="D106" s="68">
        <v>-9.1999999999999993</v>
      </c>
      <c r="E106" s="68">
        <v>7</v>
      </c>
      <c r="F106" s="68">
        <v>6</v>
      </c>
      <c r="G106" s="68">
        <v>1.1000000000000001</v>
      </c>
      <c r="H106" s="68">
        <v>5.0999999999999996</v>
      </c>
      <c r="I106" s="68">
        <v>29.4</v>
      </c>
      <c r="J106" s="68">
        <v>29.4</v>
      </c>
      <c r="K106" s="68">
        <v>29.4</v>
      </c>
      <c r="L106" s="68">
        <v>69.599999999999994</v>
      </c>
      <c r="M106" s="68">
        <v>65.8</v>
      </c>
      <c r="N106" s="68">
        <v>49.2</v>
      </c>
      <c r="O106" s="68">
        <v>71.5</v>
      </c>
      <c r="P106" s="68">
        <v>44</v>
      </c>
      <c r="Q106" s="68">
        <v>44.3</v>
      </c>
      <c r="R106" s="68">
        <v>35.6</v>
      </c>
      <c r="S106" s="68">
        <v>57</v>
      </c>
      <c r="T106" s="68">
        <v>57</v>
      </c>
      <c r="U106" s="68">
        <v>48</v>
      </c>
      <c r="V106" s="68">
        <v>46.1</v>
      </c>
      <c r="W106" s="68">
        <v>43</v>
      </c>
      <c r="X106" s="68">
        <v>58.3</v>
      </c>
      <c r="Y106" s="68">
        <v>54</v>
      </c>
      <c r="Z106" s="68">
        <v>50</v>
      </c>
      <c r="AA106" s="68">
        <v>45</v>
      </c>
      <c r="AB106" s="68">
        <v>40</v>
      </c>
      <c r="AC106" s="68">
        <v>44.4</v>
      </c>
      <c r="AD106" s="68">
        <v>32.200000000000003</v>
      </c>
      <c r="AE106" s="68">
        <v>21.5</v>
      </c>
      <c r="AF106" s="68">
        <v>16.899999999999999</v>
      </c>
      <c r="AG106" s="69"/>
      <c r="AH106" s="20">
        <f t="shared" si="10"/>
        <v>71.5</v>
      </c>
      <c r="AI106" s="19">
        <f t="shared" si="11"/>
        <v>-14.3</v>
      </c>
    </row>
    <row r="107" spans="1:37" x14ac:dyDescent="0.25">
      <c r="A107" s="40" t="s">
        <v>133</v>
      </c>
      <c r="B107" s="68">
        <v>-4.8</v>
      </c>
      <c r="C107" s="68">
        <v>-14.2</v>
      </c>
      <c r="D107" s="68">
        <v>-12.2</v>
      </c>
      <c r="E107" s="68">
        <v>-9.6999999999999993</v>
      </c>
      <c r="F107" s="68">
        <v>-2.6</v>
      </c>
      <c r="G107" s="68">
        <v>-17.100000000000001</v>
      </c>
      <c r="H107" s="68">
        <v>-4</v>
      </c>
      <c r="I107" s="68">
        <v>13.3</v>
      </c>
      <c r="J107" s="68">
        <v>13.3</v>
      </c>
      <c r="K107" s="68">
        <v>13.3</v>
      </c>
      <c r="L107" s="68">
        <v>23.5</v>
      </c>
      <c r="M107" s="68">
        <v>8.5</v>
      </c>
      <c r="N107" s="68">
        <v>9.6999999999999993</v>
      </c>
      <c r="O107" s="68">
        <v>32.9</v>
      </c>
      <c r="P107" s="68">
        <v>30.5</v>
      </c>
      <c r="Q107" s="68">
        <v>16.7</v>
      </c>
      <c r="R107" s="68">
        <v>5.2</v>
      </c>
      <c r="S107" s="68">
        <v>28.5</v>
      </c>
      <c r="T107" s="68">
        <v>40</v>
      </c>
      <c r="U107" s="68">
        <v>18</v>
      </c>
      <c r="V107" s="68">
        <v>22.3</v>
      </c>
      <c r="W107" s="68">
        <v>18</v>
      </c>
      <c r="X107" s="68">
        <v>48</v>
      </c>
      <c r="Y107" s="68">
        <v>21</v>
      </c>
      <c r="Z107" s="68">
        <v>7</v>
      </c>
      <c r="AA107" s="68">
        <v>31</v>
      </c>
      <c r="AB107" s="68">
        <v>34.799999999999997</v>
      </c>
      <c r="AC107" s="68">
        <v>31.7</v>
      </c>
      <c r="AD107" s="68">
        <v>27.7</v>
      </c>
      <c r="AE107" s="68">
        <v>20.100000000000001</v>
      </c>
      <c r="AF107" s="68">
        <v>16.3</v>
      </c>
      <c r="AG107" s="48"/>
      <c r="AH107" s="20">
        <f t="shared" si="10"/>
        <v>48</v>
      </c>
      <c r="AI107" s="19">
        <f t="shared" si="11"/>
        <v>-17.100000000000001</v>
      </c>
    </row>
    <row r="108" spans="1:37" x14ac:dyDescent="0.25">
      <c r="A108" s="67" t="s">
        <v>132</v>
      </c>
      <c r="B108" s="66">
        <v>109.5</v>
      </c>
      <c r="C108" s="66">
        <v>110.5</v>
      </c>
      <c r="D108" s="66">
        <v>112.5</v>
      </c>
      <c r="E108" s="66">
        <v>114.7</v>
      </c>
      <c r="F108" s="66">
        <v>113</v>
      </c>
      <c r="G108" s="66">
        <v>113</v>
      </c>
      <c r="H108" s="66">
        <v>108</v>
      </c>
      <c r="I108" s="66">
        <v>110</v>
      </c>
      <c r="J108" s="66">
        <v>110</v>
      </c>
      <c r="K108" s="66">
        <v>110</v>
      </c>
      <c r="L108" s="66">
        <v>104.5</v>
      </c>
      <c r="M108" s="66">
        <v>102.2</v>
      </c>
      <c r="N108" s="66">
        <v>106</v>
      </c>
      <c r="O108" s="66">
        <v>92.8</v>
      </c>
      <c r="P108" s="66">
        <v>99.6</v>
      </c>
      <c r="Q108" s="66">
        <v>101.2</v>
      </c>
      <c r="R108" s="66">
        <v>109.5</v>
      </c>
      <c r="S108" s="66">
        <v>103</v>
      </c>
      <c r="T108" s="66">
        <v>105</v>
      </c>
      <c r="U108" s="66">
        <v>110</v>
      </c>
      <c r="V108" s="66">
        <v>107.3</v>
      </c>
      <c r="W108" s="66">
        <v>104.1</v>
      </c>
      <c r="X108" s="66">
        <v>92</v>
      </c>
      <c r="Y108" s="66">
        <v>99</v>
      </c>
      <c r="Z108" s="66">
        <v>105</v>
      </c>
      <c r="AA108" s="66">
        <v>107</v>
      </c>
      <c r="AB108" s="66">
        <v>112.5</v>
      </c>
      <c r="AC108" s="66">
        <v>115.6</v>
      </c>
      <c r="AD108" s="66">
        <v>104.6</v>
      </c>
      <c r="AE108" s="66">
        <v>111.8</v>
      </c>
      <c r="AF108" s="66">
        <v>111.4</v>
      </c>
      <c r="AG108" s="48"/>
      <c r="AH108" s="20">
        <f t="shared" si="10"/>
        <v>115.6</v>
      </c>
      <c r="AI108" s="19">
        <f t="shared" si="11"/>
        <v>92</v>
      </c>
    </row>
    <row r="109" spans="1:37" ht="15.75" thickBot="1" x14ac:dyDescent="0.3">
      <c r="A109" s="67" t="s">
        <v>131</v>
      </c>
      <c r="B109" s="66">
        <v>94</v>
      </c>
      <c r="C109" s="66">
        <v>105</v>
      </c>
      <c r="D109" s="66">
        <v>102.4</v>
      </c>
      <c r="E109" s="66">
        <v>96</v>
      </c>
      <c r="F109" s="66">
        <v>98</v>
      </c>
      <c r="G109" s="66">
        <v>94</v>
      </c>
      <c r="H109" s="66">
        <v>85</v>
      </c>
      <c r="I109" s="66">
        <v>60.2</v>
      </c>
      <c r="J109" s="66">
        <v>60.2</v>
      </c>
      <c r="K109" s="66">
        <v>60.2</v>
      </c>
      <c r="L109" s="66">
        <v>29.2</v>
      </c>
      <c r="M109" s="66">
        <v>31.6</v>
      </c>
      <c r="N109" s="66">
        <v>43.7</v>
      </c>
      <c r="O109" s="66">
        <v>28.1</v>
      </c>
      <c r="P109" s="66">
        <v>54.7</v>
      </c>
      <c r="Q109" s="66">
        <v>60.5</v>
      </c>
      <c r="R109" s="66">
        <v>63.1</v>
      </c>
      <c r="S109" s="66">
        <v>48</v>
      </c>
      <c r="T109" s="66">
        <v>49</v>
      </c>
      <c r="U109" s="66">
        <v>54</v>
      </c>
      <c r="V109" s="66">
        <v>48.2</v>
      </c>
      <c r="W109" s="66">
        <v>48.4</v>
      </c>
      <c r="X109" s="66">
        <v>47.3</v>
      </c>
      <c r="Y109" s="66">
        <v>46</v>
      </c>
      <c r="Z109" s="66">
        <v>64</v>
      </c>
      <c r="AA109" s="66">
        <v>67</v>
      </c>
      <c r="AB109" s="66">
        <v>70.099999999999994</v>
      </c>
      <c r="AC109" s="66">
        <v>71.7</v>
      </c>
      <c r="AD109" s="66">
        <v>76</v>
      </c>
      <c r="AE109" s="66">
        <v>87</v>
      </c>
      <c r="AF109" s="66">
        <v>87.8</v>
      </c>
      <c r="AG109" s="48"/>
      <c r="AH109" s="20">
        <f t="shared" si="10"/>
        <v>105</v>
      </c>
      <c r="AI109" s="19">
        <f t="shared" si="11"/>
        <v>28.1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3">SUM(B111:B215)</f>
        <v>0</v>
      </c>
      <c r="C216" s="36">
        <f t="shared" si="23"/>
        <v>0</v>
      </c>
      <c r="D216" s="36">
        <f t="shared" si="23"/>
        <v>0</v>
      </c>
      <c r="E216" s="36">
        <f t="shared" si="23"/>
        <v>0</v>
      </c>
      <c r="F216" s="36">
        <f t="shared" si="23"/>
        <v>0</v>
      </c>
      <c r="G216" s="36">
        <f t="shared" si="23"/>
        <v>0</v>
      </c>
      <c r="H216" s="36">
        <f t="shared" si="23"/>
        <v>0</v>
      </c>
      <c r="I216" s="36">
        <f t="shared" si="23"/>
        <v>0</v>
      </c>
      <c r="J216" s="36">
        <f t="shared" si="23"/>
        <v>0</v>
      </c>
      <c r="K216" s="36">
        <f t="shared" si="23"/>
        <v>0</v>
      </c>
      <c r="L216" s="36">
        <f t="shared" si="23"/>
        <v>0</v>
      </c>
      <c r="M216" s="36">
        <f t="shared" si="23"/>
        <v>0</v>
      </c>
      <c r="N216" s="36">
        <f t="shared" si="23"/>
        <v>0</v>
      </c>
      <c r="O216" s="36">
        <f t="shared" si="23"/>
        <v>0</v>
      </c>
      <c r="P216" s="36">
        <f t="shared" si="23"/>
        <v>0</v>
      </c>
      <c r="Q216" s="36">
        <f t="shared" si="23"/>
        <v>0</v>
      </c>
      <c r="R216" s="36">
        <f t="shared" si="23"/>
        <v>0</v>
      </c>
      <c r="S216" s="36">
        <f t="shared" si="23"/>
        <v>0</v>
      </c>
      <c r="T216" s="36">
        <f t="shared" si="23"/>
        <v>0</v>
      </c>
      <c r="U216" s="36">
        <f t="shared" si="23"/>
        <v>0</v>
      </c>
      <c r="V216" s="36">
        <f t="shared" si="23"/>
        <v>0</v>
      </c>
      <c r="W216" s="36">
        <f t="shared" si="23"/>
        <v>0</v>
      </c>
      <c r="X216" s="36">
        <f t="shared" si="23"/>
        <v>0</v>
      </c>
      <c r="Y216" s="36">
        <f t="shared" si="23"/>
        <v>0</v>
      </c>
      <c r="Z216" s="36">
        <f t="shared" si="23"/>
        <v>0</v>
      </c>
      <c r="AA216" s="36">
        <f t="shared" si="23"/>
        <v>0</v>
      </c>
      <c r="AB216" s="36">
        <f t="shared" si="23"/>
        <v>0</v>
      </c>
      <c r="AC216" s="36">
        <f t="shared" si="23"/>
        <v>0</v>
      </c>
      <c r="AD216" s="36">
        <f t="shared" si="23"/>
        <v>0</v>
      </c>
      <c r="AE216" s="36">
        <f t="shared" si="23"/>
        <v>0</v>
      </c>
      <c r="AF216" s="51">
        <f t="shared" si="23"/>
        <v>0</v>
      </c>
      <c r="AG216" s="50">
        <f t="shared" si="23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4">AF218</f>
        <v>0</v>
      </c>
      <c r="C218" s="46">
        <v>0.3</v>
      </c>
      <c r="D218" s="46">
        <f t="shared" ref="D218:P223" si="25">C218</f>
        <v>0.3</v>
      </c>
      <c r="E218" s="46">
        <f t="shared" si="25"/>
        <v>0.3</v>
      </c>
      <c r="F218" s="46">
        <f t="shared" si="25"/>
        <v>0.3</v>
      </c>
      <c r="G218" s="46">
        <f t="shared" si="25"/>
        <v>0.3</v>
      </c>
      <c r="H218" s="46">
        <f t="shared" si="25"/>
        <v>0.3</v>
      </c>
      <c r="I218" s="46">
        <f t="shared" si="25"/>
        <v>0.3</v>
      </c>
      <c r="J218" s="46">
        <f t="shared" si="25"/>
        <v>0.3</v>
      </c>
      <c r="K218" s="46">
        <f t="shared" si="25"/>
        <v>0.3</v>
      </c>
      <c r="L218" s="46">
        <f t="shared" si="25"/>
        <v>0.3</v>
      </c>
      <c r="M218" s="46">
        <f t="shared" si="25"/>
        <v>0.3</v>
      </c>
      <c r="N218" s="46">
        <f t="shared" si="25"/>
        <v>0.3</v>
      </c>
      <c r="O218" s="46">
        <f t="shared" si="25"/>
        <v>0.3</v>
      </c>
      <c r="P218" s="46">
        <f t="shared" si="25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4"/>
        <v>0</v>
      </c>
      <c r="C219" s="43">
        <v>0.4</v>
      </c>
      <c r="D219" s="43">
        <f t="shared" si="25"/>
        <v>0.4</v>
      </c>
      <c r="E219" s="43">
        <f t="shared" si="25"/>
        <v>0.4</v>
      </c>
      <c r="F219" s="43">
        <f t="shared" si="25"/>
        <v>0.4</v>
      </c>
      <c r="G219" s="43">
        <f t="shared" si="25"/>
        <v>0.4</v>
      </c>
      <c r="H219" s="43">
        <f t="shared" si="25"/>
        <v>0.4</v>
      </c>
      <c r="I219" s="43">
        <f t="shared" si="25"/>
        <v>0.4</v>
      </c>
      <c r="J219" s="43">
        <f t="shared" si="25"/>
        <v>0.4</v>
      </c>
      <c r="K219" s="43">
        <f t="shared" si="25"/>
        <v>0.4</v>
      </c>
      <c r="L219" s="43">
        <f t="shared" si="25"/>
        <v>0.4</v>
      </c>
      <c r="M219" s="43">
        <f t="shared" si="25"/>
        <v>0.4</v>
      </c>
      <c r="N219" s="43">
        <f t="shared" si="25"/>
        <v>0.4</v>
      </c>
      <c r="O219" s="43">
        <f t="shared" si="25"/>
        <v>0.4</v>
      </c>
      <c r="P219" s="43">
        <f t="shared" si="25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4"/>
        <v>0</v>
      </c>
      <c r="C220" s="43">
        <v>1.5</v>
      </c>
      <c r="D220" s="43">
        <f t="shared" si="25"/>
        <v>1.5</v>
      </c>
      <c r="E220" s="43">
        <f t="shared" si="25"/>
        <v>1.5</v>
      </c>
      <c r="F220" s="43">
        <f t="shared" si="25"/>
        <v>1.5</v>
      </c>
      <c r="G220" s="43">
        <f t="shared" si="25"/>
        <v>1.5</v>
      </c>
      <c r="H220" s="43">
        <f t="shared" si="25"/>
        <v>1.5</v>
      </c>
      <c r="I220" s="43">
        <f t="shared" si="25"/>
        <v>1.5</v>
      </c>
      <c r="J220" s="43">
        <f t="shared" si="25"/>
        <v>1.5</v>
      </c>
      <c r="K220" s="43">
        <f t="shared" si="25"/>
        <v>1.5</v>
      </c>
      <c r="L220" s="43">
        <f t="shared" si="25"/>
        <v>1.5</v>
      </c>
      <c r="M220" s="43">
        <f t="shared" si="25"/>
        <v>1.5</v>
      </c>
      <c r="N220" s="43">
        <f t="shared" si="25"/>
        <v>1.5</v>
      </c>
      <c r="O220" s="43">
        <f t="shared" si="25"/>
        <v>1.5</v>
      </c>
      <c r="P220" s="43">
        <f t="shared" si="25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4"/>
        <v>0</v>
      </c>
      <c r="C221" s="43">
        <v>0.3</v>
      </c>
      <c r="D221" s="43">
        <f t="shared" si="25"/>
        <v>0.3</v>
      </c>
      <c r="E221" s="43">
        <f t="shared" si="25"/>
        <v>0.3</v>
      </c>
      <c r="F221" s="43">
        <f t="shared" si="25"/>
        <v>0.3</v>
      </c>
      <c r="G221" s="43">
        <f t="shared" si="25"/>
        <v>0.3</v>
      </c>
      <c r="H221" s="43">
        <f t="shared" si="25"/>
        <v>0.3</v>
      </c>
      <c r="I221" s="43">
        <f t="shared" si="25"/>
        <v>0.3</v>
      </c>
      <c r="J221" s="43">
        <f t="shared" si="25"/>
        <v>0.3</v>
      </c>
      <c r="K221" s="43">
        <f t="shared" si="25"/>
        <v>0.3</v>
      </c>
      <c r="L221" s="43">
        <f t="shared" si="25"/>
        <v>0.3</v>
      </c>
      <c r="M221" s="43">
        <f t="shared" si="25"/>
        <v>0.3</v>
      </c>
      <c r="N221" s="43">
        <f t="shared" si="25"/>
        <v>0.3</v>
      </c>
      <c r="O221" s="43">
        <f t="shared" si="25"/>
        <v>0.3</v>
      </c>
      <c r="P221" s="43">
        <f t="shared" si="25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4"/>
        <v>0</v>
      </c>
      <c r="C222" s="43">
        <v>0.4</v>
      </c>
      <c r="D222" s="43">
        <f t="shared" si="25"/>
        <v>0.4</v>
      </c>
      <c r="E222" s="43">
        <f t="shared" si="25"/>
        <v>0.4</v>
      </c>
      <c r="F222" s="43">
        <f t="shared" si="25"/>
        <v>0.4</v>
      </c>
      <c r="G222" s="43">
        <f t="shared" si="25"/>
        <v>0.4</v>
      </c>
      <c r="H222" s="43">
        <f t="shared" si="25"/>
        <v>0.4</v>
      </c>
      <c r="I222" s="43">
        <f t="shared" si="25"/>
        <v>0.4</v>
      </c>
      <c r="J222" s="43">
        <f t="shared" si="25"/>
        <v>0.4</v>
      </c>
      <c r="K222" s="43">
        <f t="shared" si="25"/>
        <v>0.4</v>
      </c>
      <c r="L222" s="43">
        <f t="shared" si="25"/>
        <v>0.4</v>
      </c>
      <c r="M222" s="43">
        <f t="shared" si="25"/>
        <v>0.4</v>
      </c>
      <c r="N222" s="43">
        <f t="shared" si="25"/>
        <v>0.4</v>
      </c>
      <c r="O222" s="43">
        <f t="shared" si="25"/>
        <v>0.4</v>
      </c>
      <c r="P222" s="43">
        <f t="shared" si="25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4"/>
        <v>0</v>
      </c>
      <c r="C223" s="39">
        <v>0.64</v>
      </c>
      <c r="D223" s="39">
        <f t="shared" si="25"/>
        <v>0.64</v>
      </c>
      <c r="E223" s="39">
        <f t="shared" si="25"/>
        <v>0.64</v>
      </c>
      <c r="F223" s="39">
        <f t="shared" si="25"/>
        <v>0.64</v>
      </c>
      <c r="G223" s="39">
        <f t="shared" si="25"/>
        <v>0.64</v>
      </c>
      <c r="H223" s="39">
        <f t="shared" si="25"/>
        <v>0.64</v>
      </c>
      <c r="I223" s="39">
        <f t="shared" si="25"/>
        <v>0.64</v>
      </c>
      <c r="J223" s="39">
        <f t="shared" si="25"/>
        <v>0.64</v>
      </c>
      <c r="K223" s="39">
        <f t="shared" si="25"/>
        <v>0.64</v>
      </c>
      <c r="L223" s="39">
        <f t="shared" si="25"/>
        <v>0.64</v>
      </c>
      <c r="M223" s="39">
        <f t="shared" si="25"/>
        <v>0.64</v>
      </c>
      <c r="N223" s="39">
        <f t="shared" si="25"/>
        <v>0.64</v>
      </c>
      <c r="O223" s="39">
        <f t="shared" si="25"/>
        <v>0.64</v>
      </c>
      <c r="P223" s="39">
        <f t="shared" si="25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6">SUM(B218:B223)</f>
        <v>0</v>
      </c>
      <c r="C224" s="36">
        <f t="shared" si="26"/>
        <v>3.54</v>
      </c>
      <c r="D224" s="36">
        <f t="shared" si="26"/>
        <v>3.54</v>
      </c>
      <c r="E224" s="36">
        <f t="shared" si="26"/>
        <v>3.54</v>
      </c>
      <c r="F224" s="36">
        <f t="shared" si="26"/>
        <v>3.54</v>
      </c>
      <c r="G224" s="36">
        <f t="shared" si="26"/>
        <v>3.54</v>
      </c>
      <c r="H224" s="36">
        <f t="shared" si="26"/>
        <v>3.54</v>
      </c>
      <c r="I224" s="36">
        <f t="shared" si="26"/>
        <v>3.54</v>
      </c>
      <c r="J224" s="36">
        <f t="shared" si="26"/>
        <v>3.54</v>
      </c>
      <c r="K224" s="36">
        <f t="shared" si="26"/>
        <v>3.54</v>
      </c>
      <c r="L224" s="36">
        <f t="shared" si="26"/>
        <v>3.54</v>
      </c>
      <c r="M224" s="36">
        <f t="shared" si="26"/>
        <v>3.54</v>
      </c>
      <c r="N224" s="36">
        <f t="shared" si="26"/>
        <v>3.54</v>
      </c>
      <c r="O224" s="36">
        <f t="shared" si="26"/>
        <v>3.54</v>
      </c>
      <c r="P224" s="36">
        <f t="shared" si="26"/>
        <v>3.54</v>
      </c>
      <c r="Q224" s="36">
        <f t="shared" si="26"/>
        <v>0</v>
      </c>
      <c r="R224" s="36">
        <f t="shared" si="26"/>
        <v>0</v>
      </c>
      <c r="S224" s="36">
        <f t="shared" si="26"/>
        <v>0</v>
      </c>
      <c r="T224" s="36">
        <f t="shared" si="26"/>
        <v>0</v>
      </c>
      <c r="U224" s="36">
        <f t="shared" si="26"/>
        <v>0</v>
      </c>
      <c r="V224" s="36">
        <f t="shared" si="26"/>
        <v>0</v>
      </c>
      <c r="W224" s="36">
        <f t="shared" si="26"/>
        <v>0</v>
      </c>
      <c r="X224" s="36">
        <f t="shared" si="26"/>
        <v>0</v>
      </c>
      <c r="Y224" s="36">
        <f t="shared" si="26"/>
        <v>0</v>
      </c>
      <c r="Z224" s="36">
        <f t="shared" si="26"/>
        <v>0</v>
      </c>
      <c r="AA224" s="36">
        <f t="shared" si="26"/>
        <v>0</v>
      </c>
      <c r="AB224" s="36">
        <f t="shared" si="26"/>
        <v>0</v>
      </c>
      <c r="AC224" s="36">
        <f t="shared" si="26"/>
        <v>0</v>
      </c>
      <c r="AD224" s="36">
        <f t="shared" si="26"/>
        <v>0</v>
      </c>
      <c r="AE224" s="36">
        <f t="shared" si="26"/>
        <v>0</v>
      </c>
      <c r="AF224" s="36">
        <f t="shared" si="26"/>
        <v>0</v>
      </c>
      <c r="AG224" s="35">
        <f t="shared" si="26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1577.74</v>
      </c>
      <c r="C233" s="16">
        <f>INDEX(G9:N9,1,MATCH(MAX(G81:N81),G81:N81,0))</f>
        <v>0.375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26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2079/06/26)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2079/06/26)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7">B81</f>
        <v>1464.3400000000001</v>
      </c>
      <c r="U238" s="9">
        <f t="shared" si="27"/>
        <v>1467.14</v>
      </c>
      <c r="V238" s="9">
        <f t="shared" si="27"/>
        <v>1448.8400000000001</v>
      </c>
      <c r="W238" s="9">
        <f t="shared" si="27"/>
        <v>1420.8400000000001</v>
      </c>
      <c r="X238" s="9">
        <f t="shared" si="27"/>
        <v>1420.04</v>
      </c>
      <c r="Y238" s="9">
        <f t="shared" si="27"/>
        <v>1404.24</v>
      </c>
      <c r="Z238" s="9">
        <f t="shared" si="27"/>
        <v>1420.64</v>
      </c>
      <c r="AA238" s="9">
        <f t="shared" si="27"/>
        <v>1448.54</v>
      </c>
      <c r="AB238" s="9">
        <f t="shared" si="27"/>
        <v>1494.24</v>
      </c>
      <c r="AC238" s="9">
        <f t="shared" si="27"/>
        <v>1567.24</v>
      </c>
      <c r="AD238" s="9">
        <f t="shared" si="27"/>
        <v>1511.24</v>
      </c>
      <c r="AE238" s="9">
        <f t="shared" si="27"/>
        <v>1567.34</v>
      </c>
      <c r="AF238" s="9">
        <f t="shared" si="27"/>
        <v>1577.74</v>
      </c>
      <c r="AG238" s="9">
        <f t="shared" si="27"/>
        <v>1584.54</v>
      </c>
      <c r="AH238" s="9">
        <f t="shared" si="27"/>
        <v>1584.54</v>
      </c>
      <c r="AI238" s="9">
        <f t="shared" si="27"/>
        <v>1583.5400000000002</v>
      </c>
      <c r="AJ238" s="9">
        <f t="shared" si="27"/>
        <v>1584.6399999999999</v>
      </c>
      <c r="AK238" s="9">
        <f t="shared" si="27"/>
        <v>1575.6399999999999</v>
      </c>
      <c r="AL238" s="9">
        <f t="shared" si="27"/>
        <v>1579.6399999999999</v>
      </c>
      <c r="AM238" s="9">
        <f t="shared" si="27"/>
        <v>1592.1399999999999</v>
      </c>
      <c r="AN238" s="9">
        <f t="shared" si="27"/>
        <v>1594.14</v>
      </c>
      <c r="AO238" s="9">
        <f t="shared" si="27"/>
        <v>1584.94</v>
      </c>
      <c r="AP238" s="9">
        <f t="shared" si="27"/>
        <v>1692.2399999999998</v>
      </c>
      <c r="AQ238" s="9">
        <f t="shared" si="27"/>
        <v>1743.9399999999998</v>
      </c>
      <c r="AR238" s="9">
        <f t="shared" si="27"/>
        <v>1739.9399999999998</v>
      </c>
      <c r="AS238" s="9">
        <f t="shared" si="27"/>
        <v>1710.3399999999997</v>
      </c>
      <c r="AT238" s="9">
        <f t="shared" si="27"/>
        <v>1684.1399999999999</v>
      </c>
      <c r="AU238" s="9">
        <f t="shared" si="27"/>
        <v>1657.54</v>
      </c>
      <c r="AV238" s="9">
        <f t="shared" si="27"/>
        <v>1613.2400000000002</v>
      </c>
      <c r="AW238" s="9">
        <f t="shared" si="27"/>
        <v>1558.3400000000001</v>
      </c>
      <c r="AX238" s="9">
        <f t="shared" si="27"/>
        <v>1517.04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8">C223</f>
        <v>0.64</v>
      </c>
      <c r="C259" s="4">
        <f t="shared" si="28"/>
        <v>0.64</v>
      </c>
      <c r="D259" s="4">
        <f t="shared" si="28"/>
        <v>0.64</v>
      </c>
      <c r="E259" s="4">
        <f t="shared" si="28"/>
        <v>0.64</v>
      </c>
      <c r="F259" s="4">
        <f t="shared" si="28"/>
        <v>0.64</v>
      </c>
      <c r="G259" s="4">
        <f t="shared" si="28"/>
        <v>0.64</v>
      </c>
      <c r="H259" s="4">
        <f t="shared" si="28"/>
        <v>0.64</v>
      </c>
      <c r="I259" s="4">
        <f t="shared" si="28"/>
        <v>0.64</v>
      </c>
      <c r="J259" s="4">
        <f t="shared" si="28"/>
        <v>0.64</v>
      </c>
      <c r="K259" s="4">
        <f t="shared" si="28"/>
        <v>0.64</v>
      </c>
      <c r="L259" s="4">
        <f t="shared" si="28"/>
        <v>0.64</v>
      </c>
      <c r="M259" s="4">
        <f t="shared" si="28"/>
        <v>0.64</v>
      </c>
      <c r="N259" s="4">
        <f t="shared" si="28"/>
        <v>0.64</v>
      </c>
      <c r="O259" s="4">
        <f t="shared" si="28"/>
        <v>0.64</v>
      </c>
      <c r="P259" s="4">
        <f t="shared" si="28"/>
        <v>0</v>
      </c>
      <c r="Q259" s="4">
        <f t="shared" si="28"/>
        <v>0</v>
      </c>
      <c r="R259" s="4">
        <f t="shared" si="28"/>
        <v>0</v>
      </c>
      <c r="S259" s="4">
        <f t="shared" si="28"/>
        <v>0</v>
      </c>
      <c r="T259" s="4">
        <f t="shared" si="28"/>
        <v>0</v>
      </c>
      <c r="U259" s="4">
        <f t="shared" si="28"/>
        <v>0</v>
      </c>
      <c r="V259" s="4">
        <f t="shared" si="28"/>
        <v>0</v>
      </c>
      <c r="W259" s="4">
        <f t="shared" si="28"/>
        <v>0</v>
      </c>
      <c r="X259" s="4">
        <f t="shared" si="28"/>
        <v>0</v>
      </c>
      <c r="Y259" s="4">
        <f t="shared" si="28"/>
        <v>0</v>
      </c>
      <c r="Z259" s="4">
        <f t="shared" si="28"/>
        <v>0</v>
      </c>
      <c r="AA259" s="4">
        <f t="shared" si="28"/>
        <v>0</v>
      </c>
      <c r="AB259" s="4">
        <f t="shared" si="28"/>
        <v>0</v>
      </c>
      <c r="AC259" s="4">
        <f t="shared" si="28"/>
        <v>0</v>
      </c>
      <c r="AD259" s="4">
        <f t="shared" si="28"/>
        <v>0</v>
      </c>
      <c r="AE259" s="4">
        <f t="shared" si="28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29">IF(B227&lt;100,"",B227-520)</f>
        <v/>
      </c>
      <c r="C260" s="3" t="str">
        <f t="shared" si="29"/>
        <v/>
      </c>
      <c r="D260" s="3" t="str">
        <f t="shared" si="29"/>
        <v/>
      </c>
      <c r="E260" s="3" t="str">
        <f t="shared" si="29"/>
        <v/>
      </c>
      <c r="F260" s="3" t="str">
        <f t="shared" si="29"/>
        <v/>
      </c>
      <c r="G260" s="3" t="str">
        <f t="shared" si="29"/>
        <v/>
      </c>
      <c r="H260" s="3" t="str">
        <f t="shared" si="29"/>
        <v/>
      </c>
      <c r="I260" s="3" t="str">
        <f t="shared" si="29"/>
        <v/>
      </c>
      <c r="J260" s="3" t="str">
        <f t="shared" si="29"/>
        <v/>
      </c>
      <c r="K260" s="3" t="str">
        <f t="shared" si="29"/>
        <v/>
      </c>
      <c r="L260" s="3" t="str">
        <f t="shared" si="29"/>
        <v/>
      </c>
      <c r="M260" s="3" t="str">
        <f t="shared" si="29"/>
        <v/>
      </c>
      <c r="N260" s="3" t="str">
        <f t="shared" si="29"/>
        <v/>
      </c>
      <c r="O260" s="3" t="str">
        <f t="shared" si="29"/>
        <v/>
      </c>
      <c r="P260" s="3" t="str">
        <f t="shared" si="29"/>
        <v/>
      </c>
      <c r="Q260" s="3" t="str">
        <f t="shared" si="29"/>
        <v/>
      </c>
      <c r="R260" s="3" t="str">
        <f t="shared" si="29"/>
        <v/>
      </c>
      <c r="S260" s="3" t="str">
        <f t="shared" si="29"/>
        <v/>
      </c>
      <c r="T260" s="3" t="str">
        <f t="shared" si="29"/>
        <v/>
      </c>
      <c r="U260" s="3" t="str">
        <f t="shared" si="29"/>
        <v/>
      </c>
      <c r="V260" s="3" t="str">
        <f t="shared" si="29"/>
        <v/>
      </c>
      <c r="W260" s="3" t="str">
        <f t="shared" si="29"/>
        <v/>
      </c>
      <c r="X260" s="3" t="str">
        <f t="shared" si="29"/>
        <v/>
      </c>
      <c r="Y260" s="3" t="str">
        <f t="shared" si="29"/>
        <v/>
      </c>
      <c r="Z260" s="3" t="str">
        <f t="shared" si="29"/>
        <v/>
      </c>
      <c r="AA260" s="3" t="str">
        <f t="shared" si="29"/>
        <v/>
      </c>
      <c r="AB260" s="3" t="str">
        <f t="shared" si="29"/>
        <v/>
      </c>
      <c r="AC260" s="3" t="str">
        <f t="shared" si="29"/>
        <v/>
      </c>
      <c r="AD260" s="3" t="str">
        <f t="shared" si="29"/>
        <v/>
      </c>
      <c r="AE260" s="3" t="str">
        <f t="shared" si="29"/>
        <v/>
      </c>
      <c r="AF260" s="3" t="str">
        <f t="shared" si="29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30">IF(B228&lt;100,"",B228-620)</f>
        <v/>
      </c>
      <c r="C261" s="3" t="str">
        <f t="shared" si="30"/>
        <v/>
      </c>
      <c r="D261" s="3" t="str">
        <f t="shared" si="30"/>
        <v/>
      </c>
      <c r="E261" s="3" t="str">
        <f t="shared" si="30"/>
        <v/>
      </c>
      <c r="F261" s="3" t="str">
        <f t="shared" si="30"/>
        <v/>
      </c>
      <c r="G261" s="3" t="str">
        <f t="shared" si="30"/>
        <v/>
      </c>
      <c r="H261" s="3" t="str">
        <f t="shared" si="30"/>
        <v/>
      </c>
      <c r="I261" s="3" t="str">
        <f t="shared" si="30"/>
        <v/>
      </c>
      <c r="J261" s="3" t="str">
        <f t="shared" si="30"/>
        <v/>
      </c>
      <c r="K261" s="3" t="str">
        <f t="shared" si="30"/>
        <v/>
      </c>
      <c r="L261" s="3" t="str">
        <f t="shared" si="30"/>
        <v/>
      </c>
      <c r="M261" s="3" t="str">
        <f t="shared" si="30"/>
        <v/>
      </c>
      <c r="N261" s="3" t="str">
        <f t="shared" si="30"/>
        <v/>
      </c>
      <c r="O261" s="3" t="str">
        <f t="shared" si="30"/>
        <v/>
      </c>
      <c r="P261" s="3" t="str">
        <f t="shared" si="30"/>
        <v/>
      </c>
      <c r="Q261" s="3" t="str">
        <f t="shared" si="30"/>
        <v/>
      </c>
      <c r="R261" s="3" t="str">
        <f t="shared" si="30"/>
        <v/>
      </c>
      <c r="S261" s="3" t="str">
        <f t="shared" si="30"/>
        <v/>
      </c>
      <c r="T261" s="3" t="str">
        <f t="shared" si="30"/>
        <v/>
      </c>
      <c r="U261" s="3" t="str">
        <f t="shared" si="30"/>
        <v/>
      </c>
      <c r="V261" s="3" t="str">
        <f t="shared" si="30"/>
        <v/>
      </c>
      <c r="W261" s="3" t="str">
        <f t="shared" si="30"/>
        <v/>
      </c>
      <c r="X261" s="3" t="str">
        <f t="shared" si="30"/>
        <v/>
      </c>
      <c r="Y261" s="3" t="str">
        <f t="shared" si="30"/>
        <v/>
      </c>
      <c r="Z261" s="3" t="str">
        <f t="shared" si="30"/>
        <v/>
      </c>
      <c r="AA261" s="3" t="str">
        <f t="shared" si="30"/>
        <v/>
      </c>
      <c r="AB261" s="3" t="str">
        <f t="shared" si="30"/>
        <v/>
      </c>
      <c r="AC261" s="3" t="str">
        <f t="shared" si="30"/>
        <v/>
      </c>
      <c r="AD261" s="3" t="str">
        <f t="shared" si="30"/>
        <v/>
      </c>
      <c r="AE261" s="3" t="str">
        <f t="shared" si="30"/>
        <v/>
      </c>
      <c r="AF261" s="3" t="str">
        <f t="shared" si="30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1">IF(B229&lt;100,"",B229-330)</f>
        <v/>
      </c>
      <c r="C262" s="3" t="str">
        <f t="shared" si="31"/>
        <v/>
      </c>
      <c r="D262" s="3" t="str">
        <f t="shared" si="31"/>
        <v/>
      </c>
      <c r="E262" s="3" t="str">
        <f t="shared" si="31"/>
        <v/>
      </c>
      <c r="F262" s="3" t="str">
        <f t="shared" si="31"/>
        <v/>
      </c>
      <c r="G262" s="3" t="str">
        <f t="shared" si="31"/>
        <v/>
      </c>
      <c r="H262" s="3" t="str">
        <f t="shared" si="31"/>
        <v/>
      </c>
      <c r="I262" s="3" t="str">
        <f t="shared" si="31"/>
        <v/>
      </c>
      <c r="J262" s="3" t="str">
        <f t="shared" si="31"/>
        <v/>
      </c>
      <c r="K262" s="3" t="str">
        <f t="shared" si="31"/>
        <v/>
      </c>
      <c r="L262" s="3" t="str">
        <f t="shared" si="31"/>
        <v/>
      </c>
      <c r="M262" s="3" t="str">
        <f t="shared" si="31"/>
        <v/>
      </c>
      <c r="N262" s="3" t="str">
        <f t="shared" si="31"/>
        <v/>
      </c>
      <c r="O262" s="3" t="str">
        <f t="shared" si="31"/>
        <v/>
      </c>
      <c r="P262" s="3" t="str">
        <f t="shared" si="31"/>
        <v/>
      </c>
      <c r="Q262" s="3" t="str">
        <f t="shared" si="31"/>
        <v/>
      </c>
      <c r="R262" s="3" t="str">
        <f t="shared" si="31"/>
        <v/>
      </c>
      <c r="S262" s="3" t="str">
        <f t="shared" si="31"/>
        <v/>
      </c>
      <c r="T262" s="3" t="str">
        <f t="shared" si="31"/>
        <v/>
      </c>
      <c r="U262" s="3" t="str">
        <f t="shared" si="31"/>
        <v/>
      </c>
      <c r="V262" s="3" t="str">
        <f t="shared" si="31"/>
        <v/>
      </c>
      <c r="W262" s="3" t="str">
        <f t="shared" si="31"/>
        <v/>
      </c>
      <c r="X262" s="3" t="str">
        <f t="shared" si="31"/>
        <v/>
      </c>
      <c r="Y262" s="3" t="str">
        <f t="shared" si="31"/>
        <v/>
      </c>
      <c r="Z262" s="3" t="str">
        <f t="shared" si="31"/>
        <v/>
      </c>
      <c r="AA262" s="3" t="str">
        <f t="shared" si="31"/>
        <v/>
      </c>
      <c r="AB262" s="3" t="str">
        <f t="shared" si="31"/>
        <v/>
      </c>
      <c r="AC262" s="3" t="str">
        <f t="shared" si="31"/>
        <v/>
      </c>
      <c r="AD262" s="3" t="str">
        <f t="shared" si="31"/>
        <v/>
      </c>
      <c r="AE262" s="3" t="str">
        <f t="shared" si="31"/>
        <v/>
      </c>
      <c r="AF262" s="3" t="str">
        <f t="shared" si="31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2">IF(B230&lt;100,"",B230-1500)</f>
        <v/>
      </c>
      <c r="C263" s="3" t="str">
        <f t="shared" si="32"/>
        <v/>
      </c>
      <c r="D263" s="3" t="str">
        <f t="shared" si="32"/>
        <v/>
      </c>
      <c r="E263" s="3" t="str">
        <f t="shared" si="32"/>
        <v/>
      </c>
      <c r="F263" s="3" t="str">
        <f t="shared" si="32"/>
        <v/>
      </c>
      <c r="G263" s="3" t="str">
        <f t="shared" si="32"/>
        <v/>
      </c>
      <c r="H263" s="3" t="str">
        <f t="shared" si="32"/>
        <v/>
      </c>
      <c r="I263" s="3" t="str">
        <f t="shared" si="32"/>
        <v/>
      </c>
      <c r="J263" s="3" t="str">
        <f t="shared" si="32"/>
        <v/>
      </c>
      <c r="K263" s="3" t="str">
        <f t="shared" si="32"/>
        <v/>
      </c>
      <c r="L263" s="3" t="str">
        <f t="shared" si="32"/>
        <v/>
      </c>
      <c r="M263" s="3" t="str">
        <f t="shared" si="32"/>
        <v/>
      </c>
      <c r="N263" s="3" t="str">
        <f t="shared" si="32"/>
        <v/>
      </c>
      <c r="O263" s="3" t="str">
        <f t="shared" si="32"/>
        <v/>
      </c>
      <c r="P263" s="3" t="str">
        <f t="shared" si="32"/>
        <v/>
      </c>
      <c r="Q263" s="3" t="str">
        <f t="shared" si="32"/>
        <v/>
      </c>
      <c r="R263" s="3" t="str">
        <f t="shared" si="32"/>
        <v/>
      </c>
      <c r="S263" s="3" t="str">
        <f t="shared" si="32"/>
        <v/>
      </c>
      <c r="T263" s="3" t="str">
        <f t="shared" si="32"/>
        <v/>
      </c>
      <c r="U263" s="3" t="str">
        <f t="shared" si="32"/>
        <v/>
      </c>
      <c r="V263" s="3" t="str">
        <f t="shared" si="32"/>
        <v/>
      </c>
      <c r="W263" s="3" t="str">
        <f t="shared" si="32"/>
        <v/>
      </c>
      <c r="X263" s="3" t="str">
        <f t="shared" si="32"/>
        <v/>
      </c>
      <c r="Y263" s="3" t="str">
        <f t="shared" si="32"/>
        <v/>
      </c>
      <c r="Z263" s="3" t="str">
        <f t="shared" si="32"/>
        <v/>
      </c>
      <c r="AA263" s="3" t="str">
        <f t="shared" si="32"/>
        <v/>
      </c>
      <c r="AB263" s="3" t="str">
        <f t="shared" si="32"/>
        <v/>
      </c>
      <c r="AC263" s="3" t="str">
        <f t="shared" si="32"/>
        <v/>
      </c>
      <c r="AD263" s="3" t="str">
        <f t="shared" si="32"/>
        <v/>
      </c>
      <c r="AE263" s="3" t="str">
        <f t="shared" si="32"/>
        <v/>
      </c>
      <c r="AF263" s="3" t="str">
        <f t="shared" si="32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X11:AF11 B16:AF16 B20:AF23">
    <cfRule type="expression" dxfId="2889" priority="239">
      <formula>B$9&gt;=20/24</formula>
    </cfRule>
    <cfRule type="expression" dxfId="2888" priority="240">
      <formula>AND(B$9&gt;=14/24,B$9&lt;20/24)</formula>
    </cfRule>
    <cfRule type="expression" dxfId="2887" priority="241">
      <formula>AND(B$9&gt;=8/24,B$9&lt;14/24)</formula>
    </cfRule>
    <cfRule type="expression" dxfId="2886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2885" priority="234">
      <formula>S$9&gt;=20/24</formula>
    </cfRule>
    <cfRule type="expression" dxfId="2884" priority="235">
      <formula>AND(S$9&gt;=14/24,S$9&lt;20/24)</formula>
    </cfRule>
    <cfRule type="expression" dxfId="2883" priority="236">
      <formula>AND(S$9&gt;=8/24,S$9&lt;14/24)</formula>
    </cfRule>
    <cfRule type="expression" dxfId="2882" priority="237">
      <formula>S$9&lt;8/24</formula>
    </cfRule>
  </conditionalFormatting>
  <conditionalFormatting sqref="AG57 B12:W16 S39:AF39 B18:AF18 X11:AF16 B20:AF23 B37:AF37">
    <cfRule type="expression" dxfId="2881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2880" priority="232">
      <formula>$AH11=0</formula>
    </cfRule>
  </conditionalFormatting>
  <conditionalFormatting sqref="A106">
    <cfRule type="expression" dxfId="2879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878" priority="229">
      <formula>$AH37=0</formula>
    </cfRule>
  </conditionalFormatting>
  <conditionalFormatting sqref="A90">
    <cfRule type="expression" dxfId="2877" priority="228">
      <formula>$AH90=0</formula>
    </cfRule>
  </conditionalFormatting>
  <conditionalFormatting sqref="A15">
    <cfRule type="expression" dxfId="2876" priority="227">
      <formula>$AH15=0</formula>
    </cfRule>
  </conditionalFormatting>
  <conditionalFormatting sqref="A188:A193">
    <cfRule type="expression" dxfId="2875" priority="226">
      <formula>$AH188=0</formula>
    </cfRule>
  </conditionalFormatting>
  <conditionalFormatting sqref="A182:A187">
    <cfRule type="expression" dxfId="2874" priority="225">
      <formula>$AH182=0</formula>
    </cfRule>
  </conditionalFormatting>
  <conditionalFormatting sqref="A50">
    <cfRule type="expression" dxfId="2873" priority="224">
      <formula>$AH50=0</formula>
    </cfRule>
  </conditionalFormatting>
  <conditionalFormatting sqref="A86">
    <cfRule type="expression" dxfId="2872" priority="223">
      <formula>$AH86=0</formula>
    </cfRule>
  </conditionalFormatting>
  <conditionalFormatting sqref="C91:AF91">
    <cfRule type="expression" dxfId="2871" priority="219">
      <formula>C$9&gt;=20/24</formula>
    </cfRule>
    <cfRule type="expression" dxfId="2870" priority="220">
      <formula>AND(C$9&gt;=14/24,C$9&lt;20/24)</formula>
    </cfRule>
    <cfRule type="expression" dxfId="2869" priority="221">
      <formula>AND(C$9&gt;=8/24,C$9&lt;14/24)</formula>
    </cfRule>
    <cfRule type="expression" dxfId="2868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867" priority="245">
      <formula>C$9&gt;=20/24</formula>
    </cfRule>
    <cfRule type="expression" dxfId="2866" priority="246">
      <formula>AND(C$9&gt;=14/24,C$9&lt;20/24)</formula>
    </cfRule>
    <cfRule type="expression" dxfId="2865" priority="247">
      <formula>AND(C$9&gt;=8/24,C$9&lt;14/24)</formula>
    </cfRule>
    <cfRule type="expression" dxfId="2864" priority="248">
      <formula>C$9&lt;8/24</formula>
    </cfRule>
  </conditionalFormatting>
  <conditionalFormatting sqref="A225">
    <cfRule type="expression" dxfId="2863" priority="249">
      <formula>$AH225=0</formula>
    </cfRule>
  </conditionalFormatting>
  <conditionalFormatting sqref="AG237">
    <cfRule type="expression" dxfId="2862" priority="250">
      <formula>B$9&gt;=20/24</formula>
    </cfRule>
    <cfRule type="expression" dxfId="2861" priority="251">
      <formula>AND(B$9&gt;=14/24,B$9&lt;20/24)</formula>
    </cfRule>
    <cfRule type="expression" dxfId="2860" priority="252">
      <formula>AND(B$9&gt;=8/24,B$9&lt;14/24)</formula>
    </cfRule>
    <cfRule type="expression" dxfId="2859" priority="253">
      <formula>B$9&lt;8/24</formula>
    </cfRule>
  </conditionalFormatting>
  <conditionalFormatting sqref="S8">
    <cfRule type="expression" dxfId="2858" priority="214">
      <formula>U$9&gt;=20/24</formula>
    </cfRule>
    <cfRule type="expression" dxfId="2857" priority="215">
      <formula>AND(U$9&gt;=14/24,U$9&lt;20/24)</formula>
    </cfRule>
    <cfRule type="expression" dxfId="2856" priority="216">
      <formula>AND(U$9&gt;=8/24,U$9&lt;14/24)</formula>
    </cfRule>
    <cfRule type="expression" dxfId="2855" priority="217">
      <formula>U$9&lt;8/24</formula>
    </cfRule>
  </conditionalFormatting>
  <conditionalFormatting sqref="AB8">
    <cfRule type="expression" dxfId="2854" priority="210">
      <formula>AD$9&gt;=20/24</formula>
    </cfRule>
    <cfRule type="expression" dxfId="2853" priority="211">
      <formula>AND(AD$9&gt;=14/24,AD$9&lt;20/24)</formula>
    </cfRule>
    <cfRule type="expression" dxfId="2852" priority="212">
      <formula>AND(AD$9&gt;=8/24,AD$9&lt;14/24)</formula>
    </cfRule>
    <cfRule type="expression" dxfId="2851" priority="213">
      <formula>AD$9&lt;8/24</formula>
    </cfRule>
  </conditionalFormatting>
  <conditionalFormatting sqref="AH237:AX237">
    <cfRule type="expression" dxfId="2850" priority="254">
      <formula>AG$9&gt;=20/24</formula>
    </cfRule>
    <cfRule type="expression" dxfId="2849" priority="255">
      <formula>AND(AG$9&gt;=14/24,AG$9&lt;20/24)</formula>
    </cfRule>
    <cfRule type="expression" dxfId="2848" priority="256">
      <formula>AND(AG$9&gt;=8/24,AG$9&lt;14/24)</formula>
    </cfRule>
    <cfRule type="expression" dxfId="2847" priority="257">
      <formula>AG$9&lt;8/24</formula>
    </cfRule>
  </conditionalFormatting>
  <conditionalFormatting sqref="T237">
    <cfRule type="expression" dxfId="2846" priority="258">
      <formula>AX$9&gt;=20/24</formula>
    </cfRule>
    <cfRule type="expression" dxfId="2845" priority="259">
      <formula>AND(AX$9&gt;=14/24,AX$9&lt;20/24)</formula>
    </cfRule>
    <cfRule type="expression" dxfId="2844" priority="260">
      <formula>AND(AX$9&gt;=8/24,AX$9&lt;14/24)</formula>
    </cfRule>
    <cfRule type="expression" dxfId="2843" priority="261">
      <formula>AX$9&lt;8/24</formula>
    </cfRule>
  </conditionalFormatting>
  <conditionalFormatting sqref="A107:A108">
    <cfRule type="expression" dxfId="2842" priority="209">
      <formula>$AH107=0</formula>
    </cfRule>
  </conditionalFormatting>
  <conditionalFormatting sqref="E46:P47 Y46:AF47 E63:AF63">
    <cfRule type="expression" dxfId="2841" priority="205">
      <formula>E$9&gt;=20/24</formula>
    </cfRule>
    <cfRule type="expression" dxfId="2840" priority="206">
      <formula>AND(E$9&gt;=14/24,E$9&lt;20/24)</formula>
    </cfRule>
    <cfRule type="expression" dxfId="2839" priority="207">
      <formula>AND(E$9&gt;=8/24,E$9&lt;14/24)</formula>
    </cfRule>
    <cfRule type="expression" dxfId="2838" priority="208">
      <formula>E$9&lt;8/24</formula>
    </cfRule>
  </conditionalFormatting>
  <conditionalFormatting sqref="E45:P45 Y45:AF45">
    <cfRule type="expression" dxfId="2837" priority="201">
      <formula>E$9&gt;=20/24</formula>
    </cfRule>
    <cfRule type="expression" dxfId="2836" priority="202">
      <formula>AND(E$9&gt;=14/24,E$9&lt;20/24)</formula>
    </cfRule>
    <cfRule type="expression" dxfId="2835" priority="203">
      <formula>AND(E$9&gt;=8/24,E$9&lt;14/24)</formula>
    </cfRule>
    <cfRule type="expression" dxfId="2834" priority="204">
      <formula>E$9&lt;8/24</formula>
    </cfRule>
  </conditionalFormatting>
  <conditionalFormatting sqref="E45:P47 Y45:AF47">
    <cfRule type="expression" dxfId="2833" priority="200">
      <formula>E45&gt;$AG45</formula>
    </cfRule>
  </conditionalFormatting>
  <conditionalFormatting sqref="C88:AF88 C78:AF78 X25:Y26 L39:R39 D92:AF98 Y27 E64:AA65 S59:AF61 M75:AF77 X18:AF18 X12:AF14 T38:AF38 Y29:AF29 Z25:AF27 AB64:AF73 Y31:AF34">
    <cfRule type="expression" dxfId="2832" priority="196">
      <formula>C$9&gt;=20/24</formula>
    </cfRule>
    <cfRule type="expression" dxfId="2831" priority="197">
      <formula>AND(C$9&gt;=14/24,C$9&lt;20/24)</formula>
    </cfRule>
    <cfRule type="expression" dxfId="2830" priority="198">
      <formula>AND(C$9&gt;=8/24,C$9&lt;14/24)</formula>
    </cfRule>
    <cfRule type="expression" dxfId="2829" priority="199">
      <formula>C$9&lt;8/24</formula>
    </cfRule>
  </conditionalFormatting>
  <conditionalFormatting sqref="Y35:AF35">
    <cfRule type="expression" dxfId="2828" priority="192">
      <formula>Y$9&gt;=20/24</formula>
    </cfRule>
    <cfRule type="expression" dxfId="2827" priority="193">
      <formula>AND(Y$9&gt;=14/24,Y$9&lt;20/24)</formula>
    </cfRule>
    <cfRule type="expression" dxfId="2826" priority="194">
      <formula>AND(Y$9&gt;=8/24,Y$9&lt;14/24)</formula>
    </cfRule>
    <cfRule type="expression" dxfId="2825" priority="195">
      <formula>Y$9&lt;8/24</formula>
    </cfRule>
  </conditionalFormatting>
  <conditionalFormatting sqref="C57:AF57 X25:Y26 E48:P48 L39:R39 Y27:Y29 S59:AF61 T38:AF38 Z25:AF29 Y31:AF35">
    <cfRule type="expression" dxfId="2824" priority="191">
      <formula>C25&gt;$AG25</formula>
    </cfRule>
  </conditionalFormatting>
  <conditionalFormatting sqref="Y37:AF37">
    <cfRule type="expression" dxfId="2823" priority="187">
      <formula>Y$9&gt;=20/24</formula>
    </cfRule>
    <cfRule type="expression" dxfId="2822" priority="188">
      <formula>AND(Y$9&gt;=14/24,Y$9&lt;20/24)</formula>
    </cfRule>
    <cfRule type="expression" dxfId="2821" priority="189">
      <formula>AND(Y$9&gt;=8/24,Y$9&lt;14/24)</formula>
    </cfRule>
    <cfRule type="expression" dxfId="2820" priority="190">
      <formula>Y$9&lt;8/24</formula>
    </cfRule>
  </conditionalFormatting>
  <conditionalFormatting sqref="X15:AF15">
    <cfRule type="expression" dxfId="2819" priority="183">
      <formula>X$9&gt;=20/24</formula>
    </cfRule>
    <cfRule type="expression" dxfId="2818" priority="184">
      <formula>AND(X$9&gt;=14/24,X$9&lt;20/24)</formula>
    </cfRule>
    <cfRule type="expression" dxfId="2817" priority="185">
      <formula>AND(X$9&gt;=8/24,X$9&lt;14/24)</formula>
    </cfRule>
    <cfRule type="expression" dxfId="2816" priority="186">
      <formula>X$9&lt;8/24</formula>
    </cfRule>
  </conditionalFormatting>
  <conditionalFormatting sqref="Y36:AF36">
    <cfRule type="expression" dxfId="2815" priority="179">
      <formula>Y$9&gt;=20/24</formula>
    </cfRule>
    <cfRule type="expression" dxfId="2814" priority="180">
      <formula>AND(Y$9&gt;=14/24,Y$9&lt;20/24)</formula>
    </cfRule>
    <cfRule type="expression" dxfId="2813" priority="181">
      <formula>AND(Y$9&gt;=8/24,Y$9&lt;14/24)</formula>
    </cfRule>
    <cfRule type="expression" dxfId="2812" priority="182">
      <formula>Y$9&lt;8/24</formula>
    </cfRule>
  </conditionalFormatting>
  <conditionalFormatting sqref="Y36:AF36">
    <cfRule type="expression" dxfId="2811" priority="178">
      <formula>Y36&gt;$AG36</formula>
    </cfRule>
  </conditionalFormatting>
  <conditionalFormatting sqref="Y48:AF49">
    <cfRule type="expression" dxfId="2810" priority="174">
      <formula>Y$9&gt;=20/24</formula>
    </cfRule>
    <cfRule type="expression" dxfId="2809" priority="175">
      <formula>AND(Y$9&gt;=14/24,Y$9&lt;20/24)</formula>
    </cfRule>
    <cfRule type="expression" dxfId="2808" priority="176">
      <formula>AND(Y$9&gt;=8/24,Y$9&lt;14/24)</formula>
    </cfRule>
    <cfRule type="expression" dxfId="2807" priority="177">
      <formula>Y$9&lt;8/24</formula>
    </cfRule>
  </conditionalFormatting>
  <conditionalFormatting sqref="Y48:AF49">
    <cfRule type="expression" dxfId="2806" priority="173">
      <formula>Y48&gt;$AG48</formula>
    </cfRule>
  </conditionalFormatting>
  <conditionalFormatting sqref="Q45:X49 Y50:AF51">
    <cfRule type="expression" dxfId="2805" priority="169">
      <formula>Q$9&gt;=20/24</formula>
    </cfRule>
    <cfRule type="expression" dxfId="2804" priority="170">
      <formula>AND(Q$9&gt;=14/24,Q$9&lt;20/24)</formula>
    </cfRule>
    <cfRule type="expression" dxfId="2803" priority="171">
      <formula>AND(Q$9&gt;=8/24,Q$9&lt;14/24)</formula>
    </cfRule>
    <cfRule type="expression" dxfId="2802" priority="172">
      <formula>Q$9&lt;8/24</formula>
    </cfRule>
  </conditionalFormatting>
  <conditionalFormatting sqref="Q45:X49 Y50:AF51">
    <cfRule type="expression" dxfId="2801" priority="168">
      <formula>Q45&gt;$AG45</formula>
    </cfRule>
  </conditionalFormatting>
  <conditionalFormatting sqref="Y28:AF28">
    <cfRule type="expression" dxfId="2800" priority="164">
      <formula>Y$9&gt;=20/24</formula>
    </cfRule>
    <cfRule type="expression" dxfId="2799" priority="165">
      <formula>AND(Y$9&gt;=14/24,Y$9&lt;20/24)</formula>
    </cfRule>
    <cfRule type="expression" dxfId="2798" priority="166">
      <formula>AND(Y$9&gt;=8/24,Y$9&lt;14/24)</formula>
    </cfRule>
    <cfRule type="expression" dxfId="2797" priority="167">
      <formula>Y$9&lt;8/24</formula>
    </cfRule>
  </conditionalFormatting>
  <conditionalFormatting sqref="Y19:AF19 X24:AF24">
    <cfRule type="expression" dxfId="2796" priority="160">
      <formula>X$9&gt;=20/24</formula>
    </cfRule>
    <cfRule type="expression" dxfId="2795" priority="161">
      <formula>AND(X$9&gt;=14/24,X$9&lt;20/24)</formula>
    </cfRule>
    <cfRule type="expression" dxfId="2794" priority="162">
      <formula>AND(X$9&gt;=8/24,X$9&lt;14/24)</formula>
    </cfRule>
    <cfRule type="expression" dxfId="2793" priority="163">
      <formula>X$9&lt;8/24</formula>
    </cfRule>
  </conditionalFormatting>
  <conditionalFormatting sqref="Y19:AF19 X24:AF24">
    <cfRule type="expression" dxfId="2792" priority="159">
      <formula>X19&gt;$AG19</formula>
    </cfRule>
  </conditionalFormatting>
  <conditionalFormatting sqref="B101 B80:AF80 B89:AF89 B103:B108 B11:W11">
    <cfRule type="expression" dxfId="2791" priority="141">
      <formula>B$9&gt;=20/24</formula>
    </cfRule>
    <cfRule type="expression" dxfId="2790" priority="142">
      <formula>AND(B$9&gt;=14/24,B$9&lt;20/24)</formula>
    </cfRule>
    <cfRule type="expression" dxfId="2789" priority="143">
      <formula>AND(B$9&gt;=8/24,B$9&lt;14/24)</formula>
    </cfRule>
    <cfRule type="expression" dxfId="2788" priority="144">
      <formula>B$9&lt;8/24</formula>
    </cfRule>
  </conditionalFormatting>
  <conditionalFormatting sqref="B39:K39">
    <cfRule type="expression" dxfId="2787" priority="137">
      <formula>B$9&gt;=20/24</formula>
    </cfRule>
    <cfRule type="expression" dxfId="2786" priority="138">
      <formula>AND(B$9&gt;=14/24,B$9&lt;20/24)</formula>
    </cfRule>
    <cfRule type="expression" dxfId="2785" priority="139">
      <formula>AND(B$9&gt;=8/24,B$9&lt;14/24)</formula>
    </cfRule>
    <cfRule type="expression" dxfId="2784" priority="140">
      <formula>B$9&lt;8/24</formula>
    </cfRule>
  </conditionalFormatting>
  <conditionalFormatting sqref="B39:K39 B11:W11">
    <cfRule type="expression" dxfId="2783" priority="136">
      <formula>B11&gt;$AG11</formula>
    </cfRule>
  </conditionalFormatting>
  <conditionalFormatting sqref="B91">
    <cfRule type="expression" dxfId="2782" priority="132">
      <formula>B$9&gt;=20/24</formula>
    </cfRule>
    <cfRule type="expression" dxfId="2781" priority="133">
      <formula>AND(B$9&gt;=14/24,B$9&lt;20/24)</formula>
    </cfRule>
    <cfRule type="expression" dxfId="2780" priority="134">
      <formula>AND(B$9&gt;=8/24,B$9&lt;14/24)</formula>
    </cfRule>
    <cfRule type="expression" dxfId="2779" priority="135">
      <formula>B$9&lt;8/24</formula>
    </cfRule>
  </conditionalFormatting>
  <conditionalFormatting sqref="B63:D63 B46:D47 B38:S38">
    <cfRule type="expression" dxfId="2778" priority="128">
      <formula>B$9&gt;=20/24</formula>
    </cfRule>
    <cfRule type="expression" dxfId="2777" priority="129">
      <formula>AND(B$9&gt;=14/24,B$9&lt;20/24)</formula>
    </cfRule>
    <cfRule type="expression" dxfId="2776" priority="130">
      <formula>AND(B$9&gt;=8/24,B$9&lt;14/24)</formula>
    </cfRule>
    <cfRule type="expression" dxfId="2775" priority="131">
      <formula>B$9&lt;8/24</formula>
    </cfRule>
  </conditionalFormatting>
  <conditionalFormatting sqref="B45:D45">
    <cfRule type="expression" dxfId="2774" priority="124">
      <formula>B$9&gt;=20/24</formula>
    </cfRule>
    <cfRule type="expression" dxfId="2773" priority="125">
      <formula>AND(B$9&gt;=14/24,B$9&lt;20/24)</formula>
    </cfRule>
    <cfRule type="expression" dxfId="2772" priority="126">
      <formula>AND(B$9&gt;=8/24,B$9&lt;14/24)</formula>
    </cfRule>
    <cfRule type="expression" dxfId="2771" priority="127">
      <formula>B$9&lt;8/24</formula>
    </cfRule>
  </conditionalFormatting>
  <conditionalFormatting sqref="B45:D47 B38:S38">
    <cfRule type="expression" dxfId="2770" priority="123">
      <formula>B38&gt;$AG38</formula>
    </cfRule>
  </conditionalFormatting>
  <conditionalFormatting sqref="B59:B62 B75:B79 B81:AF81 B88 C62:AG62 C79:AG79 B90:AF90 B92:C98 B64:D73 C75:L77 C59:R61 B12:W14 B18:W18 B25:W27 B29:X29 X27 B31:X34 E66:AA73">
    <cfRule type="expression" dxfId="2769" priority="119">
      <formula>B$9&gt;=20/24</formula>
    </cfRule>
    <cfRule type="expression" dxfId="2768" priority="120">
      <formula>AND(B$9&gt;=14/24,B$9&lt;20/24)</formula>
    </cfRule>
    <cfRule type="expression" dxfId="2767" priority="121">
      <formula>AND(B$9&gt;=8/24,B$9&lt;14/24)</formula>
    </cfRule>
    <cfRule type="expression" dxfId="2766" priority="122">
      <formula>B$9&lt;8/24</formula>
    </cfRule>
  </conditionalFormatting>
  <conditionalFormatting sqref="B35:X35">
    <cfRule type="expression" dxfId="2765" priority="115">
      <formula>B$9&gt;=20/24</formula>
    </cfRule>
    <cfRule type="expression" dxfId="2764" priority="116">
      <formula>AND(B$9&gt;=14/24,B$9&lt;20/24)</formula>
    </cfRule>
    <cfRule type="expression" dxfId="2763" priority="117">
      <formula>AND(B$9&gt;=8/24,B$9&lt;14/24)</formula>
    </cfRule>
    <cfRule type="expression" dxfId="2762" priority="118">
      <formula>B$9&lt;8/24</formula>
    </cfRule>
  </conditionalFormatting>
  <conditionalFormatting sqref="B57:B62 C58:AG58 C62:AG62 B48:D49 E49:P49 C59:R61 B40:AG40 B25:W29 X27:X29 B31:X35">
    <cfRule type="expression" dxfId="2761" priority="114">
      <formula>B25&gt;$AG25</formula>
    </cfRule>
  </conditionalFormatting>
  <conditionalFormatting sqref="B37:X37">
    <cfRule type="expression" dxfId="2760" priority="110">
      <formula>B$9&gt;=20/24</formula>
    </cfRule>
    <cfRule type="expression" dxfId="2759" priority="111">
      <formula>AND(B$9&gt;=14/24,B$9&lt;20/24)</formula>
    </cfRule>
    <cfRule type="expression" dxfId="2758" priority="112">
      <formula>AND(B$9&gt;=8/24,B$9&lt;14/24)</formula>
    </cfRule>
    <cfRule type="expression" dxfId="2757" priority="113">
      <formula>B$9&lt;8/24</formula>
    </cfRule>
  </conditionalFormatting>
  <conditionalFormatting sqref="B15:W15">
    <cfRule type="expression" dxfId="2756" priority="106">
      <formula>B$9&gt;=20/24</formula>
    </cfRule>
    <cfRule type="expression" dxfId="2755" priority="107">
      <formula>AND(B$9&gt;=14/24,B$9&lt;20/24)</formula>
    </cfRule>
    <cfRule type="expression" dxfId="2754" priority="108">
      <formula>AND(B$9&gt;=8/24,B$9&lt;14/24)</formula>
    </cfRule>
    <cfRule type="expression" dxfId="2753" priority="109">
      <formula>B$9&lt;8/24</formula>
    </cfRule>
  </conditionalFormatting>
  <conditionalFormatting sqref="B36:X36">
    <cfRule type="expression" dxfId="2752" priority="102">
      <formula>B$9&gt;=20/24</formula>
    </cfRule>
    <cfRule type="expression" dxfId="2751" priority="103">
      <formula>AND(B$9&gt;=14/24,B$9&lt;20/24)</formula>
    </cfRule>
    <cfRule type="expression" dxfId="2750" priority="104">
      <formula>AND(B$9&gt;=8/24,B$9&lt;14/24)</formula>
    </cfRule>
    <cfRule type="expression" dxfId="2749" priority="105">
      <formula>B$9&lt;8/24</formula>
    </cfRule>
  </conditionalFormatting>
  <conditionalFormatting sqref="B36:X36">
    <cfRule type="expression" dxfId="2748" priority="101">
      <formula>B36&gt;$AG36</formula>
    </cfRule>
  </conditionalFormatting>
  <conditionalFormatting sqref="B50:X56">
    <cfRule type="expression" dxfId="2747" priority="97">
      <formula>B$9&gt;=20/24</formula>
    </cfRule>
    <cfRule type="expression" dxfId="2746" priority="98">
      <formula>AND(B$9&gt;=14/24,B$9&lt;20/24)</formula>
    </cfRule>
    <cfRule type="expression" dxfId="2745" priority="99">
      <formula>AND(B$9&gt;=8/24,B$9&lt;14/24)</formula>
    </cfRule>
    <cfRule type="expression" dxfId="2744" priority="100">
      <formula>B$9&lt;8/24</formula>
    </cfRule>
  </conditionalFormatting>
  <conditionalFormatting sqref="B50:X56">
    <cfRule type="expression" dxfId="2743" priority="96">
      <formula>B50&gt;$AG50</formula>
    </cfRule>
  </conditionalFormatting>
  <conditionalFormatting sqref="B28:X28">
    <cfRule type="expression" dxfId="2742" priority="92">
      <formula>B$9&gt;=20/24</formula>
    </cfRule>
    <cfRule type="expression" dxfId="2741" priority="93">
      <formula>AND(B$9&gt;=14/24,B$9&lt;20/24)</formula>
    </cfRule>
    <cfRule type="expression" dxfId="2740" priority="94">
      <formula>AND(B$9&gt;=8/24,B$9&lt;14/24)</formula>
    </cfRule>
    <cfRule type="expression" dxfId="2739" priority="95">
      <formula>B$9&lt;8/24</formula>
    </cfRule>
  </conditionalFormatting>
  <conditionalFormatting sqref="B24:W24 B19:X19">
    <cfRule type="expression" dxfId="2738" priority="88">
      <formula>B$9&gt;=20/24</formula>
    </cfRule>
    <cfRule type="expression" dxfId="2737" priority="89">
      <formula>AND(B$9&gt;=14/24,B$9&lt;20/24)</formula>
    </cfRule>
    <cfRule type="expression" dxfId="2736" priority="90">
      <formula>AND(B$9&gt;=8/24,B$9&lt;14/24)</formula>
    </cfRule>
    <cfRule type="expression" dxfId="2735" priority="91">
      <formula>B$9&lt;8/24</formula>
    </cfRule>
  </conditionalFormatting>
  <conditionalFormatting sqref="B24:W24 B19:X19">
    <cfRule type="expression" dxfId="2734" priority="87">
      <formula>B19&gt;$AG19</formula>
    </cfRule>
  </conditionalFormatting>
  <conditionalFormatting sqref="A36">
    <cfRule type="expression" dxfId="2733" priority="86">
      <formula>$AH36=0</formula>
    </cfRule>
  </conditionalFormatting>
  <conditionalFormatting sqref="B74:AF74">
    <cfRule type="expression" dxfId="2732" priority="82">
      <formula>B$9&gt;=20/24</formula>
    </cfRule>
    <cfRule type="expression" dxfId="2731" priority="83">
      <formula>AND(B$9&gt;=14/24,B$9&lt;20/24)</formula>
    </cfRule>
    <cfRule type="expression" dxfId="2730" priority="84">
      <formula>AND(B$9&gt;=8/24,B$9&lt;14/24)</formula>
    </cfRule>
    <cfRule type="expression" dxfId="2729" priority="85">
      <formula>B$9&lt;8/24</formula>
    </cfRule>
  </conditionalFormatting>
  <conditionalFormatting sqref="B83:AF87">
    <cfRule type="expression" dxfId="2728" priority="78">
      <formula>B$9&gt;=20/24</formula>
    </cfRule>
    <cfRule type="expression" dxfId="2727" priority="79">
      <formula>AND(B$9&gt;=14/24,B$9&lt;20/24)</formula>
    </cfRule>
    <cfRule type="expression" dxfId="2726" priority="80">
      <formula>AND(B$9&gt;=8/24,B$9&lt;14/24)</formula>
    </cfRule>
    <cfRule type="expression" dxfId="2725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1:AF43">
    <cfRule type="expression" dxfId="2724" priority="74">
      <formula>C$9&gt;=20/24</formula>
    </cfRule>
    <cfRule type="expression" dxfId="2723" priority="75">
      <formula>AND(C$9&gt;=14/24,C$9&lt;20/24)</formula>
    </cfRule>
    <cfRule type="expression" dxfId="2722" priority="76">
      <formula>AND(C$9&gt;=8/24,C$9&lt;14/24)</formula>
    </cfRule>
    <cfRule type="expression" dxfId="2721" priority="77">
      <formula>C$9&lt;8/24</formula>
    </cfRule>
  </conditionalFormatting>
  <conditionalFormatting sqref="C41:AF43">
    <cfRule type="expression" dxfId="2720" priority="73">
      <formula>C41&gt;$AG41</formula>
    </cfRule>
  </conditionalFormatting>
  <conditionalFormatting sqref="B41:B44 C44:AG44">
    <cfRule type="expression" dxfId="2719" priority="69">
      <formula>B$9&gt;=20/24</formula>
    </cfRule>
    <cfRule type="expression" dxfId="2718" priority="70">
      <formula>AND(B$9&gt;=14/24,B$9&lt;20/24)</formula>
    </cfRule>
    <cfRule type="expression" dxfId="2717" priority="71">
      <formula>AND(B$9&gt;=8/24,B$9&lt;14/24)</formula>
    </cfRule>
    <cfRule type="expression" dxfId="2716" priority="72">
      <formula>B$9&lt;8/24</formula>
    </cfRule>
  </conditionalFormatting>
  <conditionalFormatting sqref="B41:B44 C44:AG44">
    <cfRule type="expression" dxfId="2715" priority="68">
      <formula>B41&gt;$AG41</formula>
    </cfRule>
  </conditionalFormatting>
  <conditionalFormatting sqref="C99:AF99">
    <cfRule type="expression" dxfId="2714" priority="64">
      <formula>C$9&gt;=20/24</formula>
    </cfRule>
    <cfRule type="expression" dxfId="2713" priority="65">
      <formula>AND(C$9&gt;=14/24,C$9&lt;20/24)</formula>
    </cfRule>
    <cfRule type="expression" dxfId="2712" priority="66">
      <formula>AND(C$9&gt;=8/24,C$9&lt;14/24)</formula>
    </cfRule>
    <cfRule type="expression" dxfId="2711" priority="67">
      <formula>C$9&lt;8/24</formula>
    </cfRule>
  </conditionalFormatting>
  <conditionalFormatting sqref="B99">
    <cfRule type="expression" dxfId="2710" priority="60">
      <formula>B$9&gt;=20/24</formula>
    </cfRule>
    <cfRule type="expression" dxfId="2709" priority="61">
      <formula>AND(B$9&gt;=14/24,B$9&lt;20/24)</formula>
    </cfRule>
    <cfRule type="expression" dxfId="2708" priority="62">
      <formula>AND(B$9&gt;=8/24,B$9&lt;14/24)</formula>
    </cfRule>
    <cfRule type="expression" dxfId="2707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2706" priority="54">
      <formula>$AH33=0</formula>
    </cfRule>
  </conditionalFormatting>
  <conditionalFormatting sqref="A82">
    <cfRule type="expression" dxfId="2705" priority="52">
      <formula>$AH82=0</formula>
    </cfRule>
  </conditionalFormatting>
  <conditionalFormatting sqref="A79">
    <cfRule type="expression" dxfId="2704" priority="53">
      <formula>$AH79=0</formula>
    </cfRule>
  </conditionalFormatting>
  <conditionalFormatting sqref="A109">
    <cfRule type="expression" dxfId="2703" priority="43">
      <formula>$AH109=0</formula>
    </cfRule>
  </conditionalFormatting>
  <conditionalFormatting sqref="C102:AF102">
    <cfRule type="expression" dxfId="2702" priority="39">
      <formula>C$9&gt;=20/24</formula>
    </cfRule>
    <cfRule type="expression" dxfId="2701" priority="40">
      <formula>AND(C$9&gt;=14/24,C$9&lt;20/24)</formula>
    </cfRule>
    <cfRule type="expression" dxfId="2700" priority="41">
      <formula>AND(C$9&gt;=8/24,C$9&lt;14/24)</formula>
    </cfRule>
    <cfRule type="expression" dxfId="2699" priority="42">
      <formula>C$9&lt;8/24</formula>
    </cfRule>
  </conditionalFormatting>
  <conditionalFormatting sqref="A102">
    <cfRule type="expression" dxfId="2698" priority="38">
      <formula>$AH102=0</formula>
    </cfRule>
  </conditionalFormatting>
  <conditionalFormatting sqref="B102">
    <cfRule type="expression" dxfId="2697" priority="34">
      <formula>B$9&gt;=20/24</formula>
    </cfRule>
    <cfRule type="expression" dxfId="2696" priority="35">
      <formula>AND(B$9&gt;=14/24,B$9&lt;20/24)</formula>
    </cfRule>
    <cfRule type="expression" dxfId="2695" priority="36">
      <formula>AND(B$9&gt;=8/24,B$9&lt;14/24)</formula>
    </cfRule>
    <cfRule type="expression" dxfId="2694" priority="37">
      <formula>B$9&lt;8/24</formula>
    </cfRule>
  </conditionalFormatting>
  <conditionalFormatting sqref="Y52:AF56">
    <cfRule type="expression" dxfId="2693" priority="30">
      <formula>Y$9&gt;=20/24</formula>
    </cfRule>
    <cfRule type="expression" dxfId="2692" priority="31">
      <formula>AND(Y$9&gt;=14/24,Y$9&lt;20/24)</formula>
    </cfRule>
    <cfRule type="expression" dxfId="2691" priority="32">
      <formula>AND(Y$9&gt;=8/24,Y$9&lt;14/24)</formula>
    </cfRule>
    <cfRule type="expression" dxfId="2690" priority="33">
      <formula>Y$9&lt;8/24</formula>
    </cfRule>
  </conditionalFormatting>
  <conditionalFormatting sqref="Y52:AF56">
    <cfRule type="expression" dxfId="2689" priority="29">
      <formula>Y52&gt;$AG52</formula>
    </cfRule>
  </conditionalFormatting>
  <conditionalFormatting sqref="B17:AF17">
    <cfRule type="expression" dxfId="2688" priority="27">
      <formula>B17&gt;$AG17</formula>
    </cfRule>
  </conditionalFormatting>
  <conditionalFormatting sqref="A17">
    <cfRule type="expression" dxfId="2687" priority="26">
      <formula>$AH17=0</formula>
    </cfRule>
  </conditionalFormatting>
  <conditionalFormatting sqref="X17:AF17">
    <cfRule type="expression" dxfId="2686" priority="22">
      <formula>X$9&gt;=20/24</formula>
    </cfRule>
    <cfRule type="expression" dxfId="2685" priority="23">
      <formula>AND(X$9&gt;=14/24,X$9&lt;20/24)</formula>
    </cfRule>
    <cfRule type="expression" dxfId="2684" priority="24">
      <formula>AND(X$9&gt;=8/24,X$9&lt;14/24)</formula>
    </cfRule>
    <cfRule type="expression" dxfId="2683" priority="25">
      <formula>X$9&lt;8/24</formula>
    </cfRule>
  </conditionalFormatting>
  <conditionalFormatting sqref="B17:W17">
    <cfRule type="expression" dxfId="2682" priority="18">
      <formula>B$9&gt;=20/24</formula>
    </cfRule>
    <cfRule type="expression" dxfId="2681" priority="19">
      <formula>AND(B$9&gt;=14/24,B$9&lt;20/24)</formula>
    </cfRule>
    <cfRule type="expression" dxfId="2680" priority="20">
      <formula>AND(B$9&gt;=8/24,B$9&lt;14/24)</formula>
    </cfRule>
    <cfRule type="expression" dxfId="2679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2678" priority="16">
      <formula>$AH30=0</formula>
    </cfRule>
  </conditionalFormatting>
  <conditionalFormatting sqref="X30:AF30">
    <cfRule type="expression" dxfId="2677" priority="12">
      <formula>X$9&gt;=20/24</formula>
    </cfRule>
    <cfRule type="expression" dxfId="2676" priority="13">
      <formula>AND(X$9&gt;=14/24,X$9&lt;20/24)</formula>
    </cfRule>
    <cfRule type="expression" dxfId="2675" priority="14">
      <formula>AND(X$9&gt;=8/24,X$9&lt;14/24)</formula>
    </cfRule>
    <cfRule type="expression" dxfId="2674" priority="15">
      <formula>X$9&lt;8/24</formula>
    </cfRule>
  </conditionalFormatting>
  <conditionalFormatting sqref="X30:AF30">
    <cfRule type="expression" dxfId="2673" priority="11">
      <formula>X30&gt;$AG30</formula>
    </cfRule>
  </conditionalFormatting>
  <conditionalFormatting sqref="J30:W30">
    <cfRule type="expression" dxfId="2672" priority="7">
      <formula>J$9&gt;=20/24</formula>
    </cfRule>
    <cfRule type="expression" dxfId="2671" priority="8">
      <formula>AND(J$9&gt;=14/24,J$9&lt;20/24)</formula>
    </cfRule>
    <cfRule type="expression" dxfId="2670" priority="9">
      <formula>AND(J$9&gt;=8/24,J$9&lt;14/24)</formula>
    </cfRule>
    <cfRule type="expression" dxfId="2669" priority="10">
      <formula>J$9&lt;8/24</formula>
    </cfRule>
  </conditionalFormatting>
  <conditionalFormatting sqref="J30:W30">
    <cfRule type="expression" dxfId="2668" priority="6">
      <formula>J30&gt;$AG30</formula>
    </cfRule>
  </conditionalFormatting>
  <conditionalFormatting sqref="B30:I30">
    <cfRule type="expression" dxfId="2667" priority="2">
      <formula>B$9&gt;=20/24</formula>
    </cfRule>
    <cfRule type="expression" dxfId="2666" priority="3">
      <formula>AND(B$9&gt;=14/24,B$9&lt;20/24)</formula>
    </cfRule>
    <cfRule type="expression" dxfId="2665" priority="4">
      <formula>AND(B$9&gt;=8/24,B$9&lt;14/24)</formula>
    </cfRule>
    <cfRule type="expression" dxfId="2664" priority="5">
      <formula>B$9&lt;8/24</formula>
    </cfRule>
  </conditionalFormatting>
  <conditionalFormatting sqref="B30:I30">
    <cfRule type="expression" dxfId="2663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3080ECDA-6C30-4DFC-AFC2-A2AD7D45215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2E31A351-FA4E-4109-9495-62C0045ACA38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9ECD8EB4-9671-41D4-AABD-9768E6EF2C2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FEB31FBE-BF45-4A34-94E0-FBD9FBCCDDFA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2864F422-922A-48D0-88C6-FEC55A74671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B1C2ECD0-9629-40AA-BE86-258FB07879E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25A5A77E-5B9B-4E71-B71D-BCAB5C9A17B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7A2DCB7C-0B96-4E14-AEC9-174CA0BC64A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F77508DF-8B39-4206-85BD-F4477FABCBE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D49BBC66-50A8-471C-AAE9-73F37DC0B71A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B9F6EFEC-23CB-425A-A4A7-EA7DBE0B1C4A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C254334E-C8EB-4EEF-B3C4-134FB44B42E4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J270"/>
  <sheetViews>
    <sheetView zoomScale="90" zoomScaleNormal="90" workbookViewId="0">
      <pane xSplit="1" ySplit="10" topLeftCell="B44" activePane="bottomRight" state="frozen"/>
      <selection activeCell="AF88" sqref="AF88"/>
      <selection pane="topRight" activeCell="AF88" sqref="AF88"/>
      <selection pane="bottomLeft" activeCell="AF88" sqref="AF88"/>
      <selection pane="bottomRight" activeCell="X63" sqref="X63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2079/06/27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45.1</v>
      </c>
      <c r="X5" s="148">
        <f t="shared" si="0"/>
        <v>49.4</v>
      </c>
      <c r="Y5" s="148">
        <f t="shared" si="0"/>
        <v>45</v>
      </c>
      <c r="Z5" s="148">
        <f t="shared" si="0"/>
        <v>46.6</v>
      </c>
      <c r="AA5" s="148">
        <f t="shared" si="0"/>
        <v>17.2</v>
      </c>
      <c r="AB5" s="148">
        <f t="shared" si="0"/>
        <v>0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B74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1637MW at 8:00hr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Load=1431</v>
      </c>
      <c r="B7" s="137">
        <f t="shared" ref="B7:AF7" si="1">B81</f>
        <v>1487.64</v>
      </c>
      <c r="C7" s="137">
        <f t="shared" si="1"/>
        <v>1468.04</v>
      </c>
      <c r="D7" s="137">
        <f t="shared" si="1"/>
        <v>1459.9399999999998</v>
      </c>
      <c r="E7" s="137">
        <f t="shared" si="1"/>
        <v>1458.74</v>
      </c>
      <c r="F7" s="137">
        <f t="shared" si="1"/>
        <v>1436.84</v>
      </c>
      <c r="G7" s="137">
        <f t="shared" si="1"/>
        <v>1430.54</v>
      </c>
      <c r="H7" s="137">
        <f t="shared" si="1"/>
        <v>1471.44</v>
      </c>
      <c r="I7" s="137">
        <f t="shared" si="1"/>
        <v>1489.84</v>
      </c>
      <c r="J7" s="137">
        <f t="shared" si="1"/>
        <v>1538.24</v>
      </c>
      <c r="K7" s="137">
        <f t="shared" si="1"/>
        <v>1584.3400000000001</v>
      </c>
      <c r="L7" s="137">
        <f t="shared" si="1"/>
        <v>1599.24</v>
      </c>
      <c r="M7" s="137">
        <f t="shared" si="1"/>
        <v>1636.54</v>
      </c>
      <c r="N7" s="137">
        <f t="shared" si="1"/>
        <v>1617.1399999999999</v>
      </c>
      <c r="O7" s="137">
        <f t="shared" si="1"/>
        <v>1625.1399999999999</v>
      </c>
      <c r="P7" s="137">
        <f t="shared" si="1"/>
        <v>1607.04</v>
      </c>
      <c r="Q7" s="137">
        <f t="shared" si="1"/>
        <v>1615.6399999999999</v>
      </c>
      <c r="R7" s="137">
        <f t="shared" si="1"/>
        <v>1615.6399999999999</v>
      </c>
      <c r="S7" s="137">
        <f t="shared" si="1"/>
        <v>1619.1399999999999</v>
      </c>
      <c r="T7" s="137">
        <f t="shared" si="1"/>
        <v>1614.7399999999998</v>
      </c>
      <c r="U7" s="137">
        <f t="shared" si="1"/>
        <v>1624.1399999999999</v>
      </c>
      <c r="V7" s="137">
        <f t="shared" si="1"/>
        <v>1623.94</v>
      </c>
      <c r="W7" s="137">
        <f t="shared" si="1"/>
        <v>1638.94</v>
      </c>
      <c r="X7" s="137">
        <f t="shared" si="1"/>
        <v>1734.34</v>
      </c>
      <c r="Y7" s="137">
        <f t="shared" si="1"/>
        <v>1733.94</v>
      </c>
      <c r="Z7" s="137">
        <f t="shared" si="1"/>
        <v>1729.54</v>
      </c>
      <c r="AA7" s="137">
        <f t="shared" si="1"/>
        <v>1731.1399999999999</v>
      </c>
      <c r="AB7" s="137">
        <f t="shared" si="1"/>
        <v>1712.44</v>
      </c>
      <c r="AC7" s="137">
        <f t="shared" si="1"/>
        <v>1688.24</v>
      </c>
      <c r="AD7" s="137">
        <f t="shared" si="1"/>
        <v>1666.24</v>
      </c>
      <c r="AE7" s="137">
        <f t="shared" si="1"/>
        <v>1583.9399999999998</v>
      </c>
      <c r="AF7" s="137">
        <f t="shared" si="1"/>
        <v>1553.74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6">
        <v>0.624999999999999</v>
      </c>
      <c r="U9" s="192">
        <v>0.66666666666666496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7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6.5" thickTop="1" thickBot="1" x14ac:dyDescent="0.3">
      <c r="A11" s="97" t="s">
        <v>222</v>
      </c>
      <c r="B11" s="105">
        <v>53.2</v>
      </c>
      <c r="C11" s="105">
        <v>53.2</v>
      </c>
      <c r="D11" s="105">
        <v>53.2</v>
      </c>
      <c r="E11" s="105">
        <v>51</v>
      </c>
      <c r="F11" s="105">
        <v>51</v>
      </c>
      <c r="G11" s="105">
        <v>51</v>
      </c>
      <c r="H11" s="105">
        <v>51</v>
      </c>
      <c r="I11" s="105">
        <v>51</v>
      </c>
      <c r="J11" s="105">
        <v>51</v>
      </c>
      <c r="K11" s="105">
        <v>51</v>
      </c>
      <c r="L11" s="105">
        <v>51</v>
      </c>
      <c r="M11" s="105">
        <v>53.3</v>
      </c>
      <c r="N11" s="105">
        <v>53.3</v>
      </c>
      <c r="O11" s="105">
        <v>53.3</v>
      </c>
      <c r="P11" s="105">
        <v>53.3</v>
      </c>
      <c r="Q11" s="105">
        <v>53.3</v>
      </c>
      <c r="R11" s="105">
        <v>53.3</v>
      </c>
      <c r="S11" s="105">
        <v>53.2</v>
      </c>
      <c r="T11" s="77">
        <v>53.2</v>
      </c>
      <c r="U11" s="77">
        <v>53.2</v>
      </c>
      <c r="V11" s="77">
        <v>53.3</v>
      </c>
      <c r="W11" s="77">
        <v>53.3</v>
      </c>
      <c r="X11" s="77">
        <v>53.3</v>
      </c>
      <c r="Y11" s="77">
        <v>53.4</v>
      </c>
      <c r="Z11" s="77">
        <v>53.4</v>
      </c>
      <c r="AA11" s="77">
        <v>53.4</v>
      </c>
      <c r="AB11" s="77">
        <v>53.4</v>
      </c>
      <c r="AC11" s="77">
        <v>53.4</v>
      </c>
      <c r="AD11" s="77">
        <v>53.4</v>
      </c>
      <c r="AE11" s="77">
        <v>53.4</v>
      </c>
      <c r="AF11" s="77">
        <v>53.4</v>
      </c>
      <c r="AG11" s="127">
        <v>52.4</v>
      </c>
      <c r="AH11" s="20">
        <f>MAX(B11:AF11)</f>
        <v>53.4</v>
      </c>
      <c r="AI11" s="19">
        <f>MIN(B11:AF11)</f>
        <v>51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ht="15.75" thickBot="1" x14ac:dyDescent="0.3">
      <c r="A12" s="97" t="s">
        <v>221</v>
      </c>
      <c r="B12" s="105">
        <v>50</v>
      </c>
      <c r="C12" s="105">
        <v>50</v>
      </c>
      <c r="D12" s="105">
        <v>50</v>
      </c>
      <c r="E12" s="105">
        <v>50</v>
      </c>
      <c r="F12" s="105">
        <v>50</v>
      </c>
      <c r="G12" s="105">
        <v>50</v>
      </c>
      <c r="H12" s="105">
        <v>50</v>
      </c>
      <c r="I12" s="105">
        <v>50</v>
      </c>
      <c r="J12" s="105">
        <v>50</v>
      </c>
      <c r="K12" s="105">
        <v>50</v>
      </c>
      <c r="L12" s="105">
        <v>50</v>
      </c>
      <c r="M12" s="105">
        <v>50.4</v>
      </c>
      <c r="N12" s="105">
        <v>50.4</v>
      </c>
      <c r="O12" s="105">
        <v>50.4</v>
      </c>
      <c r="P12" s="105">
        <v>50.4</v>
      </c>
      <c r="Q12" s="105">
        <v>50.4</v>
      </c>
      <c r="R12" s="105">
        <v>50.4</v>
      </c>
      <c r="S12" s="105">
        <v>50.2</v>
      </c>
      <c r="T12" s="77">
        <v>50.1</v>
      </c>
      <c r="U12" s="77">
        <v>50.4</v>
      </c>
      <c r="V12" s="77">
        <v>50.1</v>
      </c>
      <c r="W12" s="77">
        <v>50.1</v>
      </c>
      <c r="X12" s="77">
        <v>50.1</v>
      </c>
      <c r="Y12" s="77">
        <v>50.3</v>
      </c>
      <c r="Z12" s="77">
        <v>50.3</v>
      </c>
      <c r="AA12" s="77">
        <v>50.3</v>
      </c>
      <c r="AB12" s="77">
        <v>50.3</v>
      </c>
      <c r="AC12" s="77">
        <v>50.3</v>
      </c>
      <c r="AD12" s="77">
        <v>50.3</v>
      </c>
      <c r="AE12" s="77">
        <v>50.3</v>
      </c>
      <c r="AF12" s="77">
        <v>50.3</v>
      </c>
      <c r="AG12" s="126">
        <v>50</v>
      </c>
      <c r="AH12" s="20">
        <f t="shared" ref="AH12:AH75" si="2">MAX(B12:AF12)</f>
        <v>50.4</v>
      </c>
      <c r="AI12" s="19">
        <f t="shared" ref="AI12:AI75" si="3">MIN(B12:AF12)</f>
        <v>50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ht="15.75" thickBot="1" x14ac:dyDescent="0.3">
      <c r="A13" s="97" t="s">
        <v>220</v>
      </c>
      <c r="B13" s="105">
        <v>46.1</v>
      </c>
      <c r="C13" s="105">
        <v>46.1</v>
      </c>
      <c r="D13" s="105">
        <v>46.1</v>
      </c>
      <c r="E13" s="105">
        <v>46.1</v>
      </c>
      <c r="F13" s="105">
        <v>46.1</v>
      </c>
      <c r="G13" s="105">
        <v>46.1</v>
      </c>
      <c r="H13" s="105">
        <v>46.1</v>
      </c>
      <c r="I13" s="105">
        <v>46.1</v>
      </c>
      <c r="J13" s="105">
        <v>46.1</v>
      </c>
      <c r="K13" s="105">
        <v>46.1</v>
      </c>
      <c r="L13" s="105">
        <v>46.1</v>
      </c>
      <c r="M13" s="105">
        <v>46.1</v>
      </c>
      <c r="N13" s="105">
        <v>46.1</v>
      </c>
      <c r="O13" s="105">
        <v>46.1</v>
      </c>
      <c r="P13" s="105">
        <v>36</v>
      </c>
      <c r="Q13" s="105">
        <v>36</v>
      </c>
      <c r="R13" s="105">
        <v>36</v>
      </c>
      <c r="S13" s="105">
        <v>46</v>
      </c>
      <c r="T13" s="77">
        <v>46.1</v>
      </c>
      <c r="U13" s="77">
        <v>46</v>
      </c>
      <c r="V13" s="77">
        <v>46</v>
      </c>
      <c r="W13" s="77">
        <v>46</v>
      </c>
      <c r="X13" s="77">
        <v>46</v>
      </c>
      <c r="Y13" s="77">
        <v>46</v>
      </c>
      <c r="Z13" s="77">
        <v>46</v>
      </c>
      <c r="AA13" s="77">
        <v>46</v>
      </c>
      <c r="AB13" s="77">
        <v>46</v>
      </c>
      <c r="AC13" s="77">
        <v>46</v>
      </c>
      <c r="AD13" s="77">
        <v>46</v>
      </c>
      <c r="AE13" s="77">
        <v>46</v>
      </c>
      <c r="AF13" s="77">
        <v>46</v>
      </c>
      <c r="AG13" s="126">
        <v>45</v>
      </c>
      <c r="AH13" s="20">
        <f t="shared" si="2"/>
        <v>46.1</v>
      </c>
      <c r="AI13" s="19">
        <f t="shared" si="3"/>
        <v>36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ht="15.75" thickBot="1" x14ac:dyDescent="0.3">
      <c r="A14" s="97" t="s">
        <v>219</v>
      </c>
      <c r="B14" s="105">
        <v>26</v>
      </c>
      <c r="C14" s="105">
        <v>26</v>
      </c>
      <c r="D14" s="105">
        <v>26</v>
      </c>
      <c r="E14" s="105">
        <v>26</v>
      </c>
      <c r="F14" s="105">
        <v>24</v>
      </c>
      <c r="G14" s="105">
        <v>24</v>
      </c>
      <c r="H14" s="105">
        <v>24</v>
      </c>
      <c r="I14" s="105">
        <v>24</v>
      </c>
      <c r="J14" s="105">
        <v>27</v>
      </c>
      <c r="K14" s="105">
        <v>27</v>
      </c>
      <c r="L14" s="105">
        <v>27</v>
      </c>
      <c r="M14" s="105">
        <v>28</v>
      </c>
      <c r="N14" s="105">
        <v>20</v>
      </c>
      <c r="O14" s="105">
        <v>28</v>
      </c>
      <c r="P14" s="105">
        <v>20</v>
      </c>
      <c r="Q14" s="105">
        <v>28</v>
      </c>
      <c r="R14" s="105">
        <v>28</v>
      </c>
      <c r="S14" s="105">
        <v>28</v>
      </c>
      <c r="T14" s="77">
        <v>28</v>
      </c>
      <c r="U14" s="77">
        <v>28</v>
      </c>
      <c r="V14" s="77">
        <v>28</v>
      </c>
      <c r="W14" s="77">
        <v>28</v>
      </c>
      <c r="X14" s="77">
        <v>35</v>
      </c>
      <c r="Y14" s="77">
        <v>30</v>
      </c>
      <c r="Z14" s="77">
        <v>30</v>
      </c>
      <c r="AA14" s="77">
        <v>30</v>
      </c>
      <c r="AB14" s="77">
        <v>35</v>
      </c>
      <c r="AC14" s="105">
        <v>40</v>
      </c>
      <c r="AD14" s="105">
        <v>35</v>
      </c>
      <c r="AE14" s="105">
        <v>28</v>
      </c>
      <c r="AF14" s="105">
        <v>28</v>
      </c>
      <c r="AG14" s="126">
        <v>42</v>
      </c>
      <c r="AH14" s="20">
        <f t="shared" si="2"/>
        <v>40</v>
      </c>
      <c r="AI14" s="19">
        <f t="shared" si="3"/>
        <v>20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10</v>
      </c>
      <c r="N15" s="105">
        <v>10</v>
      </c>
      <c r="O15" s="105">
        <v>10</v>
      </c>
      <c r="P15" s="105">
        <v>10</v>
      </c>
      <c r="Q15" s="105">
        <v>10</v>
      </c>
      <c r="R15" s="105">
        <v>10</v>
      </c>
      <c r="S15" s="105">
        <v>0</v>
      </c>
      <c r="T15" s="105">
        <v>0</v>
      </c>
      <c r="U15" s="105">
        <v>0</v>
      </c>
      <c r="V15" s="105">
        <v>0</v>
      </c>
      <c r="W15" s="105">
        <v>15</v>
      </c>
      <c r="X15" s="105">
        <v>30</v>
      </c>
      <c r="Y15" s="105">
        <v>30</v>
      </c>
      <c r="Z15" s="105">
        <v>30</v>
      </c>
      <c r="AA15" s="105">
        <v>30</v>
      </c>
      <c r="AB15" s="105">
        <v>30</v>
      </c>
      <c r="AC15" s="105">
        <v>20</v>
      </c>
      <c r="AD15" s="105">
        <v>10</v>
      </c>
      <c r="AE15" s="105">
        <v>0</v>
      </c>
      <c r="AF15" s="105">
        <v>0</v>
      </c>
      <c r="AG15" s="96">
        <v>30</v>
      </c>
      <c r="AH15" s="20">
        <f t="shared" si="2"/>
        <v>30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15.4</v>
      </c>
      <c r="C16" s="105">
        <v>15.4</v>
      </c>
      <c r="D16" s="105">
        <v>15.5</v>
      </c>
      <c r="E16" s="105">
        <v>15.5</v>
      </c>
      <c r="F16" s="105">
        <v>15.5</v>
      </c>
      <c r="G16" s="105">
        <v>15.5</v>
      </c>
      <c r="H16" s="105">
        <v>15.5</v>
      </c>
      <c r="I16" s="105">
        <v>15.5</v>
      </c>
      <c r="J16" s="105">
        <v>24</v>
      </c>
      <c r="K16" s="105">
        <v>24</v>
      </c>
      <c r="L16" s="105">
        <v>24</v>
      </c>
      <c r="M16" s="105">
        <v>24.8</v>
      </c>
      <c r="N16" s="105">
        <v>25</v>
      </c>
      <c r="O16" s="105">
        <v>25</v>
      </c>
      <c r="P16" s="105">
        <v>25</v>
      </c>
      <c r="Q16" s="105">
        <v>25</v>
      </c>
      <c r="R16" s="105">
        <v>25</v>
      </c>
      <c r="S16" s="105">
        <v>33.4</v>
      </c>
      <c r="T16" s="105">
        <v>33.4</v>
      </c>
      <c r="U16" s="105">
        <v>33.200000000000003</v>
      </c>
      <c r="V16" s="105">
        <v>33.200000000000003</v>
      </c>
      <c r="W16" s="105">
        <v>33.200000000000003</v>
      </c>
      <c r="X16" s="105">
        <v>33.200000000000003</v>
      </c>
      <c r="Y16" s="105">
        <v>33.200000000000003</v>
      </c>
      <c r="Z16" s="105">
        <v>33.200000000000003</v>
      </c>
      <c r="AA16" s="105">
        <v>33.200000000000003</v>
      </c>
      <c r="AB16" s="105">
        <v>33.200000000000003</v>
      </c>
      <c r="AC16" s="105">
        <v>33.200000000000003</v>
      </c>
      <c r="AD16" s="105">
        <v>33.200000000000003</v>
      </c>
      <c r="AE16" s="105">
        <v>25.4</v>
      </c>
      <c r="AF16" s="105">
        <v>25.4</v>
      </c>
      <c r="AG16" s="126">
        <v>24.2</v>
      </c>
      <c r="AH16" s="20">
        <f t="shared" si="2"/>
        <v>33.4</v>
      </c>
      <c r="AI16" s="19">
        <f t="shared" si="3"/>
        <v>15.4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0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4</v>
      </c>
      <c r="M17" s="105">
        <v>9</v>
      </c>
      <c r="N17" s="105">
        <v>9</v>
      </c>
      <c r="O17" s="105">
        <v>9</v>
      </c>
      <c r="P17" s="105">
        <v>9</v>
      </c>
      <c r="Q17" s="105">
        <v>9</v>
      </c>
      <c r="R17" s="105">
        <v>9</v>
      </c>
      <c r="S17" s="105">
        <v>9</v>
      </c>
      <c r="T17" s="105">
        <v>9</v>
      </c>
      <c r="U17" s="105">
        <v>9</v>
      </c>
      <c r="V17" s="105">
        <v>9</v>
      </c>
      <c r="W17" s="105">
        <v>9</v>
      </c>
      <c r="X17" s="105">
        <v>27</v>
      </c>
      <c r="Y17" s="105">
        <v>27</v>
      </c>
      <c r="Z17" s="105">
        <v>27</v>
      </c>
      <c r="AA17" s="105">
        <v>27</v>
      </c>
      <c r="AB17" s="105">
        <v>27</v>
      </c>
      <c r="AC17" s="105">
        <v>20</v>
      </c>
      <c r="AD17" s="105">
        <v>20</v>
      </c>
      <c r="AE17" s="105">
        <v>0</v>
      </c>
      <c r="AF17" s="105">
        <v>0</v>
      </c>
      <c r="AG17" s="96">
        <v>30</v>
      </c>
      <c r="AH17" s="20">
        <f t="shared" si="2"/>
        <v>27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20.8</v>
      </c>
      <c r="C18" s="105">
        <v>20.8</v>
      </c>
      <c r="D18" s="105">
        <v>20.8</v>
      </c>
      <c r="E18" s="105">
        <v>20.8</v>
      </c>
      <c r="F18" s="105">
        <v>20.8</v>
      </c>
      <c r="G18" s="105">
        <v>20.8</v>
      </c>
      <c r="H18" s="105">
        <v>20.8</v>
      </c>
      <c r="I18" s="105">
        <v>20.8</v>
      </c>
      <c r="J18" s="105">
        <v>25</v>
      </c>
      <c r="K18" s="105">
        <v>25</v>
      </c>
      <c r="L18" s="105">
        <v>25</v>
      </c>
      <c r="M18" s="105">
        <v>25</v>
      </c>
      <c r="N18" s="105">
        <v>25</v>
      </c>
      <c r="O18" s="105">
        <v>25</v>
      </c>
      <c r="P18" s="105">
        <v>25</v>
      </c>
      <c r="Q18" s="105">
        <v>25</v>
      </c>
      <c r="R18" s="105">
        <v>25</v>
      </c>
      <c r="S18" s="105">
        <v>20.399999999999999</v>
      </c>
      <c r="T18" s="105">
        <v>20.6</v>
      </c>
      <c r="U18" s="105">
        <v>25</v>
      </c>
      <c r="V18" s="105">
        <v>25</v>
      </c>
      <c r="W18" s="105">
        <v>25</v>
      </c>
      <c r="X18" s="105">
        <v>25</v>
      </c>
      <c r="Y18" s="105">
        <v>25</v>
      </c>
      <c r="Z18" s="105">
        <v>25</v>
      </c>
      <c r="AA18" s="105">
        <v>25</v>
      </c>
      <c r="AB18" s="105">
        <v>26.2</v>
      </c>
      <c r="AC18" s="105">
        <v>26.2</v>
      </c>
      <c r="AD18" s="105">
        <v>26.2</v>
      </c>
      <c r="AE18" s="105">
        <v>25.1</v>
      </c>
      <c r="AF18" s="105">
        <v>20.8</v>
      </c>
      <c r="AG18" s="126">
        <v>25</v>
      </c>
      <c r="AH18" s="20">
        <f t="shared" si="2"/>
        <v>26.2</v>
      </c>
      <c r="AI18" s="19">
        <f t="shared" si="3"/>
        <v>20.399999999999999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20</v>
      </c>
      <c r="C19" s="105">
        <v>20</v>
      </c>
      <c r="D19" s="105">
        <v>20</v>
      </c>
      <c r="E19" s="105">
        <v>20</v>
      </c>
      <c r="F19" s="105">
        <v>20</v>
      </c>
      <c r="G19" s="105">
        <v>20</v>
      </c>
      <c r="H19" s="105">
        <v>20</v>
      </c>
      <c r="I19" s="105">
        <v>0</v>
      </c>
      <c r="J19" s="105">
        <v>0</v>
      </c>
      <c r="K19" s="105">
        <v>25</v>
      </c>
      <c r="L19" s="105">
        <v>25</v>
      </c>
      <c r="M19" s="105">
        <v>25</v>
      </c>
      <c r="N19" s="105">
        <v>25</v>
      </c>
      <c r="O19" s="105">
        <v>25</v>
      </c>
      <c r="P19" s="105">
        <v>25</v>
      </c>
      <c r="Q19" s="105">
        <v>25</v>
      </c>
      <c r="R19" s="105">
        <v>25</v>
      </c>
      <c r="S19" s="105">
        <v>25</v>
      </c>
      <c r="T19" s="105">
        <v>25</v>
      </c>
      <c r="U19" s="105">
        <v>25</v>
      </c>
      <c r="V19" s="105">
        <v>25</v>
      </c>
      <c r="W19" s="105">
        <v>25</v>
      </c>
      <c r="X19" s="105">
        <v>25</v>
      </c>
      <c r="Y19" s="105">
        <v>25</v>
      </c>
      <c r="Z19" s="105">
        <v>25</v>
      </c>
      <c r="AA19" s="105">
        <v>25</v>
      </c>
      <c r="AB19" s="105">
        <v>25</v>
      </c>
      <c r="AC19" s="105">
        <v>25</v>
      </c>
      <c r="AD19" s="105">
        <v>25</v>
      </c>
      <c r="AE19" s="105">
        <v>0</v>
      </c>
      <c r="AF19" s="105">
        <v>25</v>
      </c>
      <c r="AG19" s="126">
        <v>25</v>
      </c>
      <c r="AH19" s="20">
        <f t="shared" si="2"/>
        <v>25</v>
      </c>
      <c r="AI19" s="19">
        <f t="shared" si="3"/>
        <v>0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25</v>
      </c>
      <c r="C20" s="105">
        <v>25</v>
      </c>
      <c r="D20" s="105">
        <v>25</v>
      </c>
      <c r="E20" s="105">
        <v>20</v>
      </c>
      <c r="F20" s="105">
        <v>15</v>
      </c>
      <c r="G20" s="105">
        <v>15</v>
      </c>
      <c r="H20" s="105">
        <v>15</v>
      </c>
      <c r="I20" s="105">
        <v>15</v>
      </c>
      <c r="J20" s="105">
        <v>15</v>
      </c>
      <c r="K20" s="105">
        <v>24</v>
      </c>
      <c r="L20" s="105">
        <v>24</v>
      </c>
      <c r="M20" s="105">
        <v>25</v>
      </c>
      <c r="N20" s="105">
        <v>25</v>
      </c>
      <c r="O20" s="105">
        <v>25</v>
      </c>
      <c r="P20" s="105">
        <v>25</v>
      </c>
      <c r="Q20" s="105">
        <v>25</v>
      </c>
      <c r="R20" s="105">
        <v>25</v>
      </c>
      <c r="S20" s="105">
        <v>25</v>
      </c>
      <c r="T20" s="105">
        <v>25</v>
      </c>
      <c r="U20" s="105">
        <v>25</v>
      </c>
      <c r="V20" s="105">
        <v>25</v>
      </c>
      <c r="W20" s="105">
        <v>25</v>
      </c>
      <c r="X20" s="105">
        <v>25</v>
      </c>
      <c r="Y20" s="105">
        <v>25</v>
      </c>
      <c r="Z20" s="105">
        <v>25</v>
      </c>
      <c r="AA20" s="105">
        <v>25</v>
      </c>
      <c r="AB20" s="105">
        <v>25</v>
      </c>
      <c r="AC20" s="105">
        <v>25</v>
      </c>
      <c r="AD20" s="105">
        <v>25</v>
      </c>
      <c r="AE20" s="105">
        <v>25</v>
      </c>
      <c r="AF20" s="105">
        <v>25</v>
      </c>
      <c r="AG20" s="126">
        <v>25</v>
      </c>
      <c r="AH20" s="20">
        <f t="shared" si="2"/>
        <v>25</v>
      </c>
      <c r="AI20" s="19">
        <f t="shared" si="3"/>
        <v>15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20.399999999999999</v>
      </c>
      <c r="C21" s="105">
        <v>20.399999999999999</v>
      </c>
      <c r="D21" s="105">
        <v>20.399999999999999</v>
      </c>
      <c r="E21" s="105">
        <v>20.399999999999999</v>
      </c>
      <c r="F21" s="105">
        <v>20.399999999999999</v>
      </c>
      <c r="G21" s="105">
        <v>20.399999999999999</v>
      </c>
      <c r="H21" s="105">
        <v>20.399999999999999</v>
      </c>
      <c r="I21" s="105">
        <v>20.399999999999999</v>
      </c>
      <c r="J21" s="105">
        <v>20.399999999999999</v>
      </c>
      <c r="K21" s="105">
        <v>23.5</v>
      </c>
      <c r="L21" s="105">
        <v>23.5</v>
      </c>
      <c r="M21" s="105">
        <v>23.7</v>
      </c>
      <c r="N21" s="105">
        <v>23.7</v>
      </c>
      <c r="O21" s="105">
        <v>23.7</v>
      </c>
      <c r="P21" s="105">
        <v>23.7</v>
      </c>
      <c r="Q21" s="105">
        <v>23.7</v>
      </c>
      <c r="R21" s="105">
        <v>23.7</v>
      </c>
      <c r="S21" s="105">
        <v>23.7</v>
      </c>
      <c r="T21" s="105">
        <v>23.7</v>
      </c>
      <c r="U21" s="105">
        <v>23.7</v>
      </c>
      <c r="V21" s="105">
        <v>23.7</v>
      </c>
      <c r="W21" s="105">
        <v>23.7</v>
      </c>
      <c r="X21" s="105">
        <v>23.7</v>
      </c>
      <c r="Y21" s="105">
        <v>23.7</v>
      </c>
      <c r="Z21" s="105">
        <v>23.7</v>
      </c>
      <c r="AA21" s="105">
        <v>23.7</v>
      </c>
      <c r="AB21" s="105">
        <v>23.7</v>
      </c>
      <c r="AC21" s="105">
        <v>23.7</v>
      </c>
      <c r="AD21" s="105">
        <v>23.7</v>
      </c>
      <c r="AE21" s="105">
        <v>23.7</v>
      </c>
      <c r="AF21" s="105">
        <v>23.7</v>
      </c>
      <c r="AG21" s="126">
        <v>23.5</v>
      </c>
      <c r="AH21" s="20">
        <f t="shared" si="2"/>
        <v>23.7</v>
      </c>
      <c r="AI21" s="19">
        <f t="shared" si="3"/>
        <v>20.399999999999999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22</v>
      </c>
      <c r="C22" s="105">
        <v>22</v>
      </c>
      <c r="D22" s="105">
        <v>22</v>
      </c>
      <c r="E22" s="105">
        <v>22</v>
      </c>
      <c r="F22" s="105">
        <v>22</v>
      </c>
      <c r="G22" s="105">
        <v>22</v>
      </c>
      <c r="H22" s="105">
        <v>22</v>
      </c>
      <c r="I22" s="105">
        <v>22</v>
      </c>
      <c r="J22" s="105">
        <v>22</v>
      </c>
      <c r="K22" s="105">
        <v>22</v>
      </c>
      <c r="L22" s="105">
        <v>22</v>
      </c>
      <c r="M22" s="105">
        <v>22</v>
      </c>
      <c r="N22" s="105">
        <v>22</v>
      </c>
      <c r="O22" s="105">
        <v>22</v>
      </c>
      <c r="P22" s="105">
        <v>22</v>
      </c>
      <c r="Q22" s="105">
        <v>22</v>
      </c>
      <c r="R22" s="105">
        <v>22</v>
      </c>
      <c r="S22" s="105">
        <v>22</v>
      </c>
      <c r="T22" s="105">
        <v>22</v>
      </c>
      <c r="U22" s="105">
        <v>22</v>
      </c>
      <c r="V22" s="105">
        <v>22</v>
      </c>
      <c r="W22" s="105">
        <v>22</v>
      </c>
      <c r="X22" s="105">
        <v>22</v>
      </c>
      <c r="Y22" s="105">
        <v>22</v>
      </c>
      <c r="Z22" s="105">
        <v>22</v>
      </c>
      <c r="AA22" s="105">
        <v>22</v>
      </c>
      <c r="AB22" s="105">
        <v>22</v>
      </c>
      <c r="AC22" s="105">
        <v>22</v>
      </c>
      <c r="AD22" s="105">
        <v>22</v>
      </c>
      <c r="AE22" s="105">
        <v>22</v>
      </c>
      <c r="AF22" s="105">
        <v>22</v>
      </c>
      <c r="AG22" s="126">
        <v>22.2</v>
      </c>
      <c r="AH22" s="20">
        <f t="shared" si="2"/>
        <v>22</v>
      </c>
      <c r="AI22" s="19">
        <f t="shared" si="3"/>
        <v>22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19</v>
      </c>
      <c r="C23" s="105">
        <v>19</v>
      </c>
      <c r="D23" s="105">
        <v>19</v>
      </c>
      <c r="E23" s="105">
        <v>19</v>
      </c>
      <c r="F23" s="105">
        <v>19</v>
      </c>
      <c r="G23" s="105">
        <v>19</v>
      </c>
      <c r="H23" s="105">
        <v>19</v>
      </c>
      <c r="I23" s="105">
        <v>19</v>
      </c>
      <c r="J23" s="105">
        <v>19</v>
      </c>
      <c r="K23" s="105">
        <v>19</v>
      </c>
      <c r="L23" s="105">
        <v>22</v>
      </c>
      <c r="M23" s="105">
        <v>22</v>
      </c>
      <c r="N23" s="105">
        <v>22</v>
      </c>
      <c r="O23" s="105">
        <v>22</v>
      </c>
      <c r="P23" s="105">
        <v>22</v>
      </c>
      <c r="Q23" s="105">
        <v>22</v>
      </c>
      <c r="R23" s="105">
        <v>22</v>
      </c>
      <c r="S23" s="105">
        <v>22</v>
      </c>
      <c r="T23" s="105">
        <v>22</v>
      </c>
      <c r="U23" s="105">
        <v>22</v>
      </c>
      <c r="V23" s="105">
        <v>22</v>
      </c>
      <c r="W23" s="105">
        <v>22</v>
      </c>
      <c r="X23" s="105">
        <v>22</v>
      </c>
      <c r="Y23" s="105">
        <v>22</v>
      </c>
      <c r="Z23" s="105">
        <v>22</v>
      </c>
      <c r="AA23" s="105">
        <v>22</v>
      </c>
      <c r="AB23" s="105">
        <v>22</v>
      </c>
      <c r="AC23" s="105">
        <v>22</v>
      </c>
      <c r="AD23" s="105">
        <v>22</v>
      </c>
      <c r="AE23" s="105">
        <v>19</v>
      </c>
      <c r="AF23" s="105">
        <v>19</v>
      </c>
      <c r="AG23" s="126">
        <v>22.1</v>
      </c>
      <c r="AH23" s="20">
        <f t="shared" si="2"/>
        <v>22</v>
      </c>
      <c r="AI23" s="19">
        <f t="shared" si="3"/>
        <v>19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18</v>
      </c>
      <c r="C24" s="105">
        <v>18</v>
      </c>
      <c r="D24" s="105">
        <v>18</v>
      </c>
      <c r="E24" s="105">
        <v>18</v>
      </c>
      <c r="F24" s="105">
        <v>18</v>
      </c>
      <c r="G24" s="105">
        <v>18</v>
      </c>
      <c r="H24" s="105">
        <v>18</v>
      </c>
      <c r="I24" s="105">
        <v>18</v>
      </c>
      <c r="J24" s="105">
        <v>18</v>
      </c>
      <c r="K24" s="105">
        <v>22</v>
      </c>
      <c r="L24" s="105">
        <v>22</v>
      </c>
      <c r="M24" s="105">
        <v>22</v>
      </c>
      <c r="N24" s="105">
        <v>22</v>
      </c>
      <c r="O24" s="105">
        <v>22</v>
      </c>
      <c r="P24" s="105">
        <v>22</v>
      </c>
      <c r="Q24" s="105">
        <v>22</v>
      </c>
      <c r="R24" s="105">
        <v>22</v>
      </c>
      <c r="S24" s="105">
        <v>22</v>
      </c>
      <c r="T24" s="105">
        <v>22</v>
      </c>
      <c r="U24" s="105">
        <v>22</v>
      </c>
      <c r="V24" s="105">
        <v>22</v>
      </c>
      <c r="W24" s="105">
        <v>22</v>
      </c>
      <c r="X24" s="105">
        <v>22</v>
      </c>
      <c r="Y24" s="105">
        <v>22</v>
      </c>
      <c r="Z24" s="105">
        <v>22</v>
      </c>
      <c r="AA24" s="105">
        <v>22</v>
      </c>
      <c r="AB24" s="105">
        <v>22</v>
      </c>
      <c r="AC24" s="105">
        <v>22</v>
      </c>
      <c r="AD24" s="105">
        <v>22</v>
      </c>
      <c r="AE24" s="105">
        <v>22</v>
      </c>
      <c r="AF24" s="105">
        <v>22</v>
      </c>
      <c r="AG24" s="126">
        <v>22</v>
      </c>
      <c r="AH24" s="20">
        <f t="shared" si="2"/>
        <v>22</v>
      </c>
      <c r="AI24" s="19">
        <f t="shared" si="3"/>
        <v>18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20</v>
      </c>
      <c r="C25" s="105">
        <v>20</v>
      </c>
      <c r="D25" s="105">
        <v>20</v>
      </c>
      <c r="E25" s="105">
        <v>20</v>
      </c>
      <c r="F25" s="105">
        <v>17</v>
      </c>
      <c r="G25" s="105">
        <v>17</v>
      </c>
      <c r="H25" s="105">
        <v>17</v>
      </c>
      <c r="I25" s="105">
        <v>17</v>
      </c>
      <c r="J25" s="105">
        <v>17</v>
      </c>
      <c r="K25" s="105">
        <v>22</v>
      </c>
      <c r="L25" s="105">
        <v>22</v>
      </c>
      <c r="M25" s="105">
        <v>22</v>
      </c>
      <c r="N25" s="105">
        <v>22</v>
      </c>
      <c r="O25" s="105">
        <v>22</v>
      </c>
      <c r="P25" s="105">
        <v>22</v>
      </c>
      <c r="Q25" s="105">
        <v>22</v>
      </c>
      <c r="R25" s="105">
        <v>22</v>
      </c>
      <c r="S25" s="105">
        <v>22</v>
      </c>
      <c r="T25" s="105">
        <v>22</v>
      </c>
      <c r="U25" s="105">
        <v>22</v>
      </c>
      <c r="V25" s="105">
        <v>22</v>
      </c>
      <c r="W25" s="105">
        <v>22</v>
      </c>
      <c r="X25" s="105">
        <v>22</v>
      </c>
      <c r="Y25" s="105">
        <v>22</v>
      </c>
      <c r="Z25" s="105">
        <v>22</v>
      </c>
      <c r="AA25" s="105">
        <v>22</v>
      </c>
      <c r="AB25" s="105">
        <v>22</v>
      </c>
      <c r="AC25" s="105">
        <v>22</v>
      </c>
      <c r="AD25" s="105">
        <v>22</v>
      </c>
      <c r="AE25" s="105">
        <v>22</v>
      </c>
      <c r="AF25" s="105">
        <v>19</v>
      </c>
      <c r="AG25" s="126">
        <v>22</v>
      </c>
      <c r="AH25" s="20">
        <f t="shared" si="2"/>
        <v>22</v>
      </c>
      <c r="AI25" s="19">
        <f t="shared" si="3"/>
        <v>17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5">
        <v>0</v>
      </c>
      <c r="M26" s="105">
        <v>5</v>
      </c>
      <c r="N26" s="105">
        <v>5</v>
      </c>
      <c r="O26" s="105">
        <v>5</v>
      </c>
      <c r="P26" s="105">
        <v>5</v>
      </c>
      <c r="Q26" s="105">
        <v>5</v>
      </c>
      <c r="R26" s="105">
        <v>5</v>
      </c>
      <c r="S26" s="105">
        <v>5</v>
      </c>
      <c r="T26" s="105">
        <v>5</v>
      </c>
      <c r="U26" s="105">
        <v>10</v>
      </c>
      <c r="V26" s="105">
        <v>10</v>
      </c>
      <c r="W26" s="105">
        <v>10</v>
      </c>
      <c r="X26" s="105">
        <v>10</v>
      </c>
      <c r="Y26" s="105">
        <v>10</v>
      </c>
      <c r="Z26" s="105">
        <v>10</v>
      </c>
      <c r="AA26" s="105">
        <v>10</v>
      </c>
      <c r="AB26" s="105">
        <v>5</v>
      </c>
      <c r="AC26" s="105">
        <v>10</v>
      </c>
      <c r="AD26" s="105">
        <v>10</v>
      </c>
      <c r="AE26" s="105">
        <v>5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10</v>
      </c>
      <c r="C27" s="105">
        <v>10</v>
      </c>
      <c r="D27" s="105">
        <v>10</v>
      </c>
      <c r="E27" s="105">
        <v>10</v>
      </c>
      <c r="F27" s="105">
        <v>10</v>
      </c>
      <c r="G27" s="105">
        <v>10</v>
      </c>
      <c r="H27" s="105">
        <v>10</v>
      </c>
      <c r="I27" s="105">
        <v>10</v>
      </c>
      <c r="J27" s="105">
        <v>10</v>
      </c>
      <c r="K27" s="105">
        <v>10</v>
      </c>
      <c r="L27" s="105">
        <v>14.9</v>
      </c>
      <c r="M27" s="105">
        <v>14.9</v>
      </c>
      <c r="N27" s="105">
        <v>14.9</v>
      </c>
      <c r="O27" s="105">
        <v>14.9</v>
      </c>
      <c r="P27" s="105">
        <v>14.9</v>
      </c>
      <c r="Q27" s="105">
        <v>14.9</v>
      </c>
      <c r="R27" s="105">
        <v>14.9</v>
      </c>
      <c r="S27" s="105">
        <v>14.9</v>
      </c>
      <c r="T27" s="105">
        <v>14.9</v>
      </c>
      <c r="U27" s="105">
        <v>14.9</v>
      </c>
      <c r="V27" s="105">
        <v>14.9</v>
      </c>
      <c r="W27" s="105">
        <v>14.9</v>
      </c>
      <c r="X27" s="105">
        <v>14.9</v>
      </c>
      <c r="Y27" s="105">
        <v>14.9</v>
      </c>
      <c r="Z27" s="105">
        <v>14.9</v>
      </c>
      <c r="AA27" s="105">
        <v>14.9</v>
      </c>
      <c r="AB27" s="105">
        <v>14.9</v>
      </c>
      <c r="AC27" s="105">
        <v>14.9</v>
      </c>
      <c r="AD27" s="105">
        <v>14.9</v>
      </c>
      <c r="AE27" s="105">
        <v>14.9</v>
      </c>
      <c r="AF27" s="105">
        <v>13</v>
      </c>
      <c r="AG27" s="126">
        <v>14.9</v>
      </c>
      <c r="AH27" s="20">
        <f t="shared" si="2"/>
        <v>14.9</v>
      </c>
      <c r="AI27" s="19">
        <f t="shared" si="3"/>
        <v>10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>
        <v>6.8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>
        <v>6.8</v>
      </c>
      <c r="AE28" s="105">
        <v>6.8</v>
      </c>
      <c r="AF28" s="105">
        <v>6.8</v>
      </c>
      <c r="AG28" s="126">
        <v>13.6</v>
      </c>
      <c r="AH28" s="20">
        <f t="shared" si="2"/>
        <v>6.8</v>
      </c>
      <c r="AI28" s="19">
        <f t="shared" si="3"/>
        <v>6.8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11.5</v>
      </c>
      <c r="C29" s="105">
        <v>11.5</v>
      </c>
      <c r="D29" s="105">
        <v>11.5</v>
      </c>
      <c r="E29" s="105">
        <v>11.5</v>
      </c>
      <c r="F29" s="105">
        <v>11.5</v>
      </c>
      <c r="G29" s="105">
        <v>11.5</v>
      </c>
      <c r="H29" s="105">
        <v>11.5</v>
      </c>
      <c r="I29" s="105">
        <v>11.5</v>
      </c>
      <c r="J29" s="105">
        <v>11.5</v>
      </c>
      <c r="K29" s="105">
        <v>11.5</v>
      </c>
      <c r="L29" s="105">
        <v>11.5</v>
      </c>
      <c r="M29" s="105">
        <v>11.5</v>
      </c>
      <c r="N29" s="105">
        <v>11.5</v>
      </c>
      <c r="O29" s="105">
        <v>11.5</v>
      </c>
      <c r="P29" s="105">
        <v>11.5</v>
      </c>
      <c r="Q29" s="105">
        <v>11.5</v>
      </c>
      <c r="R29" s="105">
        <v>11.5</v>
      </c>
      <c r="S29" s="105">
        <v>11.5</v>
      </c>
      <c r="T29" s="105">
        <v>11.5</v>
      </c>
      <c r="U29" s="105">
        <v>11.5</v>
      </c>
      <c r="V29" s="105">
        <v>11.5</v>
      </c>
      <c r="W29" s="105">
        <v>11.5</v>
      </c>
      <c r="X29" s="105">
        <v>11.5</v>
      </c>
      <c r="Y29" s="105">
        <v>11.5</v>
      </c>
      <c r="Z29" s="105">
        <v>11.5</v>
      </c>
      <c r="AA29" s="105">
        <v>11.5</v>
      </c>
      <c r="AB29" s="105">
        <v>11.5</v>
      </c>
      <c r="AC29" s="105">
        <v>11.5</v>
      </c>
      <c r="AD29" s="105">
        <v>11.5</v>
      </c>
      <c r="AE29" s="105">
        <v>11.5</v>
      </c>
      <c r="AF29" s="105">
        <v>11.5</v>
      </c>
      <c r="AG29" s="126">
        <v>13</v>
      </c>
      <c r="AH29" s="20">
        <f t="shared" si="2"/>
        <v>11.5</v>
      </c>
      <c r="AI29" s="19">
        <f t="shared" si="3"/>
        <v>11.5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3</v>
      </c>
      <c r="M30" s="105">
        <v>6</v>
      </c>
      <c r="N30" s="105">
        <v>6</v>
      </c>
      <c r="O30" s="105">
        <v>6</v>
      </c>
      <c r="P30" s="105">
        <v>6</v>
      </c>
      <c r="Q30" s="105">
        <v>6</v>
      </c>
      <c r="R30" s="105">
        <v>6</v>
      </c>
      <c r="S30" s="105">
        <v>6</v>
      </c>
      <c r="T30" s="105">
        <v>6</v>
      </c>
      <c r="U30" s="105">
        <v>6</v>
      </c>
      <c r="V30" s="105">
        <v>6</v>
      </c>
      <c r="W30" s="105">
        <v>6</v>
      </c>
      <c r="X30" s="105">
        <v>12</v>
      </c>
      <c r="Y30" s="105">
        <v>12</v>
      </c>
      <c r="Z30" s="105">
        <v>12</v>
      </c>
      <c r="AA30" s="105">
        <v>12</v>
      </c>
      <c r="AB30" s="105">
        <v>12</v>
      </c>
      <c r="AC30" s="105">
        <v>12</v>
      </c>
      <c r="AD30" s="105">
        <v>5</v>
      </c>
      <c r="AE30" s="105">
        <v>0</v>
      </c>
      <c r="AF30" s="105">
        <v>0</v>
      </c>
      <c r="AG30" s="126">
        <v>12</v>
      </c>
      <c r="AH30" s="20">
        <f t="shared" si="2"/>
        <v>12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12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>
        <v>12</v>
      </c>
      <c r="AE31" s="105">
        <v>12</v>
      </c>
      <c r="AF31" s="105">
        <v>12</v>
      </c>
      <c r="AG31" s="126">
        <v>12</v>
      </c>
      <c r="AH31" s="20">
        <f t="shared" si="2"/>
        <v>12</v>
      </c>
      <c r="AI31" s="19">
        <f t="shared" si="3"/>
        <v>12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0</v>
      </c>
      <c r="C32" s="105">
        <v>0</v>
      </c>
      <c r="D32" s="105">
        <v>0</v>
      </c>
      <c r="E32" s="105">
        <v>0</v>
      </c>
      <c r="F32" s="105">
        <v>0</v>
      </c>
      <c r="G32" s="105">
        <v>0</v>
      </c>
      <c r="H32" s="105">
        <v>0</v>
      </c>
      <c r="I32" s="105">
        <v>0</v>
      </c>
      <c r="J32" s="105">
        <v>0</v>
      </c>
      <c r="K32" s="105">
        <v>0</v>
      </c>
      <c r="L32" s="105">
        <v>0</v>
      </c>
      <c r="M32" s="105">
        <v>0</v>
      </c>
      <c r="N32" s="105">
        <v>0</v>
      </c>
      <c r="O32" s="105">
        <v>0</v>
      </c>
      <c r="P32" s="105">
        <v>0</v>
      </c>
      <c r="Q32" s="105">
        <v>0</v>
      </c>
      <c r="R32" s="105">
        <v>0</v>
      </c>
      <c r="S32" s="105">
        <v>0</v>
      </c>
      <c r="T32" s="105">
        <v>0</v>
      </c>
      <c r="U32" s="105">
        <v>0</v>
      </c>
      <c r="V32" s="105">
        <v>0</v>
      </c>
      <c r="W32" s="105">
        <v>0</v>
      </c>
      <c r="X32" s="105">
        <v>0</v>
      </c>
      <c r="Y32" s="105">
        <v>0</v>
      </c>
      <c r="Z32" s="105">
        <v>0</v>
      </c>
      <c r="AA32" s="105">
        <v>0</v>
      </c>
      <c r="AB32" s="105">
        <v>0</v>
      </c>
      <c r="AC32" s="105">
        <v>0</v>
      </c>
      <c r="AD32" s="105">
        <v>0</v>
      </c>
      <c r="AE32" s="105">
        <v>0</v>
      </c>
      <c r="AF32" s="105">
        <v>0</v>
      </c>
      <c r="AG32" s="126">
        <v>12</v>
      </c>
      <c r="AH32" s="20">
        <f t="shared" si="2"/>
        <v>0</v>
      </c>
      <c r="AI32" s="19">
        <f t="shared" si="3"/>
        <v>0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0</v>
      </c>
      <c r="C33" s="105">
        <v>0</v>
      </c>
      <c r="D33" s="105">
        <v>0</v>
      </c>
      <c r="E33" s="105">
        <v>0</v>
      </c>
      <c r="F33" s="105">
        <v>0</v>
      </c>
      <c r="G33" s="105">
        <v>0</v>
      </c>
      <c r="H33" s="105">
        <v>0</v>
      </c>
      <c r="I33" s="105">
        <v>0</v>
      </c>
      <c r="J33" s="105">
        <v>0</v>
      </c>
      <c r="K33" s="105">
        <v>0</v>
      </c>
      <c r="L33" s="105">
        <v>0</v>
      </c>
      <c r="M33" s="105">
        <v>8</v>
      </c>
      <c r="N33" s="105">
        <v>8</v>
      </c>
      <c r="O33" s="105">
        <v>8</v>
      </c>
      <c r="P33" s="105">
        <v>8</v>
      </c>
      <c r="Q33" s="105">
        <v>8</v>
      </c>
      <c r="R33" s="105">
        <v>8</v>
      </c>
      <c r="S33" s="105">
        <v>8</v>
      </c>
      <c r="T33" s="105">
        <v>8</v>
      </c>
      <c r="U33" s="105">
        <v>8</v>
      </c>
      <c r="V33" s="105">
        <v>8</v>
      </c>
      <c r="W33" s="105">
        <v>8</v>
      </c>
      <c r="X33" s="105">
        <v>8</v>
      </c>
      <c r="Y33" s="105">
        <v>8</v>
      </c>
      <c r="Z33" s="105">
        <v>8</v>
      </c>
      <c r="AA33" s="105">
        <v>8</v>
      </c>
      <c r="AB33" s="105">
        <v>8</v>
      </c>
      <c r="AC33" s="105">
        <v>8</v>
      </c>
      <c r="AD33" s="105">
        <v>8</v>
      </c>
      <c r="AE33" s="105">
        <v>8</v>
      </c>
      <c r="AF33" s="105">
        <v>8</v>
      </c>
      <c r="AG33" s="125">
        <v>22</v>
      </c>
      <c r="AH33" s="20">
        <f t="shared" si="2"/>
        <v>8</v>
      </c>
      <c r="AI33" s="19">
        <f t="shared" si="3"/>
        <v>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12</v>
      </c>
      <c r="C34" s="105">
        <v>12</v>
      </c>
      <c r="D34" s="105">
        <v>12</v>
      </c>
      <c r="E34" s="105">
        <v>12</v>
      </c>
      <c r="F34" s="105">
        <v>12</v>
      </c>
      <c r="G34" s="105">
        <v>12</v>
      </c>
      <c r="H34" s="105">
        <v>12</v>
      </c>
      <c r="I34" s="105">
        <v>12</v>
      </c>
      <c r="J34" s="105">
        <v>12</v>
      </c>
      <c r="K34" s="105">
        <v>12</v>
      </c>
      <c r="L34" s="105">
        <v>12</v>
      </c>
      <c r="M34" s="105">
        <v>12</v>
      </c>
      <c r="N34" s="105">
        <v>12</v>
      </c>
      <c r="O34" s="105">
        <v>12</v>
      </c>
      <c r="P34" s="105">
        <v>12</v>
      </c>
      <c r="Q34" s="105">
        <v>12</v>
      </c>
      <c r="R34" s="105">
        <v>12</v>
      </c>
      <c r="S34" s="105">
        <v>12</v>
      </c>
      <c r="T34" s="105">
        <v>12</v>
      </c>
      <c r="U34" s="105">
        <v>12</v>
      </c>
      <c r="V34" s="105">
        <v>12</v>
      </c>
      <c r="W34" s="105">
        <v>12</v>
      </c>
      <c r="X34" s="105">
        <v>12</v>
      </c>
      <c r="Y34" s="105">
        <v>12</v>
      </c>
      <c r="Z34" s="105">
        <v>12</v>
      </c>
      <c r="AA34" s="105">
        <v>12</v>
      </c>
      <c r="AB34" s="105">
        <v>12</v>
      </c>
      <c r="AC34" s="105">
        <v>12</v>
      </c>
      <c r="AD34" s="105">
        <v>12</v>
      </c>
      <c r="AE34" s="105">
        <v>12</v>
      </c>
      <c r="AF34" s="105">
        <v>12</v>
      </c>
      <c r="AG34" s="96">
        <v>11.88</v>
      </c>
      <c r="AH34" s="20">
        <f t="shared" si="2"/>
        <v>12</v>
      </c>
      <c r="AI34" s="19">
        <f t="shared" si="3"/>
        <v>12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10</v>
      </c>
      <c r="F35" s="105">
        <v>10</v>
      </c>
      <c r="G35" s="105">
        <v>10</v>
      </c>
      <c r="H35" s="105">
        <v>10</v>
      </c>
      <c r="I35" s="105">
        <v>10</v>
      </c>
      <c r="J35" s="105">
        <v>10</v>
      </c>
      <c r="K35" s="105">
        <v>10</v>
      </c>
      <c r="L35" s="105">
        <v>10</v>
      </c>
      <c r="M35" s="105">
        <v>10</v>
      </c>
      <c r="N35" s="105">
        <v>10</v>
      </c>
      <c r="O35" s="105">
        <v>10</v>
      </c>
      <c r="P35" s="105">
        <v>10</v>
      </c>
      <c r="Q35" s="105">
        <v>10</v>
      </c>
      <c r="R35" s="105">
        <v>10</v>
      </c>
      <c r="S35" s="105">
        <v>10</v>
      </c>
      <c r="T35" s="105">
        <v>10</v>
      </c>
      <c r="U35" s="105">
        <v>10</v>
      </c>
      <c r="V35" s="105">
        <v>10</v>
      </c>
      <c r="W35" s="105">
        <v>10</v>
      </c>
      <c r="X35" s="105">
        <v>10</v>
      </c>
      <c r="Y35" s="105">
        <v>10</v>
      </c>
      <c r="Z35" s="105">
        <v>10</v>
      </c>
      <c r="AA35" s="105">
        <v>10</v>
      </c>
      <c r="AB35" s="105">
        <v>10</v>
      </c>
      <c r="AC35" s="105">
        <v>10</v>
      </c>
      <c r="AD35" s="105">
        <v>10</v>
      </c>
      <c r="AE35" s="105">
        <v>10</v>
      </c>
      <c r="AF35" s="105">
        <v>10</v>
      </c>
      <c r="AG35" s="94">
        <v>11</v>
      </c>
      <c r="AH35" s="20">
        <f t="shared" si="2"/>
        <v>11</v>
      </c>
      <c r="AI35" s="19">
        <f t="shared" si="3"/>
        <v>10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>
        <v>9</v>
      </c>
      <c r="E36" s="105">
        <v>9</v>
      </c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>
        <v>9</v>
      </c>
      <c r="N36" s="105">
        <v>9</v>
      </c>
      <c r="O36" s="105">
        <v>9</v>
      </c>
      <c r="P36" s="105">
        <v>9</v>
      </c>
      <c r="Q36" s="105">
        <v>9</v>
      </c>
      <c r="R36" s="105">
        <v>9</v>
      </c>
      <c r="S36" s="105">
        <v>9</v>
      </c>
      <c r="T36" s="105">
        <v>9</v>
      </c>
      <c r="U36" s="105">
        <v>9</v>
      </c>
      <c r="V36" s="105">
        <v>9</v>
      </c>
      <c r="W36" s="105">
        <v>9</v>
      </c>
      <c r="X36" s="105">
        <v>9</v>
      </c>
      <c r="Y36" s="105">
        <v>9</v>
      </c>
      <c r="Z36" s="105">
        <v>9</v>
      </c>
      <c r="AA36" s="105">
        <v>9</v>
      </c>
      <c r="AB36" s="105">
        <v>9</v>
      </c>
      <c r="AC36" s="105">
        <v>9</v>
      </c>
      <c r="AD36" s="105">
        <v>9</v>
      </c>
      <c r="AE36" s="105">
        <v>9</v>
      </c>
      <c r="AF36" s="105">
        <v>9</v>
      </c>
      <c r="AG36" s="94">
        <v>10</v>
      </c>
      <c r="AH36" s="20">
        <f t="shared" si="2"/>
        <v>9</v>
      </c>
      <c r="AI36" s="19">
        <f t="shared" si="3"/>
        <v>9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5">
        <v>0</v>
      </c>
      <c r="O37" s="105">
        <v>0</v>
      </c>
      <c r="P37" s="105">
        <v>0</v>
      </c>
      <c r="Q37" s="105">
        <v>0</v>
      </c>
      <c r="R37" s="105">
        <v>0</v>
      </c>
      <c r="S37" s="105">
        <v>0</v>
      </c>
      <c r="T37" s="105">
        <v>0</v>
      </c>
      <c r="U37" s="105">
        <v>0</v>
      </c>
      <c r="V37" s="105">
        <v>0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0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05">
        <v>300</v>
      </c>
      <c r="U38" s="105">
        <v>300</v>
      </c>
      <c r="V38" s="105">
        <v>300</v>
      </c>
      <c r="W38" s="105">
        <v>300</v>
      </c>
      <c r="X38" s="105">
        <v>300</v>
      </c>
      <c r="Y38" s="105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f>74.3+90.6</f>
        <v>164.89999999999998</v>
      </c>
      <c r="C39" s="119">
        <f>75.5+89.3</f>
        <v>164.8</v>
      </c>
      <c r="D39" s="119">
        <f>76.3+89.5</f>
        <v>165.8</v>
      </c>
      <c r="E39" s="119">
        <f>76.5+89.5</f>
        <v>166</v>
      </c>
      <c r="F39" s="119">
        <f>76.6+89</f>
        <v>165.6</v>
      </c>
      <c r="G39" s="119">
        <f>77.2+89.4</f>
        <v>166.60000000000002</v>
      </c>
      <c r="H39" s="119">
        <f>77.2+89.1</f>
        <v>166.3</v>
      </c>
      <c r="I39" s="119">
        <f>47.4+89</f>
        <v>136.4</v>
      </c>
      <c r="J39" s="119">
        <f>47.5+89.3</f>
        <v>136.80000000000001</v>
      </c>
      <c r="K39" s="119">
        <f>70.3+90.4</f>
        <v>160.69999999999999</v>
      </c>
      <c r="L39" s="113">
        <f>80.2+95.5</f>
        <v>175.7</v>
      </c>
      <c r="M39" s="113">
        <f>91.8+83.7</f>
        <v>175.5</v>
      </c>
      <c r="N39" s="113">
        <f>88.5+83.7</f>
        <v>172.2</v>
      </c>
      <c r="O39" s="113">
        <f>95.6+64.4</f>
        <v>160</v>
      </c>
      <c r="P39" s="113">
        <f>91+83.6</f>
        <v>174.6</v>
      </c>
      <c r="Q39" s="113">
        <f>95.6+82.9</f>
        <v>178.5</v>
      </c>
      <c r="R39" s="113">
        <f>83.7+83</f>
        <v>166.7</v>
      </c>
      <c r="S39" s="113">
        <f>56.2+64.8</f>
        <v>121</v>
      </c>
      <c r="T39" s="105">
        <f>72.3-2.8</f>
        <v>69.5</v>
      </c>
      <c r="U39" s="105">
        <f>77.5+91.2</f>
        <v>168.7</v>
      </c>
      <c r="V39" s="105">
        <f>83.7+94.1</f>
        <v>177.8</v>
      </c>
      <c r="W39" s="105">
        <f>83.1+92.6</f>
        <v>175.7</v>
      </c>
      <c r="X39" s="105">
        <f>66.6+90.1</f>
        <v>156.69999999999999</v>
      </c>
      <c r="Y39" s="105">
        <f>83.6+93.4</f>
        <v>177</v>
      </c>
      <c r="Z39" s="119">
        <f>83.6+93.9</f>
        <v>177.5</v>
      </c>
      <c r="AA39" s="119">
        <f>83.6+93.9</f>
        <v>177.5</v>
      </c>
      <c r="AB39" s="119">
        <f>84.5+94.4</f>
        <v>178.9</v>
      </c>
      <c r="AC39" s="119">
        <f>93.7+84.3</f>
        <v>178</v>
      </c>
      <c r="AD39" s="119">
        <f>84.7+79.8</f>
        <v>164.5</v>
      </c>
      <c r="AE39" s="119">
        <f>90.7+25</f>
        <v>115.7</v>
      </c>
      <c r="AF39" s="119">
        <f>91.5+81</f>
        <v>172.5</v>
      </c>
      <c r="AG39" s="94">
        <v>240</v>
      </c>
      <c r="AH39" s="20">
        <f t="shared" si="2"/>
        <v>178.9</v>
      </c>
      <c r="AI39" s="19">
        <f t="shared" si="3"/>
        <v>69.5</v>
      </c>
      <c r="AK39" s="41"/>
    </row>
    <row r="40" spans="1:88" ht="15.75" thickBot="1" x14ac:dyDescent="0.3">
      <c r="A40" s="118" t="s">
        <v>195</v>
      </c>
      <c r="B40" s="86">
        <f>SUM(B11:B38)</f>
        <v>728.2</v>
      </c>
      <c r="C40" s="86">
        <f t="shared" ref="C40:AG40" si="4">SUM(C11:C38)</f>
        <v>728.2</v>
      </c>
      <c r="D40" s="86">
        <f t="shared" si="4"/>
        <v>728.3</v>
      </c>
      <c r="E40" s="86">
        <f t="shared" si="4"/>
        <v>720.1</v>
      </c>
      <c r="F40" s="86">
        <f t="shared" si="4"/>
        <v>710.1</v>
      </c>
      <c r="G40" s="86">
        <f t="shared" si="4"/>
        <v>710.1</v>
      </c>
      <c r="H40" s="86">
        <f t="shared" si="4"/>
        <v>710.1</v>
      </c>
      <c r="I40" s="86">
        <f t="shared" si="4"/>
        <v>690.1</v>
      </c>
      <c r="J40" s="86">
        <f t="shared" si="4"/>
        <v>705.8</v>
      </c>
      <c r="K40" s="86">
        <f t="shared" si="4"/>
        <v>751.90000000000009</v>
      </c>
      <c r="L40" s="86">
        <f t="shared" si="4"/>
        <v>766.8</v>
      </c>
      <c r="M40" s="86">
        <f t="shared" si="4"/>
        <v>803.5</v>
      </c>
      <c r="N40" s="86">
        <f t="shared" si="4"/>
        <v>795.69999999999993</v>
      </c>
      <c r="O40" s="86">
        <f t="shared" si="4"/>
        <v>803.69999999999993</v>
      </c>
      <c r="P40" s="86">
        <f t="shared" si="4"/>
        <v>785.59999999999991</v>
      </c>
      <c r="Q40" s="86">
        <f t="shared" si="4"/>
        <v>793.59999999999991</v>
      </c>
      <c r="R40" s="86">
        <f t="shared" si="4"/>
        <v>793.59999999999991</v>
      </c>
      <c r="S40" s="86">
        <f t="shared" si="4"/>
        <v>797.1</v>
      </c>
      <c r="T40" s="86">
        <f t="shared" si="4"/>
        <v>797.3</v>
      </c>
      <c r="U40" s="86">
        <f t="shared" si="4"/>
        <v>806.7</v>
      </c>
      <c r="V40" s="86">
        <f t="shared" si="4"/>
        <v>806.5</v>
      </c>
      <c r="W40" s="86">
        <f t="shared" si="4"/>
        <v>821.5</v>
      </c>
      <c r="X40" s="86">
        <f t="shared" si="4"/>
        <v>867.5</v>
      </c>
      <c r="Y40" s="86">
        <f t="shared" si="4"/>
        <v>862.8</v>
      </c>
      <c r="Z40" s="86">
        <f t="shared" si="4"/>
        <v>862.8</v>
      </c>
      <c r="AA40" s="86">
        <f t="shared" si="4"/>
        <v>862.8</v>
      </c>
      <c r="AB40" s="86">
        <f t="shared" si="4"/>
        <v>864</v>
      </c>
      <c r="AC40" s="86">
        <f t="shared" si="4"/>
        <v>857</v>
      </c>
      <c r="AD40" s="86">
        <f t="shared" si="4"/>
        <v>835</v>
      </c>
      <c r="AE40" s="86">
        <f t="shared" si="4"/>
        <v>751.09999999999991</v>
      </c>
      <c r="AF40" s="86">
        <f t="shared" si="4"/>
        <v>761.9</v>
      </c>
      <c r="AG40" s="101">
        <f t="shared" si="4"/>
        <v>707.78000000000009</v>
      </c>
      <c r="AH40" s="20">
        <f t="shared" si="2"/>
        <v>867.5</v>
      </c>
      <c r="AI40" s="19">
        <f t="shared" si="3"/>
        <v>690.1</v>
      </c>
      <c r="AK40" s="41"/>
    </row>
    <row r="41" spans="1:88" x14ac:dyDescent="0.25">
      <c r="A41" s="117" t="s">
        <v>194</v>
      </c>
      <c r="B41" s="105">
        <v>400</v>
      </c>
      <c r="C41" s="105">
        <v>400</v>
      </c>
      <c r="D41" s="105">
        <v>400</v>
      </c>
      <c r="E41" s="105">
        <v>400</v>
      </c>
      <c r="F41" s="105">
        <v>400</v>
      </c>
      <c r="G41" s="105">
        <v>400</v>
      </c>
      <c r="H41" s="105">
        <v>430</v>
      </c>
      <c r="I41" s="105">
        <v>430</v>
      </c>
      <c r="J41" s="105">
        <v>456</v>
      </c>
      <c r="K41" s="105">
        <v>456</v>
      </c>
      <c r="L41" s="105">
        <v>456</v>
      </c>
      <c r="M41" s="105">
        <v>456</v>
      </c>
      <c r="N41" s="105">
        <v>456</v>
      </c>
      <c r="O41" s="105">
        <v>456</v>
      </c>
      <c r="P41" s="105">
        <v>456</v>
      </c>
      <c r="Q41" s="105">
        <v>456</v>
      </c>
      <c r="R41" s="105">
        <v>456</v>
      </c>
      <c r="S41" s="105">
        <v>456</v>
      </c>
      <c r="T41" s="105">
        <v>456</v>
      </c>
      <c r="U41" s="105">
        <v>456</v>
      </c>
      <c r="V41" s="105">
        <v>456</v>
      </c>
      <c r="W41" s="105">
        <v>456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456</v>
      </c>
      <c r="AD41" s="105">
        <v>456</v>
      </c>
      <c r="AE41" s="105">
        <v>456</v>
      </c>
      <c r="AF41" s="105">
        <v>420</v>
      </c>
      <c r="AG41" s="96">
        <v>456</v>
      </c>
      <c r="AH41" s="20">
        <f t="shared" si="2"/>
        <v>456</v>
      </c>
      <c r="AI41" s="19">
        <f t="shared" si="3"/>
        <v>400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48</v>
      </c>
      <c r="O42" s="80">
        <v>48</v>
      </c>
      <c r="P42" s="80">
        <v>48</v>
      </c>
      <c r="Q42" s="80">
        <v>48</v>
      </c>
      <c r="R42" s="80">
        <v>48</v>
      </c>
      <c r="S42" s="80">
        <v>48</v>
      </c>
      <c r="T42" s="105">
        <v>48</v>
      </c>
      <c r="U42" s="105">
        <v>48</v>
      </c>
      <c r="V42" s="105">
        <v>48</v>
      </c>
      <c r="W42" s="105">
        <v>48</v>
      </c>
      <c r="X42" s="105">
        <v>48</v>
      </c>
      <c r="Y42" s="105">
        <v>48</v>
      </c>
      <c r="Z42" s="105">
        <v>48</v>
      </c>
      <c r="AA42" s="105">
        <v>48</v>
      </c>
      <c r="AB42" s="105">
        <v>60</v>
      </c>
      <c r="AC42" s="105">
        <v>60</v>
      </c>
      <c r="AD42" s="105">
        <v>60</v>
      </c>
      <c r="AE42" s="105">
        <v>60</v>
      </c>
      <c r="AF42" s="105">
        <v>60</v>
      </c>
      <c r="AG42" s="94">
        <v>60</v>
      </c>
      <c r="AH42" s="20">
        <f t="shared" si="2"/>
        <v>60</v>
      </c>
      <c r="AI42" s="19">
        <f t="shared" si="3"/>
        <v>48</v>
      </c>
      <c r="AK42" s="41"/>
    </row>
    <row r="43" spans="1:88" ht="15.75" thickBot="1" x14ac:dyDescent="0.3">
      <c r="A43" s="115" t="s">
        <v>192</v>
      </c>
      <c r="B43" s="107">
        <v>22.5</v>
      </c>
      <c r="C43" s="107">
        <v>22.5</v>
      </c>
      <c r="D43" s="107">
        <v>22.4</v>
      </c>
      <c r="E43" s="107">
        <v>22.4</v>
      </c>
      <c r="F43" s="107">
        <v>22.4</v>
      </c>
      <c r="G43" s="107">
        <v>22.4</v>
      </c>
      <c r="H43" s="107">
        <v>22.4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>
        <v>22</v>
      </c>
      <c r="S43" s="107">
        <v>22</v>
      </c>
      <c r="T43" s="105">
        <v>22</v>
      </c>
      <c r="U43" s="105">
        <v>22</v>
      </c>
      <c r="V43" s="105">
        <v>22</v>
      </c>
      <c r="W43" s="105">
        <v>22</v>
      </c>
      <c r="X43" s="105">
        <v>22</v>
      </c>
      <c r="Y43" s="105">
        <v>22</v>
      </c>
      <c r="Z43" s="105">
        <v>22</v>
      </c>
      <c r="AA43" s="105">
        <v>22</v>
      </c>
      <c r="AB43" s="105">
        <v>22</v>
      </c>
      <c r="AC43" s="105">
        <v>22</v>
      </c>
      <c r="AD43" s="105">
        <v>22</v>
      </c>
      <c r="AE43" s="105">
        <v>22</v>
      </c>
      <c r="AF43" s="105">
        <v>22</v>
      </c>
      <c r="AG43" s="106">
        <v>22.1</v>
      </c>
      <c r="AH43" s="20">
        <f t="shared" si="2"/>
        <v>22.5</v>
      </c>
      <c r="AI43" s="19">
        <f t="shared" si="3"/>
        <v>22</v>
      </c>
      <c r="AK43" s="41"/>
    </row>
    <row r="44" spans="1:88" ht="15.75" thickBot="1" x14ac:dyDescent="0.3">
      <c r="A44" s="114" t="s">
        <v>191</v>
      </c>
      <c r="B44" s="86">
        <f t="shared" ref="B44:AG44" si="5">SUM(B41:B43)</f>
        <v>482.5</v>
      </c>
      <c r="C44" s="86">
        <f t="shared" si="5"/>
        <v>482.5</v>
      </c>
      <c r="D44" s="86">
        <f t="shared" si="5"/>
        <v>482.4</v>
      </c>
      <c r="E44" s="86">
        <f t="shared" si="5"/>
        <v>482.4</v>
      </c>
      <c r="F44" s="86">
        <f t="shared" si="5"/>
        <v>482.4</v>
      </c>
      <c r="G44" s="86">
        <f t="shared" si="5"/>
        <v>482.4</v>
      </c>
      <c r="H44" s="86">
        <f t="shared" si="5"/>
        <v>512.4</v>
      </c>
      <c r="I44" s="86">
        <f t="shared" si="5"/>
        <v>512</v>
      </c>
      <c r="J44" s="86">
        <f t="shared" si="5"/>
        <v>538</v>
      </c>
      <c r="K44" s="86">
        <f t="shared" si="5"/>
        <v>538</v>
      </c>
      <c r="L44" s="86">
        <f t="shared" si="5"/>
        <v>538</v>
      </c>
      <c r="M44" s="86">
        <f t="shared" si="5"/>
        <v>538</v>
      </c>
      <c r="N44" s="86">
        <f t="shared" si="5"/>
        <v>526</v>
      </c>
      <c r="O44" s="86">
        <f t="shared" si="5"/>
        <v>526</v>
      </c>
      <c r="P44" s="86">
        <f t="shared" si="5"/>
        <v>526</v>
      </c>
      <c r="Q44" s="86">
        <f t="shared" si="5"/>
        <v>526</v>
      </c>
      <c r="R44" s="86">
        <f t="shared" si="5"/>
        <v>526</v>
      </c>
      <c r="S44" s="86">
        <f t="shared" si="5"/>
        <v>526</v>
      </c>
      <c r="T44" s="86">
        <f t="shared" si="5"/>
        <v>526</v>
      </c>
      <c r="U44" s="86">
        <f t="shared" si="5"/>
        <v>526</v>
      </c>
      <c r="V44" s="86">
        <f t="shared" si="5"/>
        <v>526</v>
      </c>
      <c r="W44" s="86">
        <f t="shared" si="5"/>
        <v>526</v>
      </c>
      <c r="X44" s="86">
        <f t="shared" si="5"/>
        <v>526</v>
      </c>
      <c r="Y44" s="86">
        <f t="shared" si="5"/>
        <v>526</v>
      </c>
      <c r="Z44" s="86">
        <f t="shared" si="5"/>
        <v>526</v>
      </c>
      <c r="AA44" s="86">
        <f t="shared" si="5"/>
        <v>526</v>
      </c>
      <c r="AB44" s="86">
        <f t="shared" si="5"/>
        <v>538</v>
      </c>
      <c r="AC44" s="86">
        <f t="shared" si="5"/>
        <v>538</v>
      </c>
      <c r="AD44" s="86">
        <f t="shared" si="5"/>
        <v>538</v>
      </c>
      <c r="AE44" s="86">
        <f t="shared" si="5"/>
        <v>538</v>
      </c>
      <c r="AF44" s="86">
        <f t="shared" si="5"/>
        <v>502</v>
      </c>
      <c r="AG44" s="101">
        <f t="shared" si="5"/>
        <v>538.1</v>
      </c>
      <c r="AH44" s="20">
        <f t="shared" si="2"/>
        <v>538</v>
      </c>
      <c r="AI44" s="19">
        <f t="shared" si="3"/>
        <v>482.4</v>
      </c>
      <c r="AK44" s="41"/>
    </row>
    <row r="45" spans="1:88" x14ac:dyDescent="0.25">
      <c r="A45" s="97" t="s">
        <v>190</v>
      </c>
      <c r="B45" s="105">
        <v>92.1</v>
      </c>
      <c r="C45" s="105">
        <v>81.2</v>
      </c>
      <c r="D45" s="105">
        <v>80.900000000000006</v>
      </c>
      <c r="E45" s="105">
        <v>81</v>
      </c>
      <c r="F45" s="105">
        <v>81</v>
      </c>
      <c r="G45" s="105">
        <v>81</v>
      </c>
      <c r="H45" s="105">
        <v>81</v>
      </c>
      <c r="I45" s="105">
        <v>90</v>
      </c>
      <c r="J45" s="105">
        <v>90</v>
      </c>
      <c r="K45" s="105">
        <v>90</v>
      </c>
      <c r="L45" s="105">
        <v>90</v>
      </c>
      <c r="M45" s="105">
        <v>92.3</v>
      </c>
      <c r="N45" s="105">
        <v>92.2</v>
      </c>
      <c r="O45" s="105">
        <v>92.2</v>
      </c>
      <c r="P45" s="105">
        <v>92.2</v>
      </c>
      <c r="Q45" s="105">
        <v>92.1</v>
      </c>
      <c r="R45" s="105">
        <v>92.1</v>
      </c>
      <c r="S45" s="105">
        <v>92.1</v>
      </c>
      <c r="T45" s="105">
        <v>92.1</v>
      </c>
      <c r="U45" s="105">
        <v>92.1</v>
      </c>
      <c r="V45" s="105">
        <v>92.1</v>
      </c>
      <c r="W45" s="105">
        <v>92.1</v>
      </c>
      <c r="X45" s="105">
        <v>92.1</v>
      </c>
      <c r="Y45" s="105">
        <v>92</v>
      </c>
      <c r="Z45" s="105">
        <v>92</v>
      </c>
      <c r="AA45" s="105">
        <v>92</v>
      </c>
      <c r="AB45" s="105">
        <v>92</v>
      </c>
      <c r="AC45" s="105">
        <v>92</v>
      </c>
      <c r="AD45" s="105">
        <v>92</v>
      </c>
      <c r="AE45" s="105">
        <v>92</v>
      </c>
      <c r="AF45" s="105">
        <v>92</v>
      </c>
      <c r="AG45" s="96">
        <v>144</v>
      </c>
      <c r="AH45" s="20">
        <f t="shared" si="2"/>
        <v>92.3</v>
      </c>
      <c r="AI45" s="19">
        <f t="shared" si="3"/>
        <v>80.900000000000006</v>
      </c>
      <c r="AK45" s="41"/>
    </row>
    <row r="46" spans="1:88" x14ac:dyDescent="0.25">
      <c r="A46" s="95" t="s">
        <v>189</v>
      </c>
      <c r="B46" s="80">
        <v>70.7</v>
      </c>
      <c r="C46" s="80">
        <v>61.4</v>
      </c>
      <c r="D46" s="80">
        <v>61.4</v>
      </c>
      <c r="E46" s="80">
        <v>61.7</v>
      </c>
      <c r="F46" s="80">
        <v>50</v>
      </c>
      <c r="G46" s="80">
        <v>50</v>
      </c>
      <c r="H46" s="80">
        <v>60</v>
      </c>
      <c r="I46" s="80">
        <v>70</v>
      </c>
      <c r="J46" s="80">
        <v>70</v>
      </c>
      <c r="K46" s="80">
        <v>70</v>
      </c>
      <c r="L46" s="80">
        <v>70</v>
      </c>
      <c r="M46" s="80">
        <v>72</v>
      </c>
      <c r="N46" s="105">
        <v>71.900000000000006</v>
      </c>
      <c r="O46" s="105">
        <v>71.900000000000006</v>
      </c>
      <c r="P46" s="105">
        <v>71.900000000000006</v>
      </c>
      <c r="Q46" s="105">
        <v>72.900000000000006</v>
      </c>
      <c r="R46" s="105">
        <v>72.900000000000006</v>
      </c>
      <c r="S46" s="105">
        <v>72.900000000000006</v>
      </c>
      <c r="T46" s="105">
        <v>68.3</v>
      </c>
      <c r="U46" s="105">
        <v>68.3</v>
      </c>
      <c r="V46" s="105">
        <v>68.3</v>
      </c>
      <c r="W46" s="105">
        <v>68.3</v>
      </c>
      <c r="X46" s="105">
        <v>72.599999999999994</v>
      </c>
      <c r="Y46" s="105">
        <v>73.2</v>
      </c>
      <c r="Z46" s="105">
        <v>73.2</v>
      </c>
      <c r="AA46" s="105">
        <v>73.2</v>
      </c>
      <c r="AB46" s="105">
        <v>73.2</v>
      </c>
      <c r="AC46" s="105">
        <v>73.2</v>
      </c>
      <c r="AD46" s="105">
        <v>73.2</v>
      </c>
      <c r="AE46" s="105">
        <v>70</v>
      </c>
      <c r="AF46" s="105">
        <v>70</v>
      </c>
      <c r="AG46" s="94">
        <v>70</v>
      </c>
      <c r="AH46" s="20">
        <f t="shared" si="2"/>
        <v>73.2</v>
      </c>
      <c r="AI46" s="19">
        <f t="shared" si="3"/>
        <v>50</v>
      </c>
      <c r="AK46" s="41"/>
    </row>
    <row r="47" spans="1:88" x14ac:dyDescent="0.25">
      <c r="A47" s="95" t="s">
        <v>188</v>
      </c>
      <c r="B47" s="80">
        <v>41.4</v>
      </c>
      <c r="C47" s="80">
        <v>41.4</v>
      </c>
      <c r="D47" s="80">
        <v>40.5</v>
      </c>
      <c r="E47" s="80">
        <v>40.700000000000003</v>
      </c>
      <c r="F47" s="80">
        <v>40.5</v>
      </c>
      <c r="G47" s="80">
        <v>40.5</v>
      </c>
      <c r="H47" s="80">
        <v>41.4</v>
      </c>
      <c r="I47" s="80">
        <v>41.1</v>
      </c>
      <c r="J47" s="80">
        <v>41.1</v>
      </c>
      <c r="K47" s="80">
        <v>41.1</v>
      </c>
      <c r="L47" s="80">
        <v>41.1</v>
      </c>
      <c r="M47" s="80">
        <v>40.9</v>
      </c>
      <c r="N47" s="105">
        <v>41.7</v>
      </c>
      <c r="O47" s="105">
        <v>41.7</v>
      </c>
      <c r="P47" s="105">
        <v>41.7</v>
      </c>
      <c r="Q47" s="105">
        <v>41.4</v>
      </c>
      <c r="R47" s="105">
        <v>41.4</v>
      </c>
      <c r="S47" s="105">
        <v>41.4</v>
      </c>
      <c r="T47" s="105">
        <v>41.4</v>
      </c>
      <c r="U47" s="105">
        <v>41.4</v>
      </c>
      <c r="V47" s="105">
        <v>41.4</v>
      </c>
      <c r="W47" s="105">
        <v>41.4</v>
      </c>
      <c r="X47" s="105">
        <v>41.4</v>
      </c>
      <c r="Y47" s="105">
        <v>41.5</v>
      </c>
      <c r="Z47" s="105">
        <v>41.5</v>
      </c>
      <c r="AA47" s="105">
        <v>41.5</v>
      </c>
      <c r="AB47" s="105">
        <v>41.5</v>
      </c>
      <c r="AC47" s="105">
        <v>41.5</v>
      </c>
      <c r="AD47" s="105">
        <v>41.5</v>
      </c>
      <c r="AE47" s="105">
        <v>41.5</v>
      </c>
      <c r="AF47" s="105">
        <v>41.5</v>
      </c>
      <c r="AG47" s="94">
        <v>69</v>
      </c>
      <c r="AH47" s="20">
        <f t="shared" si="2"/>
        <v>41.7</v>
      </c>
      <c r="AI47" s="19">
        <f t="shared" si="3"/>
        <v>40.5</v>
      </c>
      <c r="AK47" s="41"/>
    </row>
    <row r="48" spans="1:88" x14ac:dyDescent="0.25">
      <c r="A48" s="95" t="s">
        <v>187</v>
      </c>
      <c r="B48" s="113">
        <v>40</v>
      </c>
      <c r="C48" s="113">
        <v>40.6</v>
      </c>
      <c r="D48" s="113">
        <v>40.6</v>
      </c>
      <c r="E48" s="113">
        <v>40.6</v>
      </c>
      <c r="F48" s="113">
        <v>40.6</v>
      </c>
      <c r="G48" s="113">
        <v>40.6</v>
      </c>
      <c r="H48" s="113">
        <v>40.6</v>
      </c>
      <c r="I48" s="113">
        <v>60.7</v>
      </c>
      <c r="J48" s="113">
        <v>60.7</v>
      </c>
      <c r="K48" s="113">
        <v>60.7</v>
      </c>
      <c r="L48" s="113">
        <v>60.7</v>
      </c>
      <c r="M48" s="80">
        <v>61.2</v>
      </c>
      <c r="N48" s="105">
        <v>61</v>
      </c>
      <c r="O48" s="105">
        <v>61</v>
      </c>
      <c r="P48" s="105">
        <v>61</v>
      </c>
      <c r="Q48" s="105">
        <v>61</v>
      </c>
      <c r="R48" s="105">
        <v>61</v>
      </c>
      <c r="S48" s="105">
        <v>61</v>
      </c>
      <c r="T48" s="105">
        <v>61</v>
      </c>
      <c r="U48" s="105">
        <v>61</v>
      </c>
      <c r="V48" s="105">
        <v>61</v>
      </c>
      <c r="W48" s="105">
        <v>61</v>
      </c>
      <c r="X48" s="105">
        <v>61</v>
      </c>
      <c r="Y48" s="105">
        <v>60.4</v>
      </c>
      <c r="Z48" s="105">
        <v>60.4</v>
      </c>
      <c r="AA48" s="105">
        <v>60.4</v>
      </c>
      <c r="AB48" s="105">
        <v>60.4</v>
      </c>
      <c r="AC48" s="105">
        <v>60.4</v>
      </c>
      <c r="AD48" s="105">
        <v>60.4</v>
      </c>
      <c r="AE48" s="105">
        <v>60.4</v>
      </c>
      <c r="AF48" s="105">
        <v>60.4</v>
      </c>
      <c r="AG48" s="94">
        <v>60</v>
      </c>
      <c r="AH48" s="20">
        <f t="shared" si="2"/>
        <v>61.2</v>
      </c>
      <c r="AI48" s="19">
        <f t="shared" si="3"/>
        <v>40</v>
      </c>
      <c r="AK48" s="41"/>
    </row>
    <row r="49" spans="1:41" x14ac:dyDescent="0.25">
      <c r="A49" s="95" t="s">
        <v>186</v>
      </c>
      <c r="B49" s="113">
        <v>0</v>
      </c>
      <c r="C49" s="113">
        <v>0</v>
      </c>
      <c r="D49" s="113">
        <v>0</v>
      </c>
      <c r="E49" s="113">
        <v>0</v>
      </c>
      <c r="F49" s="113">
        <v>0</v>
      </c>
      <c r="G49" s="113">
        <v>0</v>
      </c>
      <c r="H49" s="113">
        <v>0</v>
      </c>
      <c r="I49" s="113">
        <v>0</v>
      </c>
      <c r="J49" s="113">
        <v>0</v>
      </c>
      <c r="K49" s="113">
        <v>0</v>
      </c>
      <c r="L49" s="113">
        <v>0</v>
      </c>
      <c r="M49" s="80">
        <v>0</v>
      </c>
      <c r="N49" s="80">
        <v>0</v>
      </c>
      <c r="O49" s="80">
        <v>0</v>
      </c>
      <c r="P49" s="80">
        <v>0</v>
      </c>
      <c r="Q49" s="80">
        <v>0</v>
      </c>
      <c r="R49" s="80">
        <v>0</v>
      </c>
      <c r="S49" s="80">
        <v>0</v>
      </c>
      <c r="T49" s="105">
        <v>0</v>
      </c>
      <c r="U49" s="105">
        <v>0</v>
      </c>
      <c r="V49" s="105">
        <v>0</v>
      </c>
      <c r="W49" s="105">
        <v>0</v>
      </c>
      <c r="X49" s="105">
        <v>0</v>
      </c>
      <c r="Y49" s="105">
        <v>0</v>
      </c>
      <c r="Z49" s="105">
        <v>0</v>
      </c>
      <c r="AA49" s="105">
        <v>0</v>
      </c>
      <c r="AB49" s="105">
        <v>0</v>
      </c>
      <c r="AC49" s="105">
        <v>0</v>
      </c>
      <c r="AD49" s="105">
        <v>0</v>
      </c>
      <c r="AE49" s="105">
        <v>0</v>
      </c>
      <c r="AF49" s="105">
        <v>0</v>
      </c>
      <c r="AG49" s="94">
        <v>30</v>
      </c>
      <c r="AH49" s="20">
        <f t="shared" si="2"/>
        <v>0</v>
      </c>
      <c r="AI49" s="19">
        <f t="shared" si="3"/>
        <v>0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0</v>
      </c>
      <c r="N50" s="80">
        <v>0</v>
      </c>
      <c r="O50" s="80">
        <v>0</v>
      </c>
      <c r="P50" s="80">
        <v>0</v>
      </c>
      <c r="Q50" s="80">
        <v>0</v>
      </c>
      <c r="R50" s="80">
        <v>0</v>
      </c>
      <c r="S50" s="80">
        <v>0</v>
      </c>
      <c r="T50" s="105">
        <v>0</v>
      </c>
      <c r="U50" s="105">
        <v>0</v>
      </c>
      <c r="V50" s="105">
        <v>0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105">
        <v>0</v>
      </c>
      <c r="AG50" s="94">
        <v>25</v>
      </c>
      <c r="AH50" s="20">
        <f t="shared" si="2"/>
        <v>0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0</v>
      </c>
      <c r="C51" s="80">
        <v>0</v>
      </c>
      <c r="D51" s="80">
        <v>0</v>
      </c>
      <c r="E51" s="80">
        <v>0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>
        <v>0</v>
      </c>
      <c r="L51" s="80">
        <v>0</v>
      </c>
      <c r="M51" s="80">
        <v>0</v>
      </c>
      <c r="N51" s="80">
        <v>0</v>
      </c>
      <c r="O51" s="80">
        <v>0</v>
      </c>
      <c r="P51" s="80">
        <v>0</v>
      </c>
      <c r="Q51" s="80">
        <v>0</v>
      </c>
      <c r="R51" s="80">
        <v>0</v>
      </c>
      <c r="S51" s="80">
        <v>0</v>
      </c>
      <c r="T51" s="105">
        <v>0</v>
      </c>
      <c r="U51" s="105">
        <v>0</v>
      </c>
      <c r="V51" s="105">
        <v>0</v>
      </c>
      <c r="W51" s="105">
        <v>0</v>
      </c>
      <c r="X51" s="105">
        <v>0</v>
      </c>
      <c r="Y51" s="105">
        <v>0</v>
      </c>
      <c r="Z51" s="105">
        <v>0</v>
      </c>
      <c r="AA51" s="105">
        <v>0</v>
      </c>
      <c r="AB51" s="105">
        <v>0</v>
      </c>
      <c r="AC51" s="105">
        <v>0</v>
      </c>
      <c r="AD51" s="105">
        <v>0</v>
      </c>
      <c r="AE51" s="105">
        <v>0</v>
      </c>
      <c r="AF51" s="105">
        <v>0</v>
      </c>
      <c r="AG51" s="94">
        <v>24</v>
      </c>
      <c r="AH51" s="20">
        <f t="shared" si="2"/>
        <v>0</v>
      </c>
      <c r="AI51" s="19">
        <f t="shared" si="3"/>
        <v>0</v>
      </c>
      <c r="AK51" s="41"/>
    </row>
    <row r="52" spans="1:41" x14ac:dyDescent="0.25">
      <c r="A52" s="95" t="s">
        <v>183</v>
      </c>
      <c r="B52" s="80">
        <v>2.5</v>
      </c>
      <c r="C52" s="80">
        <v>2.5</v>
      </c>
      <c r="D52" s="80">
        <v>2.5</v>
      </c>
      <c r="E52" s="80">
        <v>2.5</v>
      </c>
      <c r="F52" s="80">
        <v>2.5</v>
      </c>
      <c r="G52" s="80">
        <v>2.5</v>
      </c>
      <c r="H52" s="80">
        <v>2.5</v>
      </c>
      <c r="I52" s="80">
        <v>2.5</v>
      </c>
      <c r="J52" s="80">
        <v>2.5</v>
      </c>
      <c r="K52" s="80">
        <v>2.5</v>
      </c>
      <c r="L52" s="80">
        <v>2.5</v>
      </c>
      <c r="M52" s="80">
        <v>2.5</v>
      </c>
      <c r="N52" s="80">
        <v>2.5</v>
      </c>
      <c r="O52" s="80">
        <v>2.5</v>
      </c>
      <c r="P52" s="80">
        <v>2.5</v>
      </c>
      <c r="Q52" s="80">
        <v>2.5</v>
      </c>
      <c r="R52" s="80">
        <v>2.5</v>
      </c>
      <c r="S52" s="80">
        <v>2.5</v>
      </c>
      <c r="T52" s="105">
        <v>2.5</v>
      </c>
      <c r="U52" s="105">
        <v>2.5</v>
      </c>
      <c r="V52" s="105">
        <v>2.5</v>
      </c>
      <c r="W52" s="105">
        <v>2.5</v>
      </c>
      <c r="X52" s="105">
        <v>2.5</v>
      </c>
      <c r="Y52" s="105">
        <v>2.5</v>
      </c>
      <c r="Z52" s="105">
        <v>2.5</v>
      </c>
      <c r="AA52" s="105">
        <v>2.5</v>
      </c>
      <c r="AB52" s="105">
        <v>2.5</v>
      </c>
      <c r="AC52" s="105">
        <v>2.5</v>
      </c>
      <c r="AD52" s="105">
        <v>2.5</v>
      </c>
      <c r="AE52" s="105">
        <v>2.5</v>
      </c>
      <c r="AF52" s="105">
        <v>2.5</v>
      </c>
      <c r="AG52" s="94">
        <v>15</v>
      </c>
      <c r="AH52" s="20">
        <f t="shared" si="2"/>
        <v>2.5</v>
      </c>
      <c r="AI52" s="19">
        <f t="shared" si="3"/>
        <v>2.5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0</v>
      </c>
      <c r="C53" s="80">
        <v>0</v>
      </c>
      <c r="D53" s="80">
        <v>0</v>
      </c>
      <c r="E53" s="80">
        <v>0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>
        <v>0</v>
      </c>
      <c r="L53" s="80">
        <v>0</v>
      </c>
      <c r="M53" s="80">
        <v>0</v>
      </c>
      <c r="N53" s="80">
        <v>0</v>
      </c>
      <c r="O53" s="80">
        <v>0</v>
      </c>
      <c r="P53" s="80">
        <v>0</v>
      </c>
      <c r="Q53" s="80">
        <v>0</v>
      </c>
      <c r="R53" s="80">
        <v>0</v>
      </c>
      <c r="S53" s="80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Z53" s="105">
        <v>0</v>
      </c>
      <c r="AA53" s="105">
        <v>0</v>
      </c>
      <c r="AB53" s="105">
        <v>0</v>
      </c>
      <c r="AC53" s="105">
        <v>0</v>
      </c>
      <c r="AD53" s="105">
        <v>0</v>
      </c>
      <c r="AE53" s="105">
        <v>0</v>
      </c>
      <c r="AF53" s="105">
        <v>0</v>
      </c>
      <c r="AG53" s="94">
        <v>14.1</v>
      </c>
      <c r="AH53" s="20">
        <f t="shared" si="2"/>
        <v>0</v>
      </c>
      <c r="AI53" s="19">
        <f t="shared" si="3"/>
        <v>0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14.3</v>
      </c>
      <c r="C54" s="80">
        <v>14.3</v>
      </c>
      <c r="D54" s="80">
        <v>7.4</v>
      </c>
      <c r="E54" s="80">
        <v>13.8</v>
      </c>
      <c r="F54" s="80">
        <v>13.8</v>
      </c>
      <c r="G54" s="80">
        <v>7.5</v>
      </c>
      <c r="H54" s="80">
        <v>7.5</v>
      </c>
      <c r="I54" s="80">
        <v>7.5</v>
      </c>
      <c r="J54" s="80">
        <v>14.2</v>
      </c>
      <c r="K54" s="80">
        <v>14.2</v>
      </c>
      <c r="L54" s="80">
        <v>14.2</v>
      </c>
      <c r="M54" s="80">
        <v>7.2</v>
      </c>
      <c r="N54" s="80">
        <v>7.2</v>
      </c>
      <c r="O54" s="80">
        <v>7.2</v>
      </c>
      <c r="P54" s="80">
        <v>7.2</v>
      </c>
      <c r="Q54" s="80">
        <v>7.2</v>
      </c>
      <c r="R54" s="80">
        <v>7.2</v>
      </c>
      <c r="S54" s="80">
        <v>7.2</v>
      </c>
      <c r="T54" s="105">
        <v>7.2</v>
      </c>
      <c r="U54" s="105">
        <v>7.2</v>
      </c>
      <c r="V54" s="105">
        <v>7.2</v>
      </c>
      <c r="W54" s="105">
        <v>7.2</v>
      </c>
      <c r="X54" s="105">
        <v>7.2</v>
      </c>
      <c r="Y54" s="105">
        <v>7.2</v>
      </c>
      <c r="Z54" s="105">
        <v>7.2</v>
      </c>
      <c r="AA54" s="105">
        <v>7.2</v>
      </c>
      <c r="AB54" s="105">
        <v>7.2</v>
      </c>
      <c r="AC54" s="105">
        <v>7.2</v>
      </c>
      <c r="AD54" s="105">
        <v>7.2</v>
      </c>
      <c r="AE54" s="105">
        <v>12</v>
      </c>
      <c r="AF54" s="105">
        <v>7</v>
      </c>
      <c r="AG54" s="94">
        <v>14</v>
      </c>
      <c r="AH54" s="20">
        <f t="shared" si="2"/>
        <v>14.3</v>
      </c>
      <c r="AI54" s="19">
        <f t="shared" si="3"/>
        <v>7</v>
      </c>
      <c r="AK54" s="41"/>
    </row>
    <row r="55" spans="1:41" x14ac:dyDescent="0.25">
      <c r="A55" s="95" t="s">
        <v>180</v>
      </c>
      <c r="B55" s="80">
        <v>9.1999999999999993</v>
      </c>
      <c r="C55" s="80">
        <v>9.1999999999999993</v>
      </c>
      <c r="D55" s="80">
        <v>9.1999999999999993</v>
      </c>
      <c r="E55" s="80">
        <v>9.1999999999999993</v>
      </c>
      <c r="F55" s="80">
        <v>9.1999999999999993</v>
      </c>
      <c r="G55" s="80">
        <v>9.1999999999999993</v>
      </c>
      <c r="H55" s="80">
        <v>9.1999999999999993</v>
      </c>
      <c r="I55" s="80">
        <v>9.1999999999999993</v>
      </c>
      <c r="J55" s="80">
        <v>9.1999999999999993</v>
      </c>
      <c r="K55" s="80">
        <v>9.1999999999999993</v>
      </c>
      <c r="L55" s="80">
        <v>9.1999999999999993</v>
      </c>
      <c r="M55" s="80">
        <v>9.1999999999999993</v>
      </c>
      <c r="N55" s="80">
        <v>9.1999999999999993</v>
      </c>
      <c r="O55" s="80">
        <v>9.1999999999999993</v>
      </c>
      <c r="P55" s="80">
        <v>9.1999999999999993</v>
      </c>
      <c r="Q55" s="80">
        <v>9.1999999999999993</v>
      </c>
      <c r="R55" s="80">
        <v>9.1999999999999993</v>
      </c>
      <c r="S55" s="80">
        <v>9.1999999999999993</v>
      </c>
      <c r="T55" s="105">
        <v>9.1999999999999993</v>
      </c>
      <c r="U55" s="105">
        <v>9.1999999999999993</v>
      </c>
      <c r="V55" s="105">
        <v>9.1999999999999993</v>
      </c>
      <c r="W55" s="105">
        <v>9.1999999999999993</v>
      </c>
      <c r="X55" s="105">
        <v>9.1999999999999993</v>
      </c>
      <c r="Y55" s="105">
        <v>9.1999999999999993</v>
      </c>
      <c r="Z55" s="105">
        <v>9.1999999999999993</v>
      </c>
      <c r="AA55" s="105">
        <v>9.1999999999999993</v>
      </c>
      <c r="AB55" s="105">
        <v>6.7</v>
      </c>
      <c r="AC55" s="105">
        <v>6.7</v>
      </c>
      <c r="AD55" s="105">
        <v>6.7</v>
      </c>
      <c r="AE55" s="105">
        <v>6.7</v>
      </c>
      <c r="AF55" s="105">
        <v>6.7</v>
      </c>
      <c r="AG55" s="94">
        <v>10.050000000000001</v>
      </c>
      <c r="AH55" s="20">
        <f t="shared" si="2"/>
        <v>9.1999999999999993</v>
      </c>
      <c r="AI55" s="19">
        <f t="shared" si="3"/>
        <v>6.7</v>
      </c>
      <c r="AK55" s="41"/>
    </row>
    <row r="56" spans="1:41" x14ac:dyDescent="0.25">
      <c r="A56" s="95" t="s">
        <v>179</v>
      </c>
      <c r="B56" s="80">
        <v>3.2</v>
      </c>
      <c r="C56" s="80">
        <v>3.2</v>
      </c>
      <c r="D56" s="80">
        <v>3.2</v>
      </c>
      <c r="E56" s="80">
        <v>3.2</v>
      </c>
      <c r="F56" s="80">
        <v>3.2</v>
      </c>
      <c r="G56" s="80">
        <v>3.2</v>
      </c>
      <c r="H56" s="80">
        <v>3.2</v>
      </c>
      <c r="I56" s="80">
        <v>3.2</v>
      </c>
      <c r="J56" s="80">
        <v>3.2</v>
      </c>
      <c r="K56" s="80">
        <v>3.2</v>
      </c>
      <c r="L56" s="80">
        <v>3.2</v>
      </c>
      <c r="M56" s="80">
        <v>6.2</v>
      </c>
      <c r="N56" s="80">
        <v>6.2</v>
      </c>
      <c r="O56" s="80">
        <v>6.2</v>
      </c>
      <c r="P56" s="80">
        <v>6.2</v>
      </c>
      <c r="Q56" s="80">
        <v>6.2</v>
      </c>
      <c r="R56" s="80">
        <v>6.2</v>
      </c>
      <c r="S56" s="80">
        <v>6.2</v>
      </c>
      <c r="T56" s="105">
        <v>6.2</v>
      </c>
      <c r="U56" s="105">
        <v>6.2</v>
      </c>
      <c r="V56" s="105">
        <v>6.2</v>
      </c>
      <c r="W56" s="105">
        <v>6.2</v>
      </c>
      <c r="X56" s="105">
        <v>6.2</v>
      </c>
      <c r="Y56" s="105">
        <v>6.2</v>
      </c>
      <c r="Z56" s="105">
        <v>6.2</v>
      </c>
      <c r="AA56" s="105">
        <v>6.2</v>
      </c>
      <c r="AB56" s="105">
        <v>6.2</v>
      </c>
      <c r="AC56" s="105">
        <v>6.2</v>
      </c>
      <c r="AD56" s="105">
        <v>6.2</v>
      </c>
      <c r="AE56" s="105">
        <v>6.2</v>
      </c>
      <c r="AF56" s="105">
        <v>6.2</v>
      </c>
      <c r="AG56" s="94">
        <v>6.2</v>
      </c>
      <c r="AH56" s="20">
        <f t="shared" si="2"/>
        <v>6.2</v>
      </c>
      <c r="AI56" s="19">
        <f t="shared" si="3"/>
        <v>3.2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6">SUM(B45:B57)</f>
        <v>276.94</v>
      </c>
      <c r="C58" s="86">
        <f t="shared" si="6"/>
        <v>257.33999999999997</v>
      </c>
      <c r="D58" s="86">
        <f t="shared" si="6"/>
        <v>249.23999999999998</v>
      </c>
      <c r="E58" s="86">
        <f t="shared" si="6"/>
        <v>256.23999999999995</v>
      </c>
      <c r="F58" s="86">
        <f t="shared" si="6"/>
        <v>244.33999999999997</v>
      </c>
      <c r="G58" s="86">
        <f t="shared" si="6"/>
        <v>238.03999999999996</v>
      </c>
      <c r="H58" s="86">
        <f t="shared" si="6"/>
        <v>248.93999999999997</v>
      </c>
      <c r="I58" s="86">
        <f t="shared" si="6"/>
        <v>287.74</v>
      </c>
      <c r="J58" s="86">
        <f t="shared" si="6"/>
        <v>294.44</v>
      </c>
      <c r="K58" s="86">
        <f t="shared" si="6"/>
        <v>294.44</v>
      </c>
      <c r="L58" s="86">
        <f t="shared" si="6"/>
        <v>294.44</v>
      </c>
      <c r="M58" s="86">
        <f t="shared" si="6"/>
        <v>295.04000000000002</v>
      </c>
      <c r="N58" s="86">
        <f t="shared" si="6"/>
        <v>295.44</v>
      </c>
      <c r="O58" s="86">
        <f t="shared" si="6"/>
        <v>295.44</v>
      </c>
      <c r="P58" s="86">
        <f t="shared" si="6"/>
        <v>295.44</v>
      </c>
      <c r="Q58" s="86">
        <f t="shared" si="6"/>
        <v>296.03999999999996</v>
      </c>
      <c r="R58" s="86">
        <f t="shared" si="6"/>
        <v>296.03999999999996</v>
      </c>
      <c r="S58" s="86">
        <f t="shared" si="6"/>
        <v>296.03999999999996</v>
      </c>
      <c r="T58" s="86">
        <f t="shared" si="6"/>
        <v>291.43999999999994</v>
      </c>
      <c r="U58" s="86">
        <f t="shared" si="6"/>
        <v>291.43999999999994</v>
      </c>
      <c r="V58" s="86">
        <f t="shared" si="6"/>
        <v>291.43999999999994</v>
      </c>
      <c r="W58" s="86">
        <f t="shared" si="6"/>
        <v>291.43999999999994</v>
      </c>
      <c r="X58" s="86">
        <f t="shared" si="6"/>
        <v>295.74</v>
      </c>
      <c r="Y58" s="86">
        <f t="shared" si="6"/>
        <v>295.73999999999995</v>
      </c>
      <c r="Z58" s="86">
        <f t="shared" si="6"/>
        <v>295.73999999999995</v>
      </c>
      <c r="AA58" s="86">
        <f t="shared" si="6"/>
        <v>295.73999999999995</v>
      </c>
      <c r="AB58" s="86">
        <f t="shared" si="6"/>
        <v>293.23999999999995</v>
      </c>
      <c r="AC58" s="86">
        <f t="shared" si="6"/>
        <v>293.23999999999995</v>
      </c>
      <c r="AD58" s="86">
        <f t="shared" si="6"/>
        <v>293.23999999999995</v>
      </c>
      <c r="AE58" s="86">
        <f t="shared" si="6"/>
        <v>294.83999999999997</v>
      </c>
      <c r="AF58" s="86">
        <f t="shared" si="6"/>
        <v>289.83999999999997</v>
      </c>
      <c r="AG58" s="101">
        <f t="shared" si="6"/>
        <v>489.91</v>
      </c>
      <c r="AH58" s="20">
        <f t="shared" si="2"/>
        <v>296.03999999999996</v>
      </c>
      <c r="AI58" s="19">
        <f t="shared" si="3"/>
        <v>238.03999999999996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/>
      <c r="N60" s="80"/>
      <c r="O60" s="80"/>
      <c r="P60" s="80"/>
      <c r="Q60" s="80"/>
      <c r="R60" s="80"/>
      <c r="S60" s="80"/>
      <c r="T60" s="105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/>
      <c r="N61" s="107"/>
      <c r="O61" s="107"/>
      <c r="P61" s="107"/>
      <c r="Q61" s="107"/>
      <c r="R61" s="107"/>
      <c r="S61" s="107"/>
      <c r="T61" s="105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7">SUM(B59:B61)</f>
        <v>0</v>
      </c>
      <c r="C62" s="86">
        <f t="shared" si="7"/>
        <v>0</v>
      </c>
      <c r="D62" s="86">
        <f t="shared" si="7"/>
        <v>0</v>
      </c>
      <c r="E62" s="86">
        <f t="shared" si="7"/>
        <v>0</v>
      </c>
      <c r="F62" s="86">
        <f t="shared" si="7"/>
        <v>0</v>
      </c>
      <c r="G62" s="86">
        <f t="shared" si="7"/>
        <v>0</v>
      </c>
      <c r="H62" s="86">
        <f t="shared" si="7"/>
        <v>0</v>
      </c>
      <c r="I62" s="86">
        <f t="shared" si="7"/>
        <v>0</v>
      </c>
      <c r="J62" s="86">
        <f t="shared" si="7"/>
        <v>0</v>
      </c>
      <c r="K62" s="86">
        <f t="shared" si="7"/>
        <v>0</v>
      </c>
      <c r="L62" s="86">
        <f t="shared" si="7"/>
        <v>0</v>
      </c>
      <c r="M62" s="86">
        <f t="shared" si="7"/>
        <v>0</v>
      </c>
      <c r="N62" s="86">
        <f t="shared" si="7"/>
        <v>0</v>
      </c>
      <c r="O62" s="86">
        <f t="shared" si="7"/>
        <v>0</v>
      </c>
      <c r="P62" s="86">
        <f t="shared" si="7"/>
        <v>0</v>
      </c>
      <c r="Q62" s="86">
        <f t="shared" si="7"/>
        <v>0</v>
      </c>
      <c r="R62" s="86">
        <f t="shared" si="7"/>
        <v>0</v>
      </c>
      <c r="S62" s="86">
        <f t="shared" si="7"/>
        <v>0</v>
      </c>
      <c r="T62" s="86">
        <f t="shared" si="7"/>
        <v>0</v>
      </c>
      <c r="U62" s="86">
        <f t="shared" si="7"/>
        <v>0</v>
      </c>
      <c r="V62" s="86">
        <f t="shared" si="7"/>
        <v>0</v>
      </c>
      <c r="W62" s="86">
        <f t="shared" si="7"/>
        <v>0</v>
      </c>
      <c r="X62" s="86">
        <f t="shared" si="7"/>
        <v>0</v>
      </c>
      <c r="Y62" s="86">
        <f t="shared" si="7"/>
        <v>0</v>
      </c>
      <c r="Z62" s="86">
        <f t="shared" si="7"/>
        <v>0</v>
      </c>
      <c r="AA62" s="86">
        <f t="shared" si="7"/>
        <v>0</v>
      </c>
      <c r="AB62" s="86">
        <f t="shared" si="7"/>
        <v>0</v>
      </c>
      <c r="AC62" s="86">
        <f t="shared" si="7"/>
        <v>0</v>
      </c>
      <c r="AD62" s="86">
        <f t="shared" si="7"/>
        <v>0</v>
      </c>
      <c r="AE62" s="86">
        <f t="shared" si="7"/>
        <v>0</v>
      </c>
      <c r="AF62" s="86">
        <f t="shared" si="7"/>
        <v>0</v>
      </c>
      <c r="AG62" s="101">
        <f t="shared" si="7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/>
      <c r="S63" s="105">
        <v>0</v>
      </c>
      <c r="T63" s="105">
        <v>0</v>
      </c>
      <c r="U63" s="105">
        <v>0</v>
      </c>
      <c r="V63" s="105">
        <v>0</v>
      </c>
      <c r="W63" s="105">
        <v>0</v>
      </c>
      <c r="X63" s="105">
        <v>45.1</v>
      </c>
      <c r="Y63" s="105">
        <v>49.4</v>
      </c>
      <c r="Z63" s="105">
        <v>45</v>
      </c>
      <c r="AA63" s="105">
        <v>46.6</v>
      </c>
      <c r="AB63" s="105">
        <v>17.2</v>
      </c>
      <c r="AC63" s="105">
        <v>0</v>
      </c>
      <c r="AD63" s="105">
        <v>0</v>
      </c>
      <c r="AE63" s="105">
        <v>0</v>
      </c>
      <c r="AF63" s="105">
        <v>0</v>
      </c>
      <c r="AG63" s="96"/>
      <c r="AH63" s="20">
        <f t="shared" si="2"/>
        <v>49.4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/>
      <c r="S64" s="80">
        <v>0</v>
      </c>
      <c r="T64" s="105">
        <v>0</v>
      </c>
      <c r="U64" s="105">
        <v>0</v>
      </c>
      <c r="V64" s="105">
        <v>0</v>
      </c>
      <c r="W64" s="105">
        <v>0</v>
      </c>
      <c r="X64" s="105">
        <v>0</v>
      </c>
      <c r="Y64" s="105">
        <v>0</v>
      </c>
      <c r="Z64" s="105">
        <v>0</v>
      </c>
      <c r="AA64" s="105">
        <v>0</v>
      </c>
      <c r="AB64" s="105">
        <v>0</v>
      </c>
      <c r="AC64" s="105">
        <v>0</v>
      </c>
      <c r="AD64" s="105">
        <v>0</v>
      </c>
      <c r="AE64" s="105">
        <v>0</v>
      </c>
      <c r="AF64" s="105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-405.7</v>
      </c>
      <c r="C65" s="80">
        <v>-417.6</v>
      </c>
      <c r="D65" s="80">
        <v>-427</v>
      </c>
      <c r="E65" s="80">
        <v>-436</v>
      </c>
      <c r="F65" s="80">
        <v>-440</v>
      </c>
      <c r="G65" s="80">
        <v>-412.3</v>
      </c>
      <c r="H65" s="80">
        <v>-430</v>
      </c>
      <c r="I65" s="80">
        <v>-413.3</v>
      </c>
      <c r="J65" s="80">
        <v>-431.2</v>
      </c>
      <c r="K65" s="80">
        <v>-404</v>
      </c>
      <c r="L65" s="80">
        <v>-402</v>
      </c>
      <c r="M65" s="80">
        <v>-417.5</v>
      </c>
      <c r="N65" s="80">
        <v>-435</v>
      </c>
      <c r="O65" s="80">
        <v>-420.1</v>
      </c>
      <c r="P65" s="80">
        <v>-415.6</v>
      </c>
      <c r="Q65" s="80">
        <v>-395</v>
      </c>
      <c r="R65" s="80">
        <v>-408.2</v>
      </c>
      <c r="S65" s="80">
        <v>-400</v>
      </c>
      <c r="T65" s="105">
        <v>-380</v>
      </c>
      <c r="U65" s="105">
        <v>-404</v>
      </c>
      <c r="V65" s="105">
        <v>-416</v>
      </c>
      <c r="W65" s="105">
        <v>-345</v>
      </c>
      <c r="X65" s="105">
        <v>-252</v>
      </c>
      <c r="Y65" s="105">
        <v>-259</v>
      </c>
      <c r="Z65" s="105">
        <v>-330</v>
      </c>
      <c r="AA65" s="105">
        <v>-346.6</v>
      </c>
      <c r="AB65" s="105">
        <v>-384</v>
      </c>
      <c r="AC65" s="105">
        <v>-374</v>
      </c>
      <c r="AD65" s="105">
        <v>-413</v>
      </c>
      <c r="AE65" s="105">
        <v>-384</v>
      </c>
      <c r="AF65" s="105">
        <v>-394</v>
      </c>
      <c r="AG65" s="102"/>
      <c r="AH65" s="20">
        <f t="shared" si="2"/>
        <v>-252</v>
      </c>
      <c r="AI65" s="19">
        <f t="shared" si="3"/>
        <v>-440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105">
        <v>0</v>
      </c>
      <c r="U66" s="105">
        <v>0</v>
      </c>
      <c r="V66" s="105">
        <v>0</v>
      </c>
      <c r="W66" s="105">
        <v>0</v>
      </c>
      <c r="X66" s="105">
        <v>0</v>
      </c>
      <c r="Y66" s="105">
        <v>0</v>
      </c>
      <c r="Z66" s="105">
        <v>0</v>
      </c>
      <c r="AA66" s="105">
        <v>0</v>
      </c>
      <c r="AB66" s="105">
        <v>0</v>
      </c>
      <c r="AC66" s="105">
        <v>0</v>
      </c>
      <c r="AD66" s="105">
        <v>0</v>
      </c>
      <c r="AE66" s="105">
        <v>0</v>
      </c>
      <c r="AF66" s="105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5">
        <v>0</v>
      </c>
      <c r="U68" s="105">
        <v>0</v>
      </c>
      <c r="V68" s="105">
        <v>0</v>
      </c>
      <c r="W68" s="105">
        <v>0</v>
      </c>
      <c r="X68" s="105">
        <v>0</v>
      </c>
      <c r="Y68" s="105">
        <v>0</v>
      </c>
      <c r="Z68" s="105">
        <v>0</v>
      </c>
      <c r="AA68" s="105">
        <v>0</v>
      </c>
      <c r="AB68" s="105">
        <v>0</v>
      </c>
      <c r="AC68" s="105">
        <v>0</v>
      </c>
      <c r="AD68" s="105">
        <v>0</v>
      </c>
      <c r="AE68" s="105">
        <v>0</v>
      </c>
      <c r="AF68" s="105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5">
        <v>0</v>
      </c>
      <c r="U69" s="105">
        <v>0</v>
      </c>
      <c r="V69" s="105">
        <v>0</v>
      </c>
      <c r="W69" s="105">
        <v>0</v>
      </c>
      <c r="X69" s="105">
        <v>0</v>
      </c>
      <c r="Y69" s="105">
        <v>0</v>
      </c>
      <c r="Z69" s="105">
        <v>0</v>
      </c>
      <c r="AA69" s="105">
        <v>0</v>
      </c>
      <c r="AB69" s="105">
        <v>0</v>
      </c>
      <c r="AC69" s="105">
        <v>0</v>
      </c>
      <c r="AD69" s="105">
        <v>0</v>
      </c>
      <c r="AE69" s="105">
        <v>0</v>
      </c>
      <c r="AF69" s="105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105">
        <v>0</v>
      </c>
      <c r="U70" s="105">
        <v>0</v>
      </c>
      <c r="V70" s="105">
        <v>0</v>
      </c>
      <c r="W70" s="105">
        <v>0</v>
      </c>
      <c r="X70" s="105">
        <v>0</v>
      </c>
      <c r="Y70" s="105">
        <v>0</v>
      </c>
      <c r="Z70" s="105">
        <v>0</v>
      </c>
      <c r="AA70" s="105">
        <v>0</v>
      </c>
      <c r="AB70" s="105">
        <v>0</v>
      </c>
      <c r="AC70" s="105">
        <v>0</v>
      </c>
      <c r="AD70" s="105">
        <v>0</v>
      </c>
      <c r="AE70" s="105">
        <v>0</v>
      </c>
      <c r="AF70" s="105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105">
        <v>0</v>
      </c>
      <c r="U71" s="105">
        <v>0</v>
      </c>
      <c r="V71" s="105">
        <v>0</v>
      </c>
      <c r="W71" s="105">
        <v>0</v>
      </c>
      <c r="X71" s="105">
        <v>0</v>
      </c>
      <c r="Y71" s="105">
        <v>0</v>
      </c>
      <c r="Z71" s="105">
        <v>0</v>
      </c>
      <c r="AA71" s="105">
        <v>0</v>
      </c>
      <c r="AB71" s="105">
        <v>0</v>
      </c>
      <c r="AC71" s="105">
        <v>0</v>
      </c>
      <c r="AD71" s="105">
        <v>0</v>
      </c>
      <c r="AE71" s="105">
        <v>0</v>
      </c>
      <c r="AF71" s="105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Z72" s="105">
        <v>0</v>
      </c>
      <c r="AA72" s="105">
        <v>0</v>
      </c>
      <c r="AB72" s="105">
        <v>0</v>
      </c>
      <c r="AC72" s="105">
        <v>0</v>
      </c>
      <c r="AD72" s="105">
        <v>0</v>
      </c>
      <c r="AE72" s="105">
        <v>0</v>
      </c>
      <c r="AF72" s="105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105">
        <v>0</v>
      </c>
      <c r="U73" s="105">
        <v>0</v>
      </c>
      <c r="V73" s="105">
        <v>0</v>
      </c>
      <c r="W73" s="105">
        <v>0</v>
      </c>
      <c r="X73" s="105">
        <v>0</v>
      </c>
      <c r="Y73" s="105">
        <v>0</v>
      </c>
      <c r="Z73" s="105">
        <v>0</v>
      </c>
      <c r="AA73" s="105">
        <v>0</v>
      </c>
      <c r="AB73" s="105">
        <v>0</v>
      </c>
      <c r="AC73" s="105">
        <v>0</v>
      </c>
      <c r="AD73" s="105">
        <v>0</v>
      </c>
      <c r="AE73" s="105">
        <v>0</v>
      </c>
      <c r="AF73" s="105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8">SUMIF(B63:B73,"&gt;0")</f>
        <v>0</v>
      </c>
      <c r="C74" s="86">
        <f t="shared" si="8"/>
        <v>0</v>
      </c>
      <c r="D74" s="86">
        <f t="shared" si="8"/>
        <v>0</v>
      </c>
      <c r="E74" s="86">
        <f t="shared" si="8"/>
        <v>0</v>
      </c>
      <c r="F74" s="86">
        <f t="shared" si="8"/>
        <v>0</v>
      </c>
      <c r="G74" s="86">
        <f t="shared" si="8"/>
        <v>0</v>
      </c>
      <c r="H74" s="86">
        <f t="shared" si="8"/>
        <v>0</v>
      </c>
      <c r="I74" s="86">
        <f t="shared" si="8"/>
        <v>0</v>
      </c>
      <c r="J74" s="86">
        <f t="shared" si="8"/>
        <v>0</v>
      </c>
      <c r="K74" s="86">
        <f t="shared" si="8"/>
        <v>0</v>
      </c>
      <c r="L74" s="86">
        <f t="shared" si="8"/>
        <v>0</v>
      </c>
      <c r="M74" s="86">
        <f t="shared" si="8"/>
        <v>0</v>
      </c>
      <c r="N74" s="86">
        <f t="shared" ref="N74" si="9">SUMIF(N63:N73,"&gt;0")</f>
        <v>0</v>
      </c>
      <c r="O74" s="86">
        <f t="shared" si="8"/>
        <v>0</v>
      </c>
      <c r="P74" s="86">
        <f t="shared" si="8"/>
        <v>0</v>
      </c>
      <c r="Q74" s="86">
        <f t="shared" si="8"/>
        <v>0</v>
      </c>
      <c r="R74" s="86">
        <f t="shared" si="8"/>
        <v>0</v>
      </c>
      <c r="S74" s="86">
        <f t="shared" si="8"/>
        <v>0</v>
      </c>
      <c r="T74" s="86">
        <f t="shared" si="8"/>
        <v>0</v>
      </c>
      <c r="U74" s="86">
        <f t="shared" si="8"/>
        <v>0</v>
      </c>
      <c r="V74" s="86">
        <f t="shared" si="8"/>
        <v>0</v>
      </c>
      <c r="W74" s="86">
        <f t="shared" si="8"/>
        <v>0</v>
      </c>
      <c r="X74" s="86">
        <f t="shared" si="8"/>
        <v>45.1</v>
      </c>
      <c r="Y74" s="86">
        <f t="shared" si="8"/>
        <v>49.4</v>
      </c>
      <c r="Z74" s="86">
        <f t="shared" si="8"/>
        <v>45</v>
      </c>
      <c r="AA74" s="86">
        <f t="shared" si="8"/>
        <v>46.6</v>
      </c>
      <c r="AB74" s="86">
        <f t="shared" si="8"/>
        <v>17.2</v>
      </c>
      <c r="AC74" s="86">
        <f t="shared" si="8"/>
        <v>0</v>
      </c>
      <c r="AD74" s="86">
        <f t="shared" si="8"/>
        <v>0</v>
      </c>
      <c r="AE74" s="86">
        <f t="shared" si="8"/>
        <v>0</v>
      </c>
      <c r="AF74" s="86">
        <f t="shared" si="8"/>
        <v>0</v>
      </c>
      <c r="AG74" s="85">
        <f>SUM(AG63:AG73)</f>
        <v>0</v>
      </c>
      <c r="AH74" s="20">
        <f t="shared" si="2"/>
        <v>49.4</v>
      </c>
      <c r="AI74" s="19">
        <f t="shared" si="3"/>
        <v>0</v>
      </c>
      <c r="AK74" s="41"/>
    </row>
    <row r="75" spans="1:37" x14ac:dyDescent="0.25">
      <c r="A75" s="97" t="s">
        <v>164</v>
      </c>
      <c r="B75" s="93">
        <v>0</v>
      </c>
      <c r="C75" s="93">
        <v>0</v>
      </c>
      <c r="D75" s="93">
        <v>0</v>
      </c>
      <c r="E75" s="93">
        <v>0</v>
      </c>
      <c r="F75" s="93">
        <v>0</v>
      </c>
      <c r="G75" s="93">
        <v>0</v>
      </c>
      <c r="H75" s="93">
        <v>0</v>
      </c>
      <c r="I75" s="93">
        <v>0</v>
      </c>
      <c r="J75" s="93">
        <v>0</v>
      </c>
      <c r="K75" s="93">
        <v>0</v>
      </c>
      <c r="L75" s="93">
        <v>0</v>
      </c>
      <c r="M75" s="93"/>
      <c r="N75" s="93"/>
      <c r="O75" s="93"/>
      <c r="P75" s="93"/>
      <c r="Q75" s="93"/>
      <c r="R75" s="93"/>
      <c r="S75" s="93"/>
      <c r="T75" s="105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>
        <v>0</v>
      </c>
      <c r="C76" s="103">
        <v>0</v>
      </c>
      <c r="D76" s="103">
        <v>0</v>
      </c>
      <c r="E76" s="103">
        <v>0</v>
      </c>
      <c r="F76" s="103">
        <v>0</v>
      </c>
      <c r="G76" s="103">
        <v>0</v>
      </c>
      <c r="H76" s="103">
        <v>0</v>
      </c>
      <c r="I76" s="103">
        <v>0</v>
      </c>
      <c r="J76" s="103">
        <v>0</v>
      </c>
      <c r="K76" s="103">
        <v>0</v>
      </c>
      <c r="L76" s="103">
        <v>0</v>
      </c>
      <c r="M76" s="103"/>
      <c r="N76" s="103"/>
      <c r="O76" s="103"/>
      <c r="P76" s="103"/>
      <c r="Q76" s="103"/>
      <c r="R76" s="103"/>
      <c r="S76" s="103"/>
      <c r="T76" s="105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2">
        <v>14.4</v>
      </c>
      <c r="AH76" s="20">
        <f t="shared" ref="AH76:AH109" si="10">MAX(B76:AF76)</f>
        <v>0</v>
      </c>
      <c r="AI76" s="19">
        <f t="shared" ref="AI76:AI109" si="11">MIN(B76:AF76)</f>
        <v>0</v>
      </c>
      <c r="AK76" s="41"/>
    </row>
    <row r="77" spans="1:37" ht="15.75" thickBot="1" x14ac:dyDescent="0.3">
      <c r="A77" s="91" t="s">
        <v>162</v>
      </c>
      <c r="B77" s="90">
        <v>0</v>
      </c>
      <c r="C77" s="90">
        <v>0</v>
      </c>
      <c r="D77" s="90">
        <v>0</v>
      </c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/>
      <c r="N77" s="90"/>
      <c r="O77" s="90"/>
      <c r="P77" s="90"/>
      <c r="Q77" s="90"/>
      <c r="R77" s="90"/>
      <c r="S77" s="90"/>
      <c r="T77" s="105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89">
        <v>2</v>
      </c>
      <c r="AH77" s="20">
        <f t="shared" si="10"/>
        <v>0</v>
      </c>
      <c r="AI77" s="19">
        <f t="shared" si="11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10"/>
        <v>0</v>
      </c>
      <c r="AI78" s="19">
        <f t="shared" si="11"/>
        <v>0</v>
      </c>
    </row>
    <row r="79" spans="1:37" ht="15.75" thickBot="1" x14ac:dyDescent="0.3">
      <c r="A79" s="87" t="s">
        <v>160</v>
      </c>
      <c r="B79" s="98">
        <f t="shared" ref="B79:AG79" si="12">B40+B44+B62+B58+B74+B78</f>
        <v>1487.64</v>
      </c>
      <c r="C79" s="98">
        <f t="shared" si="12"/>
        <v>1468.04</v>
      </c>
      <c r="D79" s="98">
        <f t="shared" si="12"/>
        <v>1459.9399999999998</v>
      </c>
      <c r="E79" s="98">
        <f t="shared" si="12"/>
        <v>1458.74</v>
      </c>
      <c r="F79" s="98">
        <f t="shared" si="12"/>
        <v>1436.84</v>
      </c>
      <c r="G79" s="98">
        <f t="shared" si="12"/>
        <v>1430.54</v>
      </c>
      <c r="H79" s="98">
        <f t="shared" si="12"/>
        <v>1471.44</v>
      </c>
      <c r="I79" s="98">
        <f t="shared" si="12"/>
        <v>1489.84</v>
      </c>
      <c r="J79" s="98">
        <f t="shared" si="12"/>
        <v>1538.24</v>
      </c>
      <c r="K79" s="98">
        <f t="shared" si="12"/>
        <v>1584.3400000000001</v>
      </c>
      <c r="L79" s="98">
        <f t="shared" si="12"/>
        <v>1599.24</v>
      </c>
      <c r="M79" s="98">
        <f t="shared" si="12"/>
        <v>1636.54</v>
      </c>
      <c r="N79" s="98">
        <f t="shared" si="12"/>
        <v>1617.1399999999999</v>
      </c>
      <c r="O79" s="98">
        <f t="shared" si="12"/>
        <v>1625.1399999999999</v>
      </c>
      <c r="P79" s="98">
        <f t="shared" si="12"/>
        <v>1607.04</v>
      </c>
      <c r="Q79" s="98">
        <f t="shared" si="12"/>
        <v>1615.6399999999999</v>
      </c>
      <c r="R79" s="98">
        <f t="shared" si="12"/>
        <v>1615.6399999999999</v>
      </c>
      <c r="S79" s="98">
        <f t="shared" si="12"/>
        <v>1619.1399999999999</v>
      </c>
      <c r="T79" s="86">
        <f t="shared" si="12"/>
        <v>1614.7399999999998</v>
      </c>
      <c r="U79" s="98">
        <f t="shared" si="12"/>
        <v>1624.1399999999999</v>
      </c>
      <c r="V79" s="98">
        <f t="shared" si="12"/>
        <v>1623.94</v>
      </c>
      <c r="W79" s="98">
        <f t="shared" si="12"/>
        <v>1638.94</v>
      </c>
      <c r="X79" s="98">
        <f t="shared" si="12"/>
        <v>1734.34</v>
      </c>
      <c r="Y79" s="98">
        <f t="shared" si="12"/>
        <v>1733.94</v>
      </c>
      <c r="Z79" s="98">
        <f t="shared" si="12"/>
        <v>1729.54</v>
      </c>
      <c r="AA79" s="98">
        <f t="shared" si="12"/>
        <v>1731.1399999999999</v>
      </c>
      <c r="AB79" s="98">
        <f t="shared" si="12"/>
        <v>1712.44</v>
      </c>
      <c r="AC79" s="98">
        <f t="shared" si="12"/>
        <v>1688.24</v>
      </c>
      <c r="AD79" s="98">
        <f t="shared" si="12"/>
        <v>1666.24</v>
      </c>
      <c r="AE79" s="98">
        <f t="shared" si="12"/>
        <v>1583.9399999999998</v>
      </c>
      <c r="AF79" s="98">
        <f t="shared" si="12"/>
        <v>1553.74</v>
      </c>
      <c r="AG79" s="101">
        <f t="shared" si="12"/>
        <v>1897.1900000000003</v>
      </c>
      <c r="AH79" s="20">
        <f t="shared" si="10"/>
        <v>1734.34</v>
      </c>
      <c r="AI79" s="19">
        <f t="shared" si="11"/>
        <v>1430.54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105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10"/>
        <v>0</v>
      </c>
      <c r="AI80" s="19">
        <f t="shared" si="11"/>
        <v>0</v>
      </c>
    </row>
    <row r="81" spans="1:37" ht="15.75" thickBot="1" x14ac:dyDescent="0.3">
      <c r="A81" s="87" t="s">
        <v>158</v>
      </c>
      <c r="B81" s="98">
        <f t="shared" ref="B81:AF81" si="13">B79+B80</f>
        <v>1487.64</v>
      </c>
      <c r="C81" s="98">
        <f t="shared" si="13"/>
        <v>1468.04</v>
      </c>
      <c r="D81" s="98">
        <f t="shared" si="13"/>
        <v>1459.9399999999998</v>
      </c>
      <c r="E81" s="98">
        <f t="shared" si="13"/>
        <v>1458.74</v>
      </c>
      <c r="F81" s="98">
        <f t="shared" si="13"/>
        <v>1436.84</v>
      </c>
      <c r="G81" s="98">
        <f t="shared" si="13"/>
        <v>1430.54</v>
      </c>
      <c r="H81" s="98">
        <f t="shared" si="13"/>
        <v>1471.44</v>
      </c>
      <c r="I81" s="98">
        <f t="shared" si="13"/>
        <v>1489.84</v>
      </c>
      <c r="J81" s="98">
        <f t="shared" si="13"/>
        <v>1538.24</v>
      </c>
      <c r="K81" s="98">
        <f t="shared" si="13"/>
        <v>1584.3400000000001</v>
      </c>
      <c r="L81" s="98">
        <f t="shared" si="13"/>
        <v>1599.24</v>
      </c>
      <c r="M81" s="98">
        <f t="shared" si="13"/>
        <v>1636.54</v>
      </c>
      <c r="N81" s="98">
        <f t="shared" si="13"/>
        <v>1617.1399999999999</v>
      </c>
      <c r="O81" s="98">
        <f t="shared" si="13"/>
        <v>1625.1399999999999</v>
      </c>
      <c r="P81" s="98">
        <f t="shared" si="13"/>
        <v>1607.04</v>
      </c>
      <c r="Q81" s="98">
        <f t="shared" si="13"/>
        <v>1615.6399999999999</v>
      </c>
      <c r="R81" s="98">
        <f t="shared" si="13"/>
        <v>1615.6399999999999</v>
      </c>
      <c r="S81" s="98">
        <f t="shared" si="13"/>
        <v>1619.1399999999999</v>
      </c>
      <c r="T81" s="98">
        <f t="shared" si="13"/>
        <v>1614.7399999999998</v>
      </c>
      <c r="U81" s="98">
        <f t="shared" si="13"/>
        <v>1624.1399999999999</v>
      </c>
      <c r="V81" s="98">
        <f t="shared" si="13"/>
        <v>1623.94</v>
      </c>
      <c r="W81" s="98">
        <f t="shared" si="13"/>
        <v>1638.94</v>
      </c>
      <c r="X81" s="98">
        <f t="shared" si="13"/>
        <v>1734.34</v>
      </c>
      <c r="Y81" s="98">
        <f t="shared" si="13"/>
        <v>1733.94</v>
      </c>
      <c r="Z81" s="98">
        <f t="shared" si="13"/>
        <v>1729.54</v>
      </c>
      <c r="AA81" s="98">
        <f t="shared" si="13"/>
        <v>1731.1399999999999</v>
      </c>
      <c r="AB81" s="98">
        <f t="shared" si="13"/>
        <v>1712.44</v>
      </c>
      <c r="AC81" s="98">
        <f t="shared" si="13"/>
        <v>1688.24</v>
      </c>
      <c r="AD81" s="98">
        <f t="shared" si="13"/>
        <v>1666.24</v>
      </c>
      <c r="AE81" s="98">
        <f t="shared" si="13"/>
        <v>1583.9399999999998</v>
      </c>
      <c r="AF81" s="98">
        <f t="shared" si="13"/>
        <v>1553.74</v>
      </c>
      <c r="AG81" s="85">
        <f>AG78+AG74+AG62+AG58+AG40+AG80</f>
        <v>1359.0900000000001</v>
      </c>
      <c r="AH81" s="20">
        <f t="shared" si="10"/>
        <v>1734.34</v>
      </c>
      <c r="AI81" s="19">
        <f t="shared" si="11"/>
        <v>1430.54</v>
      </c>
    </row>
    <row r="82" spans="1:37" ht="15.75" thickBot="1" x14ac:dyDescent="0.3">
      <c r="A82" s="87" t="s">
        <v>157</v>
      </c>
      <c r="B82" s="98">
        <f t="shared" ref="B82:AF82" si="14">B81-B89</f>
        <v>1081.94</v>
      </c>
      <c r="C82" s="98">
        <f t="shared" si="14"/>
        <v>1050.44</v>
      </c>
      <c r="D82" s="98">
        <f t="shared" si="14"/>
        <v>1032.9399999999998</v>
      </c>
      <c r="E82" s="98">
        <f t="shared" si="14"/>
        <v>1022.74</v>
      </c>
      <c r="F82" s="98">
        <f t="shared" si="14"/>
        <v>996.83999999999992</v>
      </c>
      <c r="G82" s="98">
        <f t="shared" si="14"/>
        <v>1018.24</v>
      </c>
      <c r="H82" s="98">
        <f t="shared" si="14"/>
        <v>1041.44</v>
      </c>
      <c r="I82" s="98">
        <f t="shared" si="14"/>
        <v>1076.54</v>
      </c>
      <c r="J82" s="98">
        <f t="shared" si="14"/>
        <v>1107.04</v>
      </c>
      <c r="K82" s="98">
        <f t="shared" si="14"/>
        <v>1180.3400000000001</v>
      </c>
      <c r="L82" s="98">
        <f t="shared" si="14"/>
        <v>1197.24</v>
      </c>
      <c r="M82" s="98">
        <f t="shared" si="14"/>
        <v>1219.04</v>
      </c>
      <c r="N82" s="98">
        <f t="shared" si="14"/>
        <v>1182.1399999999999</v>
      </c>
      <c r="O82" s="98">
        <f t="shared" si="14"/>
        <v>1205.04</v>
      </c>
      <c r="P82" s="98">
        <f t="shared" si="14"/>
        <v>1191.44</v>
      </c>
      <c r="Q82" s="98">
        <f t="shared" si="14"/>
        <v>1220.6399999999999</v>
      </c>
      <c r="R82" s="98">
        <f t="shared" si="14"/>
        <v>1207.4399999999998</v>
      </c>
      <c r="S82" s="98">
        <f t="shared" si="14"/>
        <v>1219.1399999999999</v>
      </c>
      <c r="T82" s="98">
        <f t="shared" si="14"/>
        <v>1234.7399999999998</v>
      </c>
      <c r="U82" s="98">
        <f t="shared" si="14"/>
        <v>1220.1399999999999</v>
      </c>
      <c r="V82" s="98">
        <f t="shared" si="14"/>
        <v>1207.94</v>
      </c>
      <c r="W82" s="98">
        <f t="shared" si="14"/>
        <v>1293.94</v>
      </c>
      <c r="X82" s="98">
        <f t="shared" si="14"/>
        <v>1482.34</v>
      </c>
      <c r="Y82" s="98">
        <f t="shared" si="14"/>
        <v>1474.94</v>
      </c>
      <c r="Z82" s="98">
        <f t="shared" si="14"/>
        <v>1399.54</v>
      </c>
      <c r="AA82" s="98">
        <f t="shared" si="14"/>
        <v>1384.54</v>
      </c>
      <c r="AB82" s="98">
        <f t="shared" si="14"/>
        <v>1328.44</v>
      </c>
      <c r="AC82" s="98">
        <f t="shared" si="14"/>
        <v>1314.24</v>
      </c>
      <c r="AD82" s="98">
        <f t="shared" si="14"/>
        <v>1253.24</v>
      </c>
      <c r="AE82" s="98">
        <f t="shared" si="14"/>
        <v>1199.9399999999998</v>
      </c>
      <c r="AF82" s="98">
        <f t="shared" si="14"/>
        <v>1159.74</v>
      </c>
      <c r="AG82" s="85"/>
      <c r="AH82" s="20">
        <f t="shared" si="10"/>
        <v>1482.34</v>
      </c>
      <c r="AI82" s="19">
        <f t="shared" si="11"/>
        <v>996.83999999999992</v>
      </c>
    </row>
    <row r="83" spans="1:37" x14ac:dyDescent="0.25">
      <c r="A83" s="97" t="s">
        <v>156</v>
      </c>
      <c r="B83" s="93">
        <f t="shared" ref="B83:AF83" si="15">IF(B66&lt;0,B66*-1,0)</f>
        <v>0</v>
      </c>
      <c r="C83" s="93">
        <f t="shared" si="15"/>
        <v>0</v>
      </c>
      <c r="D83" s="93">
        <f t="shared" si="15"/>
        <v>0</v>
      </c>
      <c r="E83" s="93">
        <f t="shared" si="15"/>
        <v>0</v>
      </c>
      <c r="F83" s="93">
        <f t="shared" si="15"/>
        <v>0</v>
      </c>
      <c r="G83" s="93">
        <f t="shared" si="15"/>
        <v>0</v>
      </c>
      <c r="H83" s="93">
        <f t="shared" si="15"/>
        <v>0</v>
      </c>
      <c r="I83" s="93">
        <f t="shared" si="15"/>
        <v>0</v>
      </c>
      <c r="J83" s="93">
        <f t="shared" si="15"/>
        <v>0</v>
      </c>
      <c r="K83" s="93">
        <f t="shared" si="15"/>
        <v>0</v>
      </c>
      <c r="L83" s="93">
        <f t="shared" si="15"/>
        <v>0</v>
      </c>
      <c r="M83" s="93">
        <f t="shared" si="15"/>
        <v>0</v>
      </c>
      <c r="N83" s="93">
        <f t="shared" si="15"/>
        <v>0</v>
      </c>
      <c r="O83" s="93">
        <f t="shared" si="15"/>
        <v>0</v>
      </c>
      <c r="P83" s="93">
        <f t="shared" si="15"/>
        <v>0</v>
      </c>
      <c r="Q83" s="93">
        <f t="shared" si="15"/>
        <v>0</v>
      </c>
      <c r="R83" s="93">
        <f t="shared" si="15"/>
        <v>0</v>
      </c>
      <c r="S83" s="93">
        <f t="shared" si="15"/>
        <v>0</v>
      </c>
      <c r="T83" s="105">
        <f t="shared" si="15"/>
        <v>0</v>
      </c>
      <c r="U83" s="93">
        <f t="shared" si="15"/>
        <v>0</v>
      </c>
      <c r="V83" s="93">
        <f t="shared" si="15"/>
        <v>0</v>
      </c>
      <c r="W83" s="93">
        <f t="shared" si="15"/>
        <v>0</v>
      </c>
      <c r="X83" s="93">
        <f t="shared" si="15"/>
        <v>0</v>
      </c>
      <c r="Y83" s="93">
        <f t="shared" si="15"/>
        <v>0</v>
      </c>
      <c r="Z83" s="93">
        <f t="shared" si="15"/>
        <v>0</v>
      </c>
      <c r="AA83" s="93">
        <f t="shared" si="15"/>
        <v>0</v>
      </c>
      <c r="AB83" s="93">
        <f t="shared" si="15"/>
        <v>0</v>
      </c>
      <c r="AC83" s="93">
        <f t="shared" si="15"/>
        <v>0</v>
      </c>
      <c r="AD83" s="93">
        <f t="shared" si="15"/>
        <v>0</v>
      </c>
      <c r="AE83" s="93">
        <f t="shared" si="15"/>
        <v>0</v>
      </c>
      <c r="AF83" s="93">
        <f t="shared" si="15"/>
        <v>0</v>
      </c>
      <c r="AG83" s="96"/>
      <c r="AH83" s="20">
        <f t="shared" si="10"/>
        <v>0</v>
      </c>
      <c r="AI83" s="19">
        <f t="shared" si="11"/>
        <v>0</v>
      </c>
    </row>
    <row r="84" spans="1:37" x14ac:dyDescent="0.25">
      <c r="A84" s="95" t="s">
        <v>155</v>
      </c>
      <c r="B84" s="93">
        <f t="shared" ref="B84:AF84" si="16">IF(B64&lt;0,B64*-1,0)</f>
        <v>0</v>
      </c>
      <c r="C84" s="93">
        <f t="shared" si="16"/>
        <v>0</v>
      </c>
      <c r="D84" s="93">
        <f t="shared" si="16"/>
        <v>0</v>
      </c>
      <c r="E84" s="93">
        <f t="shared" si="16"/>
        <v>0</v>
      </c>
      <c r="F84" s="93">
        <f t="shared" si="16"/>
        <v>0</v>
      </c>
      <c r="G84" s="93">
        <f t="shared" si="16"/>
        <v>0</v>
      </c>
      <c r="H84" s="93">
        <f t="shared" si="16"/>
        <v>0</v>
      </c>
      <c r="I84" s="93">
        <f t="shared" si="16"/>
        <v>0</v>
      </c>
      <c r="J84" s="93">
        <f t="shared" si="16"/>
        <v>0</v>
      </c>
      <c r="K84" s="93">
        <f t="shared" si="16"/>
        <v>0</v>
      </c>
      <c r="L84" s="93">
        <f t="shared" si="16"/>
        <v>0</v>
      </c>
      <c r="M84" s="93">
        <f t="shared" si="16"/>
        <v>0</v>
      </c>
      <c r="N84" s="93">
        <f t="shared" si="16"/>
        <v>0</v>
      </c>
      <c r="O84" s="93">
        <f t="shared" si="16"/>
        <v>0</v>
      </c>
      <c r="P84" s="93">
        <f t="shared" si="16"/>
        <v>0</v>
      </c>
      <c r="Q84" s="93">
        <f t="shared" si="16"/>
        <v>0</v>
      </c>
      <c r="R84" s="93">
        <f t="shared" si="16"/>
        <v>0</v>
      </c>
      <c r="S84" s="93">
        <f t="shared" si="16"/>
        <v>0</v>
      </c>
      <c r="T84" s="105">
        <f t="shared" si="16"/>
        <v>0</v>
      </c>
      <c r="U84" s="93">
        <f t="shared" si="16"/>
        <v>0</v>
      </c>
      <c r="V84" s="93">
        <f t="shared" si="16"/>
        <v>0</v>
      </c>
      <c r="W84" s="93">
        <f t="shared" si="16"/>
        <v>0</v>
      </c>
      <c r="X84" s="93">
        <f t="shared" si="16"/>
        <v>0</v>
      </c>
      <c r="Y84" s="93">
        <f t="shared" si="16"/>
        <v>0</v>
      </c>
      <c r="Z84" s="93">
        <f t="shared" si="16"/>
        <v>0</v>
      </c>
      <c r="AA84" s="93">
        <f t="shared" si="16"/>
        <v>0</v>
      </c>
      <c r="AB84" s="93">
        <f t="shared" si="16"/>
        <v>0</v>
      </c>
      <c r="AC84" s="93">
        <f t="shared" si="16"/>
        <v>0</v>
      </c>
      <c r="AD84" s="93">
        <f t="shared" si="16"/>
        <v>0</v>
      </c>
      <c r="AE84" s="93">
        <f t="shared" si="16"/>
        <v>0</v>
      </c>
      <c r="AF84" s="93">
        <f t="shared" si="16"/>
        <v>0</v>
      </c>
      <c r="AG84" s="94"/>
      <c r="AH84" s="20">
        <f t="shared" si="10"/>
        <v>0</v>
      </c>
      <c r="AI84" s="19">
        <f t="shared" si="11"/>
        <v>0</v>
      </c>
    </row>
    <row r="85" spans="1:37" x14ac:dyDescent="0.25">
      <c r="A85" s="91" t="s">
        <v>154</v>
      </c>
      <c r="B85" s="93">
        <f t="shared" ref="B85:AF85" si="17">IF(B67&lt;0,B67*-1,0)</f>
        <v>0</v>
      </c>
      <c r="C85" s="93">
        <f t="shared" si="17"/>
        <v>0</v>
      </c>
      <c r="D85" s="93">
        <f t="shared" si="17"/>
        <v>0</v>
      </c>
      <c r="E85" s="93">
        <f t="shared" si="17"/>
        <v>0</v>
      </c>
      <c r="F85" s="93">
        <f t="shared" si="17"/>
        <v>0</v>
      </c>
      <c r="G85" s="93">
        <f t="shared" si="17"/>
        <v>0</v>
      </c>
      <c r="H85" s="93">
        <f t="shared" si="17"/>
        <v>0</v>
      </c>
      <c r="I85" s="93">
        <f t="shared" si="17"/>
        <v>0</v>
      </c>
      <c r="J85" s="93">
        <f t="shared" si="17"/>
        <v>0</v>
      </c>
      <c r="K85" s="93">
        <f t="shared" si="17"/>
        <v>0</v>
      </c>
      <c r="L85" s="93">
        <f t="shared" si="17"/>
        <v>0</v>
      </c>
      <c r="M85" s="93">
        <f t="shared" si="17"/>
        <v>0</v>
      </c>
      <c r="N85" s="93">
        <f t="shared" si="17"/>
        <v>0</v>
      </c>
      <c r="O85" s="93">
        <f t="shared" si="17"/>
        <v>0</v>
      </c>
      <c r="P85" s="93">
        <f t="shared" si="17"/>
        <v>0</v>
      </c>
      <c r="Q85" s="93">
        <f t="shared" si="17"/>
        <v>0</v>
      </c>
      <c r="R85" s="93">
        <f t="shared" si="17"/>
        <v>0</v>
      </c>
      <c r="S85" s="93">
        <f t="shared" si="17"/>
        <v>0</v>
      </c>
      <c r="T85" s="105">
        <f t="shared" si="17"/>
        <v>0</v>
      </c>
      <c r="U85" s="93">
        <f t="shared" si="17"/>
        <v>0</v>
      </c>
      <c r="V85" s="93">
        <f t="shared" si="17"/>
        <v>0</v>
      </c>
      <c r="W85" s="93">
        <f t="shared" si="17"/>
        <v>0</v>
      </c>
      <c r="X85" s="93">
        <f t="shared" si="17"/>
        <v>0</v>
      </c>
      <c r="Y85" s="93">
        <f t="shared" si="17"/>
        <v>0</v>
      </c>
      <c r="Z85" s="93">
        <f t="shared" si="17"/>
        <v>0</v>
      </c>
      <c r="AA85" s="93">
        <f t="shared" si="17"/>
        <v>0</v>
      </c>
      <c r="AB85" s="93">
        <f t="shared" si="17"/>
        <v>0</v>
      </c>
      <c r="AC85" s="93">
        <f t="shared" si="17"/>
        <v>0</v>
      </c>
      <c r="AD85" s="93">
        <f t="shared" si="17"/>
        <v>0</v>
      </c>
      <c r="AE85" s="93">
        <f t="shared" si="17"/>
        <v>0</v>
      </c>
      <c r="AF85" s="93">
        <f t="shared" si="17"/>
        <v>0</v>
      </c>
      <c r="AG85" s="92"/>
      <c r="AH85" s="20">
        <f t="shared" si="10"/>
        <v>0</v>
      </c>
      <c r="AI85" s="19">
        <f t="shared" si="11"/>
        <v>0</v>
      </c>
    </row>
    <row r="86" spans="1:37" x14ac:dyDescent="0.25">
      <c r="A86" s="91" t="s">
        <v>153</v>
      </c>
      <c r="B86" s="93">
        <f t="shared" ref="B86:AF86" si="18">IF(B65&lt;0,B65*-1,0)</f>
        <v>405.7</v>
      </c>
      <c r="C86" s="93">
        <f t="shared" si="18"/>
        <v>417.6</v>
      </c>
      <c r="D86" s="93">
        <f t="shared" si="18"/>
        <v>427</v>
      </c>
      <c r="E86" s="93">
        <f t="shared" si="18"/>
        <v>436</v>
      </c>
      <c r="F86" s="93">
        <f t="shared" si="18"/>
        <v>440</v>
      </c>
      <c r="G86" s="93">
        <f t="shared" si="18"/>
        <v>412.3</v>
      </c>
      <c r="H86" s="93">
        <f t="shared" si="18"/>
        <v>430</v>
      </c>
      <c r="I86" s="93">
        <f t="shared" si="18"/>
        <v>413.3</v>
      </c>
      <c r="J86" s="93">
        <f t="shared" si="18"/>
        <v>431.2</v>
      </c>
      <c r="K86" s="93">
        <f t="shared" si="18"/>
        <v>404</v>
      </c>
      <c r="L86" s="93">
        <f t="shared" si="18"/>
        <v>402</v>
      </c>
      <c r="M86" s="93">
        <f t="shared" si="18"/>
        <v>417.5</v>
      </c>
      <c r="N86" s="93">
        <f t="shared" si="18"/>
        <v>435</v>
      </c>
      <c r="O86" s="93">
        <f t="shared" si="18"/>
        <v>420.1</v>
      </c>
      <c r="P86" s="93">
        <f t="shared" si="18"/>
        <v>415.6</v>
      </c>
      <c r="Q86" s="93">
        <f t="shared" si="18"/>
        <v>395</v>
      </c>
      <c r="R86" s="93">
        <f t="shared" si="18"/>
        <v>408.2</v>
      </c>
      <c r="S86" s="93">
        <f t="shared" si="18"/>
        <v>400</v>
      </c>
      <c r="T86" s="105">
        <f t="shared" si="18"/>
        <v>380</v>
      </c>
      <c r="U86" s="93">
        <f t="shared" si="18"/>
        <v>404</v>
      </c>
      <c r="V86" s="93">
        <f t="shared" si="18"/>
        <v>416</v>
      </c>
      <c r="W86" s="93">
        <f t="shared" si="18"/>
        <v>345</v>
      </c>
      <c r="X86" s="93">
        <f t="shared" si="18"/>
        <v>252</v>
      </c>
      <c r="Y86" s="93">
        <f t="shared" si="18"/>
        <v>259</v>
      </c>
      <c r="Z86" s="93">
        <f t="shared" si="18"/>
        <v>330</v>
      </c>
      <c r="AA86" s="93">
        <f t="shared" si="18"/>
        <v>346.6</v>
      </c>
      <c r="AB86" s="93">
        <f t="shared" si="18"/>
        <v>384</v>
      </c>
      <c r="AC86" s="93">
        <f t="shared" si="18"/>
        <v>374</v>
      </c>
      <c r="AD86" s="93">
        <f t="shared" si="18"/>
        <v>413</v>
      </c>
      <c r="AE86" s="93">
        <f t="shared" si="18"/>
        <v>384</v>
      </c>
      <c r="AF86" s="93">
        <f t="shared" si="18"/>
        <v>394</v>
      </c>
      <c r="AG86" s="92"/>
      <c r="AH86" s="20">
        <f t="shared" si="10"/>
        <v>440</v>
      </c>
      <c r="AI86" s="19">
        <f t="shared" si="11"/>
        <v>252</v>
      </c>
    </row>
    <row r="87" spans="1:37" x14ac:dyDescent="0.25">
      <c r="A87" s="91" t="s">
        <v>152</v>
      </c>
      <c r="B87" s="93">
        <f t="shared" ref="B87:AF87" si="19">IF(B63&lt;0,B63*-1,0)</f>
        <v>0</v>
      </c>
      <c r="C87" s="93">
        <f t="shared" si="19"/>
        <v>0</v>
      </c>
      <c r="D87" s="93">
        <f t="shared" si="19"/>
        <v>0</v>
      </c>
      <c r="E87" s="93">
        <f t="shared" si="19"/>
        <v>0</v>
      </c>
      <c r="F87" s="93">
        <f t="shared" si="19"/>
        <v>0</v>
      </c>
      <c r="G87" s="93">
        <f t="shared" si="19"/>
        <v>0</v>
      </c>
      <c r="H87" s="93">
        <f t="shared" si="19"/>
        <v>0</v>
      </c>
      <c r="I87" s="93">
        <f t="shared" si="19"/>
        <v>0</v>
      </c>
      <c r="J87" s="93">
        <f t="shared" si="19"/>
        <v>0</v>
      </c>
      <c r="K87" s="93">
        <f t="shared" si="19"/>
        <v>0</v>
      </c>
      <c r="L87" s="93">
        <f t="shared" si="19"/>
        <v>0</v>
      </c>
      <c r="M87" s="93">
        <f t="shared" si="19"/>
        <v>0</v>
      </c>
      <c r="N87" s="93">
        <f t="shared" si="19"/>
        <v>0</v>
      </c>
      <c r="O87" s="93">
        <f t="shared" si="19"/>
        <v>0</v>
      </c>
      <c r="P87" s="93">
        <f t="shared" si="19"/>
        <v>0</v>
      </c>
      <c r="Q87" s="93">
        <f t="shared" si="19"/>
        <v>0</v>
      </c>
      <c r="R87" s="93">
        <f t="shared" si="19"/>
        <v>0</v>
      </c>
      <c r="S87" s="93">
        <f t="shared" si="19"/>
        <v>0</v>
      </c>
      <c r="T87" s="105">
        <f t="shared" si="19"/>
        <v>0</v>
      </c>
      <c r="U87" s="93">
        <f t="shared" si="19"/>
        <v>0</v>
      </c>
      <c r="V87" s="93">
        <f t="shared" si="19"/>
        <v>0</v>
      </c>
      <c r="W87" s="93">
        <f t="shared" si="19"/>
        <v>0</v>
      </c>
      <c r="X87" s="93">
        <f t="shared" si="19"/>
        <v>0</v>
      </c>
      <c r="Y87" s="93">
        <f t="shared" si="19"/>
        <v>0</v>
      </c>
      <c r="Z87" s="93">
        <f t="shared" si="19"/>
        <v>0</v>
      </c>
      <c r="AA87" s="93">
        <f t="shared" si="19"/>
        <v>0</v>
      </c>
      <c r="AB87" s="93">
        <f t="shared" si="19"/>
        <v>0</v>
      </c>
      <c r="AC87" s="93">
        <f t="shared" si="19"/>
        <v>0</v>
      </c>
      <c r="AD87" s="93">
        <f t="shared" si="19"/>
        <v>0</v>
      </c>
      <c r="AE87" s="93">
        <f t="shared" si="19"/>
        <v>0</v>
      </c>
      <c r="AF87" s="93">
        <f t="shared" si="19"/>
        <v>0</v>
      </c>
      <c r="AG87" s="92"/>
      <c r="AH87" s="20">
        <f t="shared" si="10"/>
        <v>0</v>
      </c>
      <c r="AI87" s="19">
        <f t="shared" si="11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105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10"/>
        <v>0</v>
      </c>
      <c r="AI88" s="19">
        <f t="shared" si="11"/>
        <v>0</v>
      </c>
    </row>
    <row r="89" spans="1:37" ht="15.75" thickBot="1" x14ac:dyDescent="0.3">
      <c r="A89" s="88" t="s">
        <v>150</v>
      </c>
      <c r="B89" s="86">
        <f t="shared" ref="B89:AF89" si="20">SUM(B83:B88)</f>
        <v>405.7</v>
      </c>
      <c r="C89" s="86">
        <f t="shared" si="20"/>
        <v>417.6</v>
      </c>
      <c r="D89" s="86">
        <f t="shared" si="20"/>
        <v>427</v>
      </c>
      <c r="E89" s="86">
        <f t="shared" si="20"/>
        <v>436</v>
      </c>
      <c r="F89" s="86">
        <f t="shared" si="20"/>
        <v>440</v>
      </c>
      <c r="G89" s="86">
        <f t="shared" si="20"/>
        <v>412.3</v>
      </c>
      <c r="H89" s="86">
        <f t="shared" si="20"/>
        <v>430</v>
      </c>
      <c r="I89" s="86">
        <f t="shared" si="20"/>
        <v>413.3</v>
      </c>
      <c r="J89" s="86">
        <f t="shared" si="20"/>
        <v>431.2</v>
      </c>
      <c r="K89" s="86">
        <f t="shared" si="20"/>
        <v>404</v>
      </c>
      <c r="L89" s="86">
        <f t="shared" si="20"/>
        <v>402</v>
      </c>
      <c r="M89" s="86">
        <f t="shared" si="20"/>
        <v>417.5</v>
      </c>
      <c r="N89" s="86">
        <f t="shared" si="20"/>
        <v>435</v>
      </c>
      <c r="O89" s="86">
        <f t="shared" si="20"/>
        <v>420.1</v>
      </c>
      <c r="P89" s="86">
        <f t="shared" si="20"/>
        <v>415.6</v>
      </c>
      <c r="Q89" s="86">
        <f t="shared" si="20"/>
        <v>395</v>
      </c>
      <c r="R89" s="86">
        <f t="shared" si="20"/>
        <v>408.2</v>
      </c>
      <c r="S89" s="86">
        <f t="shared" si="20"/>
        <v>400</v>
      </c>
      <c r="T89" s="86">
        <f t="shared" si="20"/>
        <v>380</v>
      </c>
      <c r="U89" s="86">
        <f t="shared" si="20"/>
        <v>404</v>
      </c>
      <c r="V89" s="86">
        <f t="shared" si="20"/>
        <v>416</v>
      </c>
      <c r="W89" s="86">
        <f t="shared" si="20"/>
        <v>345</v>
      </c>
      <c r="X89" s="86">
        <f t="shared" si="20"/>
        <v>252</v>
      </c>
      <c r="Y89" s="86">
        <f t="shared" si="20"/>
        <v>259</v>
      </c>
      <c r="Z89" s="86">
        <f t="shared" si="20"/>
        <v>330</v>
      </c>
      <c r="AA89" s="86">
        <f t="shared" si="20"/>
        <v>346.6</v>
      </c>
      <c r="AB89" s="86">
        <f t="shared" si="20"/>
        <v>384</v>
      </c>
      <c r="AC89" s="86">
        <f t="shared" si="20"/>
        <v>374</v>
      </c>
      <c r="AD89" s="86">
        <f t="shared" si="20"/>
        <v>413</v>
      </c>
      <c r="AE89" s="86">
        <f t="shared" si="20"/>
        <v>384</v>
      </c>
      <c r="AF89" s="86">
        <f t="shared" si="20"/>
        <v>394</v>
      </c>
      <c r="AG89" s="85"/>
      <c r="AH89" s="20">
        <f t="shared" si="10"/>
        <v>440</v>
      </c>
      <c r="AI89" s="19">
        <f t="shared" si="11"/>
        <v>252</v>
      </c>
      <c r="AK89" s="41"/>
    </row>
    <row r="90" spans="1:37" ht="15.75" thickBot="1" x14ac:dyDescent="0.3">
      <c r="A90" s="87" t="s">
        <v>149</v>
      </c>
      <c r="B90" s="86">
        <f t="shared" ref="B90:AF90" si="21">B74-B89</f>
        <v>-405.7</v>
      </c>
      <c r="C90" s="86">
        <f t="shared" si="21"/>
        <v>-417.6</v>
      </c>
      <c r="D90" s="86">
        <f t="shared" si="21"/>
        <v>-427</v>
      </c>
      <c r="E90" s="86">
        <f t="shared" si="21"/>
        <v>-436</v>
      </c>
      <c r="F90" s="86">
        <f t="shared" si="21"/>
        <v>-440</v>
      </c>
      <c r="G90" s="86">
        <f t="shared" si="21"/>
        <v>-412.3</v>
      </c>
      <c r="H90" s="86">
        <f t="shared" si="21"/>
        <v>-430</v>
      </c>
      <c r="I90" s="86">
        <f t="shared" si="21"/>
        <v>-413.3</v>
      </c>
      <c r="J90" s="86">
        <f t="shared" si="21"/>
        <v>-431.2</v>
      </c>
      <c r="K90" s="86">
        <f t="shared" si="21"/>
        <v>-404</v>
      </c>
      <c r="L90" s="86">
        <f t="shared" si="21"/>
        <v>-402</v>
      </c>
      <c r="M90" s="86">
        <f t="shared" si="21"/>
        <v>-417.5</v>
      </c>
      <c r="N90" s="86">
        <f t="shared" si="21"/>
        <v>-435</v>
      </c>
      <c r="O90" s="86">
        <f t="shared" si="21"/>
        <v>-420.1</v>
      </c>
      <c r="P90" s="86">
        <f t="shared" si="21"/>
        <v>-415.6</v>
      </c>
      <c r="Q90" s="86">
        <f t="shared" si="21"/>
        <v>-395</v>
      </c>
      <c r="R90" s="86">
        <f t="shared" si="21"/>
        <v>-408.2</v>
      </c>
      <c r="S90" s="86">
        <f t="shared" si="21"/>
        <v>-400</v>
      </c>
      <c r="T90" s="86">
        <f t="shared" si="21"/>
        <v>-380</v>
      </c>
      <c r="U90" s="86">
        <f t="shared" si="21"/>
        <v>-404</v>
      </c>
      <c r="V90" s="86">
        <f t="shared" si="21"/>
        <v>-416</v>
      </c>
      <c r="W90" s="86">
        <f t="shared" si="21"/>
        <v>-345</v>
      </c>
      <c r="X90" s="86">
        <f t="shared" si="21"/>
        <v>-206.9</v>
      </c>
      <c r="Y90" s="86">
        <f t="shared" si="21"/>
        <v>-209.6</v>
      </c>
      <c r="Z90" s="86">
        <f t="shared" si="21"/>
        <v>-285</v>
      </c>
      <c r="AA90" s="86">
        <f t="shared" si="21"/>
        <v>-300</v>
      </c>
      <c r="AB90" s="86">
        <f t="shared" si="21"/>
        <v>-366.8</v>
      </c>
      <c r="AC90" s="86">
        <f t="shared" si="21"/>
        <v>-374</v>
      </c>
      <c r="AD90" s="86">
        <f t="shared" si="21"/>
        <v>-413</v>
      </c>
      <c r="AE90" s="86">
        <f t="shared" si="21"/>
        <v>-384</v>
      </c>
      <c r="AF90" s="86">
        <f t="shared" si="21"/>
        <v>-394</v>
      </c>
      <c r="AG90" s="85"/>
      <c r="AH90" s="20">
        <f t="shared" si="10"/>
        <v>-206.9</v>
      </c>
      <c r="AI90" s="19">
        <f t="shared" si="11"/>
        <v>-440</v>
      </c>
    </row>
    <row r="91" spans="1:37" x14ac:dyDescent="0.25">
      <c r="A91" s="47" t="s">
        <v>148</v>
      </c>
      <c r="B91" s="84">
        <v>50.002000000000002</v>
      </c>
      <c r="C91" s="84">
        <v>50.024999999999999</v>
      </c>
      <c r="D91" s="84">
        <v>50.039000000000001</v>
      </c>
      <c r="E91" s="84">
        <v>49.981999999999999</v>
      </c>
      <c r="F91" s="84">
        <v>49.994999999999997</v>
      </c>
      <c r="G91" s="84">
        <v>50.052999999999997</v>
      </c>
      <c r="H91" s="84">
        <v>50.037999999999997</v>
      </c>
      <c r="I91" s="84">
        <v>49.978000000000002</v>
      </c>
      <c r="J91" s="84">
        <v>49.984999999999999</v>
      </c>
      <c r="K91" s="84">
        <v>50.027000000000001</v>
      </c>
      <c r="L91" s="84">
        <v>50.057000000000002</v>
      </c>
      <c r="M91" s="84">
        <v>49.99</v>
      </c>
      <c r="N91" s="84">
        <v>50.036999999999999</v>
      </c>
      <c r="O91" s="84">
        <v>50.003</v>
      </c>
      <c r="P91" s="84">
        <v>50.002000000000002</v>
      </c>
      <c r="Q91" s="84">
        <v>50.003999999999998</v>
      </c>
      <c r="R91" s="84">
        <v>50.051000000000002</v>
      </c>
      <c r="S91" s="84">
        <v>50.04</v>
      </c>
      <c r="T91" s="105">
        <v>49.92</v>
      </c>
      <c r="U91" s="84">
        <v>49.99</v>
      </c>
      <c r="V91" s="84">
        <v>49.92</v>
      </c>
      <c r="W91" s="84">
        <v>50.03</v>
      </c>
      <c r="X91" s="84">
        <v>49.94</v>
      </c>
      <c r="Y91" s="84">
        <v>49.94</v>
      </c>
      <c r="Z91" s="84">
        <v>49.98</v>
      </c>
      <c r="AA91" s="84">
        <v>50.02</v>
      </c>
      <c r="AB91" s="84">
        <v>50.015000000000001</v>
      </c>
      <c r="AC91" s="84">
        <v>50.02</v>
      </c>
      <c r="AD91" s="84">
        <v>50.024000000000001</v>
      </c>
      <c r="AE91" s="84">
        <v>50.024999999999999</v>
      </c>
      <c r="AF91" s="84">
        <v>49.984000000000002</v>
      </c>
      <c r="AG91" s="83"/>
      <c r="AH91" s="20">
        <f t="shared" si="10"/>
        <v>50.057000000000002</v>
      </c>
      <c r="AI91" s="19">
        <f t="shared" si="11"/>
        <v>49.92</v>
      </c>
    </row>
    <row r="92" spans="1:37" x14ac:dyDescent="0.25">
      <c r="A92" s="44" t="s">
        <v>147</v>
      </c>
      <c r="B92" s="80">
        <v>126.3</v>
      </c>
      <c r="C92" s="80">
        <v>126.7</v>
      </c>
      <c r="D92" s="80">
        <v>125.9</v>
      </c>
      <c r="E92" s="80">
        <v>126.6</v>
      </c>
      <c r="F92" s="80">
        <v>127.9</v>
      </c>
      <c r="G92" s="80">
        <v>126.5</v>
      </c>
      <c r="H92" s="80">
        <v>126</v>
      </c>
      <c r="I92" s="80">
        <v>125.7</v>
      </c>
      <c r="J92" s="80">
        <v>123.9</v>
      </c>
      <c r="K92" s="80">
        <v>124.2</v>
      </c>
      <c r="L92" s="80">
        <v>123.6</v>
      </c>
      <c r="M92" s="80">
        <v>123.4</v>
      </c>
      <c r="N92" s="80">
        <v>124.7</v>
      </c>
      <c r="O92" s="80">
        <v>124.4</v>
      </c>
      <c r="P92" s="80">
        <v>124.3</v>
      </c>
      <c r="Q92" s="80">
        <v>123.7</v>
      </c>
      <c r="R92" s="80">
        <v>126.1</v>
      </c>
      <c r="S92" s="80">
        <v>123.9</v>
      </c>
      <c r="T92" s="105">
        <v>124</v>
      </c>
      <c r="U92" s="80">
        <v>123</v>
      </c>
      <c r="V92" s="80">
        <v>124.2</v>
      </c>
      <c r="W92" s="80">
        <v>124.4</v>
      </c>
      <c r="X92" s="80">
        <v>124.2</v>
      </c>
      <c r="Y92" s="80">
        <v>123.3</v>
      </c>
      <c r="Z92" s="80">
        <v>123.3</v>
      </c>
      <c r="AA92" s="80">
        <v>124.5</v>
      </c>
      <c r="AB92" s="80">
        <v>124</v>
      </c>
      <c r="AC92" s="80">
        <v>124.3</v>
      </c>
      <c r="AD92" s="80">
        <v>125.5</v>
      </c>
      <c r="AE92" s="80">
        <v>126.1</v>
      </c>
      <c r="AF92" s="80">
        <v>125.4</v>
      </c>
      <c r="AG92" s="79"/>
      <c r="AH92" s="20">
        <f t="shared" si="10"/>
        <v>127.9</v>
      </c>
      <c r="AI92" s="19">
        <f t="shared" si="11"/>
        <v>123</v>
      </c>
    </row>
    <row r="93" spans="1:37" x14ac:dyDescent="0.25">
      <c r="A93" s="44" t="s">
        <v>146</v>
      </c>
      <c r="B93" s="80">
        <v>131</v>
      </c>
      <c r="C93" s="80">
        <v>131.4</v>
      </c>
      <c r="D93" s="80">
        <v>130.9</v>
      </c>
      <c r="E93" s="80">
        <v>131.4</v>
      </c>
      <c r="F93" s="80">
        <v>132.30000000000001</v>
      </c>
      <c r="G93" s="80">
        <v>130.9</v>
      </c>
      <c r="H93" s="80">
        <v>130.4</v>
      </c>
      <c r="I93" s="80">
        <v>129.6</v>
      </c>
      <c r="J93" s="80">
        <v>127.6</v>
      </c>
      <c r="K93" s="80">
        <v>128</v>
      </c>
      <c r="L93" s="80">
        <v>127.1</v>
      </c>
      <c r="M93" s="80">
        <v>127.5</v>
      </c>
      <c r="N93" s="80">
        <v>128.69999999999999</v>
      </c>
      <c r="O93" s="80">
        <v>128.1</v>
      </c>
      <c r="P93" s="80">
        <v>128</v>
      </c>
      <c r="Q93" s="80">
        <v>127.8</v>
      </c>
      <c r="R93" s="80">
        <v>129.4</v>
      </c>
      <c r="S93" s="80">
        <v>127.9</v>
      </c>
      <c r="T93" s="105" t="s">
        <v>286</v>
      </c>
      <c r="U93" s="80">
        <v>127.1</v>
      </c>
      <c r="V93" s="80">
        <v>128.30000000000001</v>
      </c>
      <c r="W93" s="80">
        <v>128.19999999999999</v>
      </c>
      <c r="X93" s="80">
        <v>127.8</v>
      </c>
      <c r="Y93" s="80">
        <v>127.3</v>
      </c>
      <c r="Z93" s="80">
        <v>127.3</v>
      </c>
      <c r="AA93" s="80">
        <v>128.69999999999999</v>
      </c>
      <c r="AB93" s="80">
        <v>128.19999999999999</v>
      </c>
      <c r="AC93" s="80">
        <v>128.80000000000001</v>
      </c>
      <c r="AD93" s="80">
        <v>130.1</v>
      </c>
      <c r="AE93" s="80">
        <v>131.19999999999999</v>
      </c>
      <c r="AF93" s="80">
        <v>130.30000000000001</v>
      </c>
      <c r="AG93" s="79"/>
      <c r="AH93" s="20">
        <f t="shared" si="10"/>
        <v>132.30000000000001</v>
      </c>
      <c r="AI93" s="19">
        <f t="shared" si="11"/>
        <v>127.1</v>
      </c>
    </row>
    <row r="94" spans="1:37" x14ac:dyDescent="0.25">
      <c r="A94" s="44" t="s">
        <v>145</v>
      </c>
      <c r="B94" s="80">
        <v>128.5</v>
      </c>
      <c r="C94" s="80">
        <v>129.19999999999999</v>
      </c>
      <c r="D94" s="80">
        <v>128.30000000000001</v>
      </c>
      <c r="E94" s="80">
        <v>128.69999999999999</v>
      </c>
      <c r="F94" s="80">
        <v>130</v>
      </c>
      <c r="G94" s="80">
        <v>129.1</v>
      </c>
      <c r="H94" s="80">
        <v>129.19999999999999</v>
      </c>
      <c r="I94" s="80">
        <v>130.69999999999999</v>
      </c>
      <c r="J94" s="80">
        <v>129</v>
      </c>
      <c r="K94" s="80">
        <v>129.1</v>
      </c>
      <c r="L94" s="80">
        <v>127.1</v>
      </c>
      <c r="M94" s="80">
        <v>127.9</v>
      </c>
      <c r="N94" s="80">
        <v>128.1</v>
      </c>
      <c r="O94" s="80">
        <v>129.1</v>
      </c>
      <c r="P94" s="80">
        <v>128</v>
      </c>
      <c r="Q94" s="80">
        <v>130</v>
      </c>
      <c r="R94" s="80">
        <v>130.30000000000001</v>
      </c>
      <c r="S94" s="80">
        <v>128.19999999999999</v>
      </c>
      <c r="T94" s="105">
        <v>127.1</v>
      </c>
      <c r="U94" s="80">
        <v>126.2</v>
      </c>
      <c r="V94" s="80">
        <v>129.4</v>
      </c>
      <c r="W94" s="80">
        <v>128.69999999999999</v>
      </c>
      <c r="X94" s="80">
        <v>128.30000000000001</v>
      </c>
      <c r="Y94" s="80">
        <v>129.1</v>
      </c>
      <c r="Z94" s="80">
        <v>129.1</v>
      </c>
      <c r="AA94" s="80">
        <v>129.5</v>
      </c>
      <c r="AB94" s="80">
        <v>130.69999999999999</v>
      </c>
      <c r="AC94" s="80">
        <v>128</v>
      </c>
      <c r="AD94" s="80">
        <v>129</v>
      </c>
      <c r="AE94" s="80">
        <v>130</v>
      </c>
      <c r="AF94" s="80">
        <v>127.2</v>
      </c>
      <c r="AG94" s="79"/>
      <c r="AH94" s="20">
        <f t="shared" si="10"/>
        <v>130.69999999999999</v>
      </c>
      <c r="AI94" s="19">
        <f t="shared" si="11"/>
        <v>126.2</v>
      </c>
    </row>
    <row r="95" spans="1:37" x14ac:dyDescent="0.25">
      <c r="A95" s="82" t="s">
        <v>144</v>
      </c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105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79"/>
      <c r="AH95" s="20">
        <f t="shared" si="10"/>
        <v>0</v>
      </c>
      <c r="AI95" s="19">
        <f t="shared" si="11"/>
        <v>0</v>
      </c>
    </row>
    <row r="96" spans="1:37" x14ac:dyDescent="0.25">
      <c r="A96" s="82" t="s">
        <v>143</v>
      </c>
      <c r="B96" s="66">
        <v>133</v>
      </c>
      <c r="C96" s="66">
        <v>133.5</v>
      </c>
      <c r="D96" s="66">
        <v>132.30000000000001</v>
      </c>
      <c r="E96" s="66">
        <v>133.30000000000001</v>
      </c>
      <c r="F96" s="66">
        <v>133.69999999999999</v>
      </c>
      <c r="G96" s="66">
        <v>129.9</v>
      </c>
      <c r="H96" s="66">
        <v>127.6</v>
      </c>
      <c r="I96" s="66">
        <v>128</v>
      </c>
      <c r="J96" s="66">
        <v>130.5</v>
      </c>
      <c r="K96" s="66">
        <v>130.5</v>
      </c>
      <c r="L96" s="66">
        <v>130.69999999999999</v>
      </c>
      <c r="M96" s="66">
        <v>132.19999999999999</v>
      </c>
      <c r="N96" s="66">
        <v>132.80000000000001</v>
      </c>
      <c r="O96" s="66">
        <v>133.19999999999999</v>
      </c>
      <c r="P96" s="66">
        <v>130.5</v>
      </c>
      <c r="Q96" s="66">
        <v>135</v>
      </c>
      <c r="R96" s="66">
        <v>130</v>
      </c>
      <c r="S96" s="66"/>
      <c r="T96" s="105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81"/>
      <c r="AH96" s="20">
        <f t="shared" si="10"/>
        <v>135</v>
      </c>
      <c r="AI96" s="19">
        <f t="shared" si="11"/>
        <v>127.6</v>
      </c>
    </row>
    <row r="97" spans="1:37" x14ac:dyDescent="0.25">
      <c r="A97" s="44" t="s">
        <v>142</v>
      </c>
      <c r="B97" s="80">
        <v>132.5</v>
      </c>
      <c r="C97" s="80">
        <v>133</v>
      </c>
      <c r="D97" s="80">
        <v>132</v>
      </c>
      <c r="E97" s="80">
        <v>136.4</v>
      </c>
      <c r="F97" s="80">
        <v>131.6</v>
      </c>
      <c r="G97" s="80">
        <v>127.6</v>
      </c>
      <c r="H97" s="80">
        <v>122.9</v>
      </c>
      <c r="I97" s="80">
        <v>126.8</v>
      </c>
      <c r="J97" s="80">
        <v>127.8</v>
      </c>
      <c r="K97" s="80">
        <v>131.9</v>
      </c>
      <c r="L97" s="80">
        <v>128.80000000000001</v>
      </c>
      <c r="M97" s="80">
        <v>130.19999999999999</v>
      </c>
      <c r="N97" s="80">
        <v>130.5</v>
      </c>
      <c r="O97" s="80">
        <v>131.19999999999999</v>
      </c>
      <c r="P97" s="80">
        <v>128</v>
      </c>
      <c r="Q97" s="80">
        <v>134</v>
      </c>
      <c r="R97" s="80">
        <v>127.4</v>
      </c>
      <c r="S97" s="80">
        <v>128.19999999999999</v>
      </c>
      <c r="T97" s="105">
        <v>130.69999999999999</v>
      </c>
      <c r="U97" s="80">
        <v>125.3</v>
      </c>
      <c r="V97" s="80">
        <v>135</v>
      </c>
      <c r="W97" s="80">
        <v>131.69999999999999</v>
      </c>
      <c r="X97" s="80">
        <v>130.80000000000001</v>
      </c>
      <c r="Y97" s="80">
        <v>132.19999999999999</v>
      </c>
      <c r="Z97" s="80">
        <v>132.19999999999999</v>
      </c>
      <c r="AA97" s="80">
        <v>132.30000000000001</v>
      </c>
      <c r="AB97" s="80">
        <v>129.19999999999999</v>
      </c>
      <c r="AC97" s="80">
        <v>127.5</v>
      </c>
      <c r="AD97" s="80">
        <v>135.5</v>
      </c>
      <c r="AE97" s="80">
        <v>130</v>
      </c>
      <c r="AF97" s="80">
        <v>128.6</v>
      </c>
      <c r="AG97" s="79"/>
      <c r="AH97" s="20">
        <f t="shared" si="10"/>
        <v>136.4</v>
      </c>
      <c r="AI97" s="19">
        <f t="shared" si="11"/>
        <v>122.9</v>
      </c>
    </row>
    <row r="98" spans="1:37" ht="15.75" thickBot="1" x14ac:dyDescent="0.3">
      <c r="A98" s="44" t="s">
        <v>141</v>
      </c>
      <c r="B98" s="77">
        <v>66.400000000000006</v>
      </c>
      <c r="C98" s="77">
        <v>66.5</v>
      </c>
      <c r="D98" s="77">
        <v>66.3</v>
      </c>
      <c r="E98" s="77">
        <v>66.5</v>
      </c>
      <c r="F98" s="77">
        <v>66.8</v>
      </c>
      <c r="G98" s="77">
        <v>66.3</v>
      </c>
      <c r="H98" s="77">
        <v>65.8</v>
      </c>
      <c r="I98" s="77">
        <v>65.5</v>
      </c>
      <c r="J98" s="77">
        <v>64.599999999999994</v>
      </c>
      <c r="K98" s="77">
        <v>64.7</v>
      </c>
      <c r="L98" s="77"/>
      <c r="M98" s="77">
        <v>64</v>
      </c>
      <c r="N98" s="77">
        <v>65</v>
      </c>
      <c r="O98" s="77">
        <v>64.7</v>
      </c>
      <c r="P98" s="77">
        <v>64.599999999999994</v>
      </c>
      <c r="Q98" s="77">
        <v>64.400000000000006</v>
      </c>
      <c r="R98" s="77">
        <v>65.400000000000006</v>
      </c>
      <c r="S98" s="77">
        <v>64.5</v>
      </c>
      <c r="T98" s="105">
        <v>64.3</v>
      </c>
      <c r="U98" s="77">
        <v>64</v>
      </c>
      <c r="V98" s="77">
        <v>64</v>
      </c>
      <c r="W98" s="77">
        <v>64.599999999999994</v>
      </c>
      <c r="X98" s="77">
        <v>64.5</v>
      </c>
      <c r="Y98" s="77">
        <v>64.3</v>
      </c>
      <c r="Z98" s="77">
        <v>64.3</v>
      </c>
      <c r="AA98" s="77">
        <v>65.099999999999994</v>
      </c>
      <c r="AB98" s="77">
        <v>64.8</v>
      </c>
      <c r="AC98" s="77">
        <v>65.2</v>
      </c>
      <c r="AD98" s="77">
        <v>65.8</v>
      </c>
      <c r="AE98" s="77">
        <v>66.2</v>
      </c>
      <c r="AF98" s="77">
        <v>65.8</v>
      </c>
      <c r="AG98" s="76"/>
      <c r="AH98" s="20">
        <f t="shared" si="10"/>
        <v>66.8</v>
      </c>
      <c r="AI98" s="19">
        <f t="shared" si="11"/>
        <v>64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105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10"/>
        <v>0</v>
      </c>
      <c r="AI99" s="19">
        <f t="shared" si="11"/>
        <v>0</v>
      </c>
    </row>
    <row r="100" spans="1:37" ht="15.75" thickBot="1" x14ac:dyDescent="0.3">
      <c r="A100" s="75" t="s">
        <v>140</v>
      </c>
      <c r="B100" s="74">
        <f t="shared" ref="B100:AF100" si="22">SUM(B15,B20,B22:B23,B48,B50:B51,B53,B55,B101:B105,B127,B133,B139,B148,B150,B162,B169,B172:B173,B180,B182,B184,B188:B190,B192:B194,B199,B205:B206,B208:B210,B218,B223)</f>
        <v>37.300000000000011</v>
      </c>
      <c r="C100" s="74">
        <f t="shared" si="22"/>
        <v>30.740000000000013</v>
      </c>
      <c r="D100" s="74">
        <f t="shared" si="22"/>
        <v>29.239999999999966</v>
      </c>
      <c r="E100" s="74">
        <f t="shared" si="22"/>
        <v>27.440000000000008</v>
      </c>
      <c r="F100" s="74">
        <f t="shared" si="22"/>
        <v>20.139999999999997</v>
      </c>
      <c r="G100" s="74">
        <f t="shared" si="22"/>
        <v>39.239999999999981</v>
      </c>
      <c r="H100" s="74">
        <f t="shared" si="22"/>
        <v>58.34</v>
      </c>
      <c r="I100" s="74">
        <f t="shared" si="22"/>
        <v>75.240000000000009</v>
      </c>
      <c r="J100" s="74">
        <f t="shared" si="22"/>
        <v>114.34</v>
      </c>
      <c r="K100" s="74">
        <f t="shared" si="22"/>
        <v>158.54</v>
      </c>
      <c r="L100" s="74">
        <f t="shared" si="22"/>
        <v>138.83999999999997</v>
      </c>
      <c r="M100" s="74">
        <f t="shared" si="22"/>
        <v>187.33999999999997</v>
      </c>
      <c r="N100" s="74">
        <f t="shared" si="22"/>
        <v>166.94</v>
      </c>
      <c r="O100" s="74">
        <f t="shared" si="22"/>
        <v>169.54000000000002</v>
      </c>
      <c r="P100" s="74">
        <f t="shared" si="22"/>
        <v>170.23999999999998</v>
      </c>
      <c r="Q100" s="74">
        <f t="shared" si="22"/>
        <v>166.7</v>
      </c>
      <c r="R100" s="74">
        <f t="shared" si="22"/>
        <v>167</v>
      </c>
      <c r="S100" s="74">
        <f t="shared" si="22"/>
        <v>141.09999999999997</v>
      </c>
      <c r="T100" s="74">
        <f t="shared" si="22"/>
        <v>147.09999999999997</v>
      </c>
      <c r="U100" s="74">
        <f t="shared" si="22"/>
        <v>152.29999999999998</v>
      </c>
      <c r="V100" s="74">
        <f t="shared" si="22"/>
        <v>310.60000000000002</v>
      </c>
      <c r="W100" s="74">
        <f t="shared" si="22"/>
        <v>391</v>
      </c>
      <c r="X100" s="74">
        <f t="shared" si="22"/>
        <v>276</v>
      </c>
      <c r="Y100" s="74">
        <f t="shared" si="22"/>
        <v>273.29999999999995</v>
      </c>
      <c r="Z100" s="74">
        <f t="shared" si="22"/>
        <v>273.29999999999995</v>
      </c>
      <c r="AA100" s="74">
        <f t="shared" si="22"/>
        <v>244.89999999999998</v>
      </c>
      <c r="AB100" s="74">
        <f t="shared" si="22"/>
        <v>215.20000000000002</v>
      </c>
      <c r="AC100" s="74">
        <f t="shared" si="22"/>
        <v>180.79999999999998</v>
      </c>
      <c r="AD100" s="74">
        <f t="shared" si="22"/>
        <v>145.6</v>
      </c>
      <c r="AE100" s="74">
        <f t="shared" si="22"/>
        <v>88.6</v>
      </c>
      <c r="AF100" s="74">
        <f t="shared" si="22"/>
        <v>60.100000000000016</v>
      </c>
      <c r="AG100" s="73"/>
      <c r="AH100" s="20">
        <f t="shared" si="10"/>
        <v>391</v>
      </c>
      <c r="AI100" s="19">
        <f t="shared" si="11"/>
        <v>20.139999999999997</v>
      </c>
    </row>
    <row r="101" spans="1:37" x14ac:dyDescent="0.25">
      <c r="A101" s="47" t="s">
        <v>139</v>
      </c>
      <c r="B101" s="72">
        <v>15.4</v>
      </c>
      <c r="C101" s="72">
        <v>14</v>
      </c>
      <c r="D101" s="72">
        <v>17.3</v>
      </c>
      <c r="E101" s="72">
        <v>17.3</v>
      </c>
      <c r="F101" s="72">
        <v>11.8</v>
      </c>
      <c r="G101" s="72">
        <v>13.1</v>
      </c>
      <c r="H101" s="72">
        <v>13.5</v>
      </c>
      <c r="I101" s="72">
        <v>14.7</v>
      </c>
      <c r="J101" s="72">
        <v>17.2</v>
      </c>
      <c r="K101" s="72">
        <v>15.7</v>
      </c>
      <c r="L101" s="72"/>
      <c r="M101" s="72">
        <v>20.3</v>
      </c>
      <c r="N101" s="72">
        <v>28.4</v>
      </c>
      <c r="O101" s="72">
        <v>24.3</v>
      </c>
      <c r="P101" s="72">
        <v>12.8</v>
      </c>
      <c r="Q101" s="72">
        <v>13.7</v>
      </c>
      <c r="R101" s="72">
        <v>17.7</v>
      </c>
      <c r="S101" s="72">
        <v>8.4</v>
      </c>
      <c r="T101" s="105">
        <v>13.2</v>
      </c>
      <c r="U101" s="72">
        <v>22.2</v>
      </c>
      <c r="V101" s="72">
        <v>28.3</v>
      </c>
      <c r="W101" s="72">
        <v>28</v>
      </c>
      <c r="X101" s="72">
        <v>32.700000000000003</v>
      </c>
      <c r="Y101" s="72">
        <v>29.7</v>
      </c>
      <c r="Z101" s="72">
        <v>29.7</v>
      </c>
      <c r="AA101" s="72">
        <v>31.1</v>
      </c>
      <c r="AB101" s="72">
        <v>31</v>
      </c>
      <c r="AC101" s="72">
        <v>24</v>
      </c>
      <c r="AD101" s="72">
        <v>23.8</v>
      </c>
      <c r="AE101" s="72">
        <v>21</v>
      </c>
      <c r="AF101" s="72">
        <v>7.9</v>
      </c>
      <c r="AG101" s="70">
        <v>75</v>
      </c>
      <c r="AH101" s="20">
        <f t="shared" si="10"/>
        <v>32.700000000000003</v>
      </c>
      <c r="AI101" s="19">
        <f t="shared" si="11"/>
        <v>7.9</v>
      </c>
    </row>
    <row r="102" spans="1:37" x14ac:dyDescent="0.25">
      <c r="A102" s="44" t="s">
        <v>138</v>
      </c>
      <c r="B102" s="71">
        <v>31.3</v>
      </c>
      <c r="C102" s="71">
        <v>29.1</v>
      </c>
      <c r="D102" s="71">
        <v>34.799999999999997</v>
      </c>
      <c r="E102" s="71">
        <v>36.200000000000003</v>
      </c>
      <c r="F102" s="71">
        <v>28.4</v>
      </c>
      <c r="G102" s="71">
        <v>29.7</v>
      </c>
      <c r="H102" s="71">
        <v>31.1</v>
      </c>
      <c r="I102" s="71">
        <v>30.8</v>
      </c>
      <c r="J102" s="71">
        <v>34.700000000000003</v>
      </c>
      <c r="K102" s="71">
        <v>31.1</v>
      </c>
      <c r="L102" s="71"/>
      <c r="M102" s="71">
        <v>38.9</v>
      </c>
      <c r="N102" s="71">
        <v>50.5</v>
      </c>
      <c r="O102" s="71">
        <v>46</v>
      </c>
      <c r="P102" s="71">
        <v>29.2</v>
      </c>
      <c r="Q102" s="71">
        <v>29.8</v>
      </c>
      <c r="R102" s="71">
        <v>34.799999999999997</v>
      </c>
      <c r="S102" s="71">
        <v>22.7</v>
      </c>
      <c r="T102" s="105">
        <v>30.1</v>
      </c>
      <c r="U102" s="71">
        <v>41.8</v>
      </c>
      <c r="V102" s="71">
        <v>41.8</v>
      </c>
      <c r="W102" s="71">
        <v>45.3</v>
      </c>
      <c r="X102" s="71">
        <v>51.1</v>
      </c>
      <c r="Y102" s="71">
        <v>48.3</v>
      </c>
      <c r="Z102" s="71">
        <v>48.3</v>
      </c>
      <c r="AA102" s="71">
        <v>50.6</v>
      </c>
      <c r="AB102" s="71">
        <v>51.2</v>
      </c>
      <c r="AC102" s="71">
        <v>41.5</v>
      </c>
      <c r="AD102" s="71">
        <v>40.1</v>
      </c>
      <c r="AE102" s="71">
        <v>36</v>
      </c>
      <c r="AF102" s="71">
        <v>23.8</v>
      </c>
      <c r="AG102" s="70">
        <v>240</v>
      </c>
      <c r="AH102" s="20">
        <f t="shared" si="10"/>
        <v>51.2</v>
      </c>
      <c r="AI102" s="19">
        <f t="shared" si="11"/>
        <v>22.7</v>
      </c>
    </row>
    <row r="103" spans="1:37" x14ac:dyDescent="0.25">
      <c r="A103" s="44" t="s">
        <v>137</v>
      </c>
      <c r="B103" s="71">
        <v>-126.1</v>
      </c>
      <c r="C103" s="71">
        <v>-127.6</v>
      </c>
      <c r="D103" s="71">
        <v>-137.80000000000001</v>
      </c>
      <c r="E103" s="71">
        <f>-66.7-70.2</f>
        <v>-136.9</v>
      </c>
      <c r="F103" s="71">
        <f>-60.2-64.5</f>
        <v>-124.7</v>
      </c>
      <c r="G103" s="71">
        <f>-53.1-57.2</f>
        <v>-110.30000000000001</v>
      </c>
      <c r="H103" s="71">
        <f>-47.1-50.6</f>
        <v>-97.7</v>
      </c>
      <c r="I103" s="71">
        <f>-49.5-53</f>
        <v>-102.5</v>
      </c>
      <c r="J103" s="71">
        <f>-34.5-38.9</f>
        <v>-73.400000000000006</v>
      </c>
      <c r="K103" s="71">
        <f>-39.8-42.8</f>
        <v>-82.6</v>
      </c>
      <c r="L103" s="71"/>
      <c r="M103" s="71">
        <v>-84.2</v>
      </c>
      <c r="N103" s="71">
        <f>-45-50</f>
        <v>-95</v>
      </c>
      <c r="O103" s="71">
        <f>-44-47.5</f>
        <v>-91.5</v>
      </c>
      <c r="P103" s="71">
        <f>-39-42</f>
        <v>-81</v>
      </c>
      <c r="Q103" s="71">
        <v>-85.1</v>
      </c>
      <c r="R103" s="71">
        <f>-42-45</f>
        <v>-87</v>
      </c>
      <c r="S103" s="71">
        <f>-43.8-47.3</f>
        <v>-91.1</v>
      </c>
      <c r="T103" s="105">
        <f>-49.8-48</f>
        <v>-97.8</v>
      </c>
      <c r="U103" s="71">
        <f>-31.2-33.8</f>
        <v>-65</v>
      </c>
      <c r="V103" s="71">
        <v>39.299999999999997</v>
      </c>
      <c r="W103" s="71">
        <f>37.7+33.8</f>
        <v>71.5</v>
      </c>
      <c r="X103" s="71">
        <f>-24.4-23.1</f>
        <v>-47.5</v>
      </c>
      <c r="Y103" s="71">
        <f>-21.7-23.2</f>
        <v>-44.9</v>
      </c>
      <c r="Z103" s="71">
        <f t="shared" ref="Z103" si="23">-21.7-23.2</f>
        <v>-44.9</v>
      </c>
      <c r="AA103" s="71">
        <f>-39.8-43.1</f>
        <v>-82.9</v>
      </c>
      <c r="AB103" s="71">
        <f>-52-55</f>
        <v>-107</v>
      </c>
      <c r="AC103" s="71">
        <f>-49.3-52.6</f>
        <v>-101.9</v>
      </c>
      <c r="AD103" s="71">
        <f>-53-58</f>
        <v>-111</v>
      </c>
      <c r="AE103" s="71">
        <f>-59-64</f>
        <v>-123</v>
      </c>
      <c r="AF103" s="71">
        <f>-62.1-66</f>
        <v>-128.1</v>
      </c>
      <c r="AG103" s="70">
        <v>240</v>
      </c>
      <c r="AH103" s="20">
        <f t="shared" si="10"/>
        <v>71.5</v>
      </c>
      <c r="AI103" s="19">
        <f t="shared" si="11"/>
        <v>-137.80000000000001</v>
      </c>
    </row>
    <row r="104" spans="1:37" x14ac:dyDescent="0.25">
      <c r="A104" s="44" t="s">
        <v>136</v>
      </c>
      <c r="B104" s="71">
        <v>1.5</v>
      </c>
      <c r="C104" s="71">
        <v>-1.5</v>
      </c>
      <c r="D104" s="71">
        <v>-1.8</v>
      </c>
      <c r="E104" s="71">
        <v>-0.9</v>
      </c>
      <c r="F104" s="71">
        <v>-2.1</v>
      </c>
      <c r="G104" s="71">
        <v>0</v>
      </c>
      <c r="H104" s="71">
        <v>4.7</v>
      </c>
      <c r="I104" s="71">
        <v>5.4</v>
      </c>
      <c r="J104" s="71">
        <v>9</v>
      </c>
      <c r="K104" s="71">
        <v>12.1</v>
      </c>
      <c r="L104" s="71"/>
      <c r="M104" s="71">
        <v>12</v>
      </c>
      <c r="N104" s="71">
        <v>11.3</v>
      </c>
      <c r="O104" s="71">
        <v>12.3</v>
      </c>
      <c r="P104" s="71">
        <v>15.1</v>
      </c>
      <c r="Q104" s="71">
        <v>13.2</v>
      </c>
      <c r="R104" s="71">
        <v>11.3</v>
      </c>
      <c r="S104" s="71">
        <v>10.6</v>
      </c>
      <c r="T104" s="105">
        <v>11.1</v>
      </c>
      <c r="U104" s="71">
        <v>14.1</v>
      </c>
      <c r="V104" s="71">
        <f>30+32</f>
        <v>62</v>
      </c>
      <c r="W104" s="71">
        <v>16.8</v>
      </c>
      <c r="X104" s="71">
        <v>19</v>
      </c>
      <c r="Y104" s="71">
        <v>19.5</v>
      </c>
      <c r="Z104" s="71">
        <v>19.5</v>
      </c>
      <c r="AA104" s="71">
        <v>14.1</v>
      </c>
      <c r="AB104" s="71">
        <v>10.5</v>
      </c>
      <c r="AC104" s="71">
        <v>10.5</v>
      </c>
      <c r="AD104" s="71">
        <v>6.6</v>
      </c>
      <c r="AE104" s="71">
        <v>4.5999999999999996</v>
      </c>
      <c r="AF104" s="71">
        <v>1.4</v>
      </c>
      <c r="AG104" s="70">
        <v>60</v>
      </c>
      <c r="AH104" s="20">
        <f t="shared" si="10"/>
        <v>62</v>
      </c>
      <c r="AI104" s="19">
        <f t="shared" si="11"/>
        <v>-2.1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46.4</v>
      </c>
      <c r="L105" s="68"/>
      <c r="M105" s="68">
        <v>50</v>
      </c>
      <c r="N105" s="68">
        <v>21.6</v>
      </c>
      <c r="O105" s="68">
        <v>28.3</v>
      </c>
      <c r="P105" s="68">
        <v>44</v>
      </c>
      <c r="Q105" s="68">
        <v>45.9</v>
      </c>
      <c r="R105" s="68">
        <v>41</v>
      </c>
      <c r="S105" s="68">
        <v>51.3</v>
      </c>
      <c r="T105" s="105">
        <v>51.3</v>
      </c>
      <c r="U105" s="68">
        <v>0</v>
      </c>
      <c r="V105" s="68">
        <v>0</v>
      </c>
      <c r="W105" s="68">
        <v>75.2</v>
      </c>
      <c r="X105" s="68">
        <v>51.5</v>
      </c>
      <c r="Y105" s="68">
        <v>52.1</v>
      </c>
      <c r="Z105" s="68">
        <v>52.1</v>
      </c>
      <c r="AA105" s="68">
        <v>63.4</v>
      </c>
      <c r="AB105" s="68">
        <v>63.4</v>
      </c>
      <c r="AC105" s="68">
        <v>50.6</v>
      </c>
      <c r="AD105" s="68">
        <v>40</v>
      </c>
      <c r="AE105" s="68">
        <v>16.899999999999999</v>
      </c>
      <c r="AF105" s="68">
        <v>22</v>
      </c>
      <c r="AG105" s="69">
        <v>120</v>
      </c>
      <c r="AH105" s="20">
        <f t="shared" si="10"/>
        <v>75.2</v>
      </c>
      <c r="AI105" s="19">
        <f t="shared" si="11"/>
        <v>0</v>
      </c>
    </row>
    <row r="106" spans="1:37" x14ac:dyDescent="0.25">
      <c r="A106" s="40" t="s">
        <v>134</v>
      </c>
      <c r="B106" s="68">
        <v>20.3</v>
      </c>
      <c r="C106" s="68">
        <v>15.7</v>
      </c>
      <c r="D106" s="68">
        <v>11.4</v>
      </c>
      <c r="E106" s="68">
        <v>5.2</v>
      </c>
      <c r="F106" s="68">
        <v>12</v>
      </c>
      <c r="G106" s="68">
        <v>22.5</v>
      </c>
      <c r="H106" s="68">
        <v>38.5</v>
      </c>
      <c r="I106" s="68">
        <v>28.5</v>
      </c>
      <c r="J106" s="68">
        <v>43.5</v>
      </c>
      <c r="K106" s="68">
        <v>41.4</v>
      </c>
      <c r="L106" s="68"/>
      <c r="M106" s="68">
        <v>46.8</v>
      </c>
      <c r="N106" s="68">
        <v>26.3</v>
      </c>
      <c r="O106" s="68">
        <v>30.6</v>
      </c>
      <c r="P106" s="68">
        <v>43.6</v>
      </c>
      <c r="Q106" s="68">
        <v>47.8</v>
      </c>
      <c r="R106" s="68">
        <v>42</v>
      </c>
      <c r="S106" s="68">
        <v>55.2</v>
      </c>
      <c r="T106" s="105">
        <v>53.6</v>
      </c>
      <c r="U106" s="68">
        <v>67.7</v>
      </c>
      <c r="V106" s="68">
        <v>61</v>
      </c>
      <c r="W106" s="68">
        <v>65.599999999999994</v>
      </c>
      <c r="X106" s="68">
        <v>74.599999999999994</v>
      </c>
      <c r="Y106" s="68">
        <v>90.9</v>
      </c>
      <c r="Z106" s="68">
        <v>90.9</v>
      </c>
      <c r="AA106" s="68">
        <v>53.9</v>
      </c>
      <c r="AB106" s="68">
        <v>36</v>
      </c>
      <c r="AC106" s="68">
        <v>52</v>
      </c>
      <c r="AD106" s="68">
        <v>40</v>
      </c>
      <c r="AE106" s="68">
        <v>19.5</v>
      </c>
      <c r="AF106" s="68">
        <v>33.700000000000003</v>
      </c>
      <c r="AG106" s="69"/>
      <c r="AH106" s="20">
        <f t="shared" si="10"/>
        <v>90.9</v>
      </c>
      <c r="AI106" s="19">
        <f t="shared" si="11"/>
        <v>5.2</v>
      </c>
    </row>
    <row r="107" spans="1:37" x14ac:dyDescent="0.25">
      <c r="A107" s="40" t="s">
        <v>133</v>
      </c>
      <c r="B107" s="68">
        <v>22</v>
      </c>
      <c r="C107" s="68">
        <v>26.8</v>
      </c>
      <c r="D107" s="68">
        <v>16.899999999999999</v>
      </c>
      <c r="E107" s="68">
        <v>9.9</v>
      </c>
      <c r="F107" s="68">
        <v>16.600000000000001</v>
      </c>
      <c r="G107" s="68">
        <v>15.8</v>
      </c>
      <c r="H107" s="68">
        <v>25.7</v>
      </c>
      <c r="I107" s="68">
        <v>32.6</v>
      </c>
      <c r="J107" s="68">
        <v>30</v>
      </c>
      <c r="K107" s="68">
        <v>20.3</v>
      </c>
      <c r="L107" s="68"/>
      <c r="M107" s="68">
        <v>17.7</v>
      </c>
      <c r="N107" s="68">
        <v>16.600000000000001</v>
      </c>
      <c r="O107" s="68">
        <v>23.6</v>
      </c>
      <c r="P107" s="68">
        <v>47.2</v>
      </c>
      <c r="Q107" s="68">
        <v>29.1</v>
      </c>
      <c r="R107" s="68">
        <v>16.899999999999999</v>
      </c>
      <c r="S107" s="68">
        <v>44.6</v>
      </c>
      <c r="T107" s="105">
        <v>38.4</v>
      </c>
      <c r="U107" s="68">
        <v>31.4</v>
      </c>
      <c r="V107" s="68">
        <v>39.6</v>
      </c>
      <c r="W107" s="68">
        <v>48.1</v>
      </c>
      <c r="X107" s="68">
        <v>32.6</v>
      </c>
      <c r="Y107" s="68">
        <v>46.7</v>
      </c>
      <c r="Z107" s="68">
        <v>46.7</v>
      </c>
      <c r="AA107" s="68">
        <v>38.4</v>
      </c>
      <c r="AB107" s="68">
        <v>36.4</v>
      </c>
      <c r="AC107" s="68">
        <v>58.3</v>
      </c>
      <c r="AD107" s="68">
        <v>50.2</v>
      </c>
      <c r="AE107" s="68">
        <v>15</v>
      </c>
      <c r="AF107" s="68">
        <v>49.7</v>
      </c>
      <c r="AG107" s="48"/>
      <c r="AH107" s="20">
        <f t="shared" si="10"/>
        <v>58.3</v>
      </c>
      <c r="AI107" s="19">
        <f t="shared" si="11"/>
        <v>9.9</v>
      </c>
    </row>
    <row r="108" spans="1:37" x14ac:dyDescent="0.25">
      <c r="A108" s="67" t="s">
        <v>132</v>
      </c>
      <c r="B108" s="66">
        <v>113.1</v>
      </c>
      <c r="C108" s="66">
        <v>114.6</v>
      </c>
      <c r="D108" s="66">
        <v>116.5</v>
      </c>
      <c r="E108" s="66">
        <v>117.7</v>
      </c>
      <c r="F108" s="66">
        <v>118.5</v>
      </c>
      <c r="G108" s="66">
        <v>119</v>
      </c>
      <c r="H108" s="66">
        <v>119.2</v>
      </c>
      <c r="I108" s="66">
        <v>89.3</v>
      </c>
      <c r="J108" s="66">
        <v>87.5</v>
      </c>
      <c r="K108" s="66">
        <v>108.9</v>
      </c>
      <c r="L108" s="66"/>
      <c r="M108" s="66">
        <v>115.6</v>
      </c>
      <c r="N108" s="66">
        <v>115</v>
      </c>
      <c r="O108" s="66">
        <v>109.2</v>
      </c>
      <c r="P108" s="66">
        <v>119.2</v>
      </c>
      <c r="Q108" s="66">
        <v>122.7</v>
      </c>
      <c r="R108" s="66">
        <v>114.3</v>
      </c>
      <c r="S108" s="66">
        <v>97.8</v>
      </c>
      <c r="T108" s="105">
        <v>53.2</v>
      </c>
      <c r="U108" s="66">
        <v>108</v>
      </c>
      <c r="V108" s="66">
        <f>114.3</f>
        <v>114.3</v>
      </c>
      <c r="W108" s="66">
        <v>101.1</v>
      </c>
      <c r="X108" s="66">
        <v>82.1</v>
      </c>
      <c r="Y108" s="66">
        <v>102.6</v>
      </c>
      <c r="Z108" s="66">
        <v>102.6</v>
      </c>
      <c r="AA108" s="66">
        <v>115.8</v>
      </c>
      <c r="AB108" s="66">
        <v>118</v>
      </c>
      <c r="AC108" s="66">
        <v>116.1</v>
      </c>
      <c r="AD108" s="66">
        <v>111</v>
      </c>
      <c r="AE108" s="66">
        <v>52.3</v>
      </c>
      <c r="AF108" s="66">
        <v>123.5</v>
      </c>
      <c r="AG108" s="48"/>
      <c r="AH108" s="20">
        <f t="shared" si="10"/>
        <v>123.5</v>
      </c>
      <c r="AI108" s="19">
        <f t="shared" si="11"/>
        <v>52.3</v>
      </c>
    </row>
    <row r="109" spans="1:37" ht="15.75" thickBot="1" x14ac:dyDescent="0.3">
      <c r="A109" s="67" t="s">
        <v>131</v>
      </c>
      <c r="B109" s="66">
        <v>81.099999999999994</v>
      </c>
      <c r="C109" s="66">
        <v>82.7</v>
      </c>
      <c r="D109" s="66">
        <v>88.5</v>
      </c>
      <c r="E109" s="66">
        <v>92.7</v>
      </c>
      <c r="F109" s="66">
        <v>82.7</v>
      </c>
      <c r="G109" s="66">
        <v>71</v>
      </c>
      <c r="H109" s="66">
        <v>64.099999999999994</v>
      </c>
      <c r="I109" s="66">
        <v>67.5</v>
      </c>
      <c r="J109" s="66">
        <v>50.4</v>
      </c>
      <c r="K109" s="66">
        <v>52.2</v>
      </c>
      <c r="L109" s="66"/>
      <c r="M109" s="66">
        <v>54</v>
      </c>
      <c r="N109" s="66">
        <v>70</v>
      </c>
      <c r="O109" s="66">
        <v>60.3</v>
      </c>
      <c r="P109" s="66">
        <v>46.4</v>
      </c>
      <c r="Q109" s="66">
        <v>53</v>
      </c>
      <c r="R109" s="66">
        <v>52.8</v>
      </c>
      <c r="S109" s="66">
        <v>51.7</v>
      </c>
      <c r="T109" s="66">
        <v>60.2</v>
      </c>
      <c r="U109" s="66">
        <v>42.8</v>
      </c>
      <c r="V109" s="66">
        <v>38.799999999999997</v>
      </c>
      <c r="W109" s="66">
        <v>43.2</v>
      </c>
      <c r="X109" s="66">
        <v>30.4</v>
      </c>
      <c r="Y109" s="66">
        <v>23.6</v>
      </c>
      <c r="Z109" s="66">
        <v>23.6</v>
      </c>
      <c r="AA109" s="66">
        <v>53.7</v>
      </c>
      <c r="AB109" s="66">
        <v>69.400000000000006</v>
      </c>
      <c r="AC109" s="66">
        <v>64.099999999999994</v>
      </c>
      <c r="AD109" s="66">
        <v>69.400000000000006</v>
      </c>
      <c r="AE109" s="66">
        <v>89</v>
      </c>
      <c r="AF109" s="66">
        <v>78.7</v>
      </c>
      <c r="AG109" s="48"/>
      <c r="AH109" s="20">
        <f t="shared" si="10"/>
        <v>92.7</v>
      </c>
      <c r="AI109" s="19">
        <f t="shared" si="11"/>
        <v>23.6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4">SUM(B111:B215)</f>
        <v>0</v>
      </c>
      <c r="C216" s="36">
        <f t="shared" si="24"/>
        <v>0</v>
      </c>
      <c r="D216" s="36">
        <f t="shared" si="24"/>
        <v>0</v>
      </c>
      <c r="E216" s="36">
        <f t="shared" si="24"/>
        <v>0</v>
      </c>
      <c r="F216" s="36">
        <f t="shared" si="24"/>
        <v>0</v>
      </c>
      <c r="G216" s="36">
        <f t="shared" si="24"/>
        <v>0</v>
      </c>
      <c r="H216" s="36">
        <f t="shared" si="24"/>
        <v>0</v>
      </c>
      <c r="I216" s="36">
        <f t="shared" si="24"/>
        <v>0</v>
      </c>
      <c r="J216" s="36">
        <f t="shared" si="24"/>
        <v>0</v>
      </c>
      <c r="K216" s="36">
        <f t="shared" si="24"/>
        <v>0</v>
      </c>
      <c r="L216" s="36">
        <f t="shared" si="24"/>
        <v>0</v>
      </c>
      <c r="M216" s="36">
        <f t="shared" si="24"/>
        <v>0</v>
      </c>
      <c r="N216" s="36">
        <f t="shared" si="24"/>
        <v>0</v>
      </c>
      <c r="O216" s="36">
        <f t="shared" si="24"/>
        <v>0</v>
      </c>
      <c r="P216" s="36">
        <f t="shared" si="24"/>
        <v>0</v>
      </c>
      <c r="Q216" s="36">
        <f t="shared" si="24"/>
        <v>0</v>
      </c>
      <c r="R216" s="36">
        <f t="shared" si="24"/>
        <v>0</v>
      </c>
      <c r="S216" s="36">
        <f t="shared" si="24"/>
        <v>0</v>
      </c>
      <c r="T216" s="36">
        <f t="shared" si="24"/>
        <v>0</v>
      </c>
      <c r="U216" s="36">
        <f t="shared" si="24"/>
        <v>0</v>
      </c>
      <c r="V216" s="36">
        <f t="shared" si="24"/>
        <v>0</v>
      </c>
      <c r="W216" s="36">
        <f t="shared" si="24"/>
        <v>0</v>
      </c>
      <c r="X216" s="36">
        <f t="shared" si="24"/>
        <v>0</v>
      </c>
      <c r="Y216" s="36">
        <f t="shared" si="24"/>
        <v>0</v>
      </c>
      <c r="Z216" s="36">
        <f t="shared" si="24"/>
        <v>0</v>
      </c>
      <c r="AA216" s="36">
        <f t="shared" si="24"/>
        <v>0</v>
      </c>
      <c r="AB216" s="36">
        <f t="shared" si="24"/>
        <v>0</v>
      </c>
      <c r="AC216" s="36">
        <f t="shared" si="24"/>
        <v>0</v>
      </c>
      <c r="AD216" s="36">
        <f t="shared" si="24"/>
        <v>0</v>
      </c>
      <c r="AE216" s="36">
        <f t="shared" si="24"/>
        <v>0</v>
      </c>
      <c r="AF216" s="51">
        <f t="shared" si="24"/>
        <v>0</v>
      </c>
      <c r="AG216" s="50">
        <f t="shared" si="24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5">AF218</f>
        <v>0</v>
      </c>
      <c r="C218" s="46">
        <v>0.3</v>
      </c>
      <c r="D218" s="46">
        <f t="shared" ref="D218:P223" si="26">C218</f>
        <v>0.3</v>
      </c>
      <c r="E218" s="46">
        <f t="shared" si="26"/>
        <v>0.3</v>
      </c>
      <c r="F218" s="46">
        <f t="shared" si="26"/>
        <v>0.3</v>
      </c>
      <c r="G218" s="46">
        <f t="shared" si="26"/>
        <v>0.3</v>
      </c>
      <c r="H218" s="46">
        <f t="shared" si="26"/>
        <v>0.3</v>
      </c>
      <c r="I218" s="46">
        <f t="shared" si="26"/>
        <v>0.3</v>
      </c>
      <c r="J218" s="46">
        <f t="shared" si="26"/>
        <v>0.3</v>
      </c>
      <c r="K218" s="46">
        <f t="shared" si="26"/>
        <v>0.3</v>
      </c>
      <c r="L218" s="46">
        <f t="shared" si="26"/>
        <v>0.3</v>
      </c>
      <c r="M218" s="46">
        <f t="shared" si="26"/>
        <v>0.3</v>
      </c>
      <c r="N218" s="46">
        <f t="shared" si="26"/>
        <v>0.3</v>
      </c>
      <c r="O218" s="46">
        <f t="shared" si="26"/>
        <v>0.3</v>
      </c>
      <c r="P218" s="46">
        <f t="shared" si="26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5"/>
        <v>0</v>
      </c>
      <c r="C219" s="43">
        <v>0.4</v>
      </c>
      <c r="D219" s="43">
        <f t="shared" si="26"/>
        <v>0.4</v>
      </c>
      <c r="E219" s="43">
        <f t="shared" si="26"/>
        <v>0.4</v>
      </c>
      <c r="F219" s="43">
        <f t="shared" si="26"/>
        <v>0.4</v>
      </c>
      <c r="G219" s="43">
        <f t="shared" si="26"/>
        <v>0.4</v>
      </c>
      <c r="H219" s="43">
        <f t="shared" si="26"/>
        <v>0.4</v>
      </c>
      <c r="I219" s="43">
        <f t="shared" si="26"/>
        <v>0.4</v>
      </c>
      <c r="J219" s="43">
        <f t="shared" si="26"/>
        <v>0.4</v>
      </c>
      <c r="K219" s="43">
        <f t="shared" si="26"/>
        <v>0.4</v>
      </c>
      <c r="L219" s="43">
        <f t="shared" si="26"/>
        <v>0.4</v>
      </c>
      <c r="M219" s="43">
        <f t="shared" si="26"/>
        <v>0.4</v>
      </c>
      <c r="N219" s="43">
        <f t="shared" si="26"/>
        <v>0.4</v>
      </c>
      <c r="O219" s="43">
        <f t="shared" si="26"/>
        <v>0.4</v>
      </c>
      <c r="P219" s="43">
        <f t="shared" si="26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5"/>
        <v>0</v>
      </c>
      <c r="C220" s="43">
        <v>1.5</v>
      </c>
      <c r="D220" s="43">
        <f t="shared" si="26"/>
        <v>1.5</v>
      </c>
      <c r="E220" s="43">
        <f t="shared" si="26"/>
        <v>1.5</v>
      </c>
      <c r="F220" s="43">
        <f t="shared" si="26"/>
        <v>1.5</v>
      </c>
      <c r="G220" s="43">
        <f t="shared" si="26"/>
        <v>1.5</v>
      </c>
      <c r="H220" s="43">
        <f t="shared" si="26"/>
        <v>1.5</v>
      </c>
      <c r="I220" s="43">
        <f t="shared" si="26"/>
        <v>1.5</v>
      </c>
      <c r="J220" s="43">
        <f t="shared" si="26"/>
        <v>1.5</v>
      </c>
      <c r="K220" s="43">
        <f t="shared" si="26"/>
        <v>1.5</v>
      </c>
      <c r="L220" s="43">
        <f t="shared" si="26"/>
        <v>1.5</v>
      </c>
      <c r="M220" s="43">
        <f t="shared" si="26"/>
        <v>1.5</v>
      </c>
      <c r="N220" s="43">
        <f t="shared" si="26"/>
        <v>1.5</v>
      </c>
      <c r="O220" s="43">
        <f t="shared" si="26"/>
        <v>1.5</v>
      </c>
      <c r="P220" s="43">
        <f t="shared" si="26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5"/>
        <v>0</v>
      </c>
      <c r="C221" s="43">
        <v>0.3</v>
      </c>
      <c r="D221" s="43">
        <f t="shared" si="26"/>
        <v>0.3</v>
      </c>
      <c r="E221" s="43">
        <f t="shared" si="26"/>
        <v>0.3</v>
      </c>
      <c r="F221" s="43">
        <f t="shared" si="26"/>
        <v>0.3</v>
      </c>
      <c r="G221" s="43">
        <f t="shared" si="26"/>
        <v>0.3</v>
      </c>
      <c r="H221" s="43">
        <f t="shared" si="26"/>
        <v>0.3</v>
      </c>
      <c r="I221" s="43">
        <f t="shared" si="26"/>
        <v>0.3</v>
      </c>
      <c r="J221" s="43">
        <f t="shared" si="26"/>
        <v>0.3</v>
      </c>
      <c r="K221" s="43">
        <f t="shared" si="26"/>
        <v>0.3</v>
      </c>
      <c r="L221" s="43">
        <f t="shared" si="26"/>
        <v>0.3</v>
      </c>
      <c r="M221" s="43">
        <f t="shared" si="26"/>
        <v>0.3</v>
      </c>
      <c r="N221" s="43">
        <f t="shared" si="26"/>
        <v>0.3</v>
      </c>
      <c r="O221" s="43">
        <f t="shared" si="26"/>
        <v>0.3</v>
      </c>
      <c r="P221" s="43">
        <f t="shared" si="26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5"/>
        <v>0</v>
      </c>
      <c r="C222" s="43">
        <v>0.4</v>
      </c>
      <c r="D222" s="43">
        <f t="shared" si="26"/>
        <v>0.4</v>
      </c>
      <c r="E222" s="43">
        <f t="shared" si="26"/>
        <v>0.4</v>
      </c>
      <c r="F222" s="43">
        <f t="shared" si="26"/>
        <v>0.4</v>
      </c>
      <c r="G222" s="43">
        <f t="shared" si="26"/>
        <v>0.4</v>
      </c>
      <c r="H222" s="43">
        <f t="shared" si="26"/>
        <v>0.4</v>
      </c>
      <c r="I222" s="43">
        <f t="shared" si="26"/>
        <v>0.4</v>
      </c>
      <c r="J222" s="43">
        <f t="shared" si="26"/>
        <v>0.4</v>
      </c>
      <c r="K222" s="43">
        <f t="shared" si="26"/>
        <v>0.4</v>
      </c>
      <c r="L222" s="43">
        <f t="shared" si="26"/>
        <v>0.4</v>
      </c>
      <c r="M222" s="43">
        <f t="shared" si="26"/>
        <v>0.4</v>
      </c>
      <c r="N222" s="43">
        <f t="shared" si="26"/>
        <v>0.4</v>
      </c>
      <c r="O222" s="43">
        <f t="shared" si="26"/>
        <v>0.4</v>
      </c>
      <c r="P222" s="43">
        <f t="shared" si="26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5"/>
        <v>0</v>
      </c>
      <c r="C223" s="39">
        <v>0.64</v>
      </c>
      <c r="D223" s="39">
        <f t="shared" si="26"/>
        <v>0.64</v>
      </c>
      <c r="E223" s="39">
        <f t="shared" si="26"/>
        <v>0.64</v>
      </c>
      <c r="F223" s="39">
        <f t="shared" si="26"/>
        <v>0.64</v>
      </c>
      <c r="G223" s="39">
        <f t="shared" si="26"/>
        <v>0.64</v>
      </c>
      <c r="H223" s="39">
        <f t="shared" si="26"/>
        <v>0.64</v>
      </c>
      <c r="I223" s="39">
        <f t="shared" si="26"/>
        <v>0.64</v>
      </c>
      <c r="J223" s="39">
        <f t="shared" si="26"/>
        <v>0.64</v>
      </c>
      <c r="K223" s="39">
        <f t="shared" si="26"/>
        <v>0.64</v>
      </c>
      <c r="L223" s="39">
        <f t="shared" si="26"/>
        <v>0.64</v>
      </c>
      <c r="M223" s="39">
        <f t="shared" si="26"/>
        <v>0.64</v>
      </c>
      <c r="N223" s="39">
        <f t="shared" si="26"/>
        <v>0.64</v>
      </c>
      <c r="O223" s="39">
        <f t="shared" si="26"/>
        <v>0.64</v>
      </c>
      <c r="P223" s="39">
        <f t="shared" si="26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7">SUM(B218:B223)</f>
        <v>0</v>
      </c>
      <c r="C224" s="36">
        <f t="shared" si="27"/>
        <v>3.54</v>
      </c>
      <c r="D224" s="36">
        <f t="shared" si="27"/>
        <v>3.54</v>
      </c>
      <c r="E224" s="36">
        <f t="shared" si="27"/>
        <v>3.54</v>
      </c>
      <c r="F224" s="36">
        <f t="shared" si="27"/>
        <v>3.54</v>
      </c>
      <c r="G224" s="36">
        <f t="shared" si="27"/>
        <v>3.54</v>
      </c>
      <c r="H224" s="36">
        <f t="shared" si="27"/>
        <v>3.54</v>
      </c>
      <c r="I224" s="36">
        <f t="shared" si="27"/>
        <v>3.54</v>
      </c>
      <c r="J224" s="36">
        <f t="shared" si="27"/>
        <v>3.54</v>
      </c>
      <c r="K224" s="36">
        <f t="shared" si="27"/>
        <v>3.54</v>
      </c>
      <c r="L224" s="36">
        <f t="shared" si="27"/>
        <v>3.54</v>
      </c>
      <c r="M224" s="36">
        <f t="shared" si="27"/>
        <v>3.54</v>
      </c>
      <c r="N224" s="36">
        <f t="shared" si="27"/>
        <v>3.54</v>
      </c>
      <c r="O224" s="36">
        <f t="shared" si="27"/>
        <v>3.54</v>
      </c>
      <c r="P224" s="36">
        <f t="shared" si="27"/>
        <v>3.54</v>
      </c>
      <c r="Q224" s="36">
        <f t="shared" si="27"/>
        <v>0</v>
      </c>
      <c r="R224" s="36">
        <f t="shared" si="27"/>
        <v>0</v>
      </c>
      <c r="S224" s="36">
        <f t="shared" si="27"/>
        <v>0</v>
      </c>
      <c r="T224" s="36">
        <f t="shared" si="27"/>
        <v>0</v>
      </c>
      <c r="U224" s="36">
        <f t="shared" si="27"/>
        <v>0</v>
      </c>
      <c r="V224" s="36">
        <f t="shared" si="27"/>
        <v>0</v>
      </c>
      <c r="W224" s="36">
        <f t="shared" si="27"/>
        <v>0</v>
      </c>
      <c r="X224" s="36">
        <f t="shared" si="27"/>
        <v>0</v>
      </c>
      <c r="Y224" s="36">
        <f t="shared" si="27"/>
        <v>0</v>
      </c>
      <c r="Z224" s="36">
        <f t="shared" si="27"/>
        <v>0</v>
      </c>
      <c r="AA224" s="36">
        <f t="shared" si="27"/>
        <v>0</v>
      </c>
      <c r="AB224" s="36">
        <f t="shared" si="27"/>
        <v>0</v>
      </c>
      <c r="AC224" s="36">
        <f t="shared" si="27"/>
        <v>0</v>
      </c>
      <c r="AD224" s="36">
        <f t="shared" si="27"/>
        <v>0</v>
      </c>
      <c r="AE224" s="36">
        <f t="shared" si="27"/>
        <v>0</v>
      </c>
      <c r="AF224" s="36">
        <f t="shared" si="27"/>
        <v>0</v>
      </c>
      <c r="AG224" s="35">
        <f t="shared" si="27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1636.54</v>
      </c>
      <c r="C233" s="16">
        <f>INDEX(G9:N9,1,MATCH(MAX(G81:N81),G81:N81,0))</f>
        <v>0.33333333333333331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27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2079/06/27)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2079/06/27)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8">B81</f>
        <v>1487.64</v>
      </c>
      <c r="U238" s="9">
        <f t="shared" si="28"/>
        <v>1468.04</v>
      </c>
      <c r="V238" s="9">
        <f t="shared" si="28"/>
        <v>1459.9399999999998</v>
      </c>
      <c r="W238" s="9">
        <f t="shared" si="28"/>
        <v>1458.74</v>
      </c>
      <c r="X238" s="9">
        <f t="shared" si="28"/>
        <v>1436.84</v>
      </c>
      <c r="Y238" s="9">
        <f t="shared" si="28"/>
        <v>1430.54</v>
      </c>
      <c r="Z238" s="9">
        <f t="shared" si="28"/>
        <v>1471.44</v>
      </c>
      <c r="AA238" s="9">
        <f t="shared" si="28"/>
        <v>1489.84</v>
      </c>
      <c r="AB238" s="9">
        <f t="shared" si="28"/>
        <v>1538.24</v>
      </c>
      <c r="AC238" s="9">
        <f t="shared" si="28"/>
        <v>1584.3400000000001</v>
      </c>
      <c r="AD238" s="9">
        <f t="shared" si="28"/>
        <v>1599.24</v>
      </c>
      <c r="AE238" s="9">
        <f t="shared" si="28"/>
        <v>1636.54</v>
      </c>
      <c r="AF238" s="9">
        <f t="shared" si="28"/>
        <v>1617.1399999999999</v>
      </c>
      <c r="AG238" s="9">
        <f t="shared" si="28"/>
        <v>1625.1399999999999</v>
      </c>
      <c r="AH238" s="9">
        <f t="shared" si="28"/>
        <v>1607.04</v>
      </c>
      <c r="AI238" s="9">
        <f t="shared" si="28"/>
        <v>1615.6399999999999</v>
      </c>
      <c r="AJ238" s="9">
        <f t="shared" si="28"/>
        <v>1615.6399999999999</v>
      </c>
      <c r="AK238" s="9">
        <f t="shared" si="28"/>
        <v>1619.1399999999999</v>
      </c>
      <c r="AL238" s="9">
        <f t="shared" si="28"/>
        <v>1614.7399999999998</v>
      </c>
      <c r="AM238" s="9">
        <f t="shared" si="28"/>
        <v>1624.1399999999999</v>
      </c>
      <c r="AN238" s="9">
        <f t="shared" si="28"/>
        <v>1623.94</v>
      </c>
      <c r="AO238" s="9">
        <f t="shared" si="28"/>
        <v>1638.94</v>
      </c>
      <c r="AP238" s="9">
        <f t="shared" si="28"/>
        <v>1734.34</v>
      </c>
      <c r="AQ238" s="9">
        <f t="shared" si="28"/>
        <v>1733.94</v>
      </c>
      <c r="AR238" s="9">
        <f t="shared" si="28"/>
        <v>1729.54</v>
      </c>
      <c r="AS238" s="9">
        <f t="shared" si="28"/>
        <v>1731.1399999999999</v>
      </c>
      <c r="AT238" s="9">
        <f t="shared" si="28"/>
        <v>1712.44</v>
      </c>
      <c r="AU238" s="9">
        <f t="shared" si="28"/>
        <v>1688.24</v>
      </c>
      <c r="AV238" s="9">
        <f t="shared" si="28"/>
        <v>1666.24</v>
      </c>
      <c r="AW238" s="9">
        <f t="shared" si="28"/>
        <v>1583.9399999999998</v>
      </c>
      <c r="AX238" s="9">
        <f t="shared" si="28"/>
        <v>1553.74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9">C223</f>
        <v>0.64</v>
      </c>
      <c r="C259" s="4">
        <f t="shared" si="29"/>
        <v>0.64</v>
      </c>
      <c r="D259" s="4">
        <f t="shared" si="29"/>
        <v>0.64</v>
      </c>
      <c r="E259" s="4">
        <f t="shared" si="29"/>
        <v>0.64</v>
      </c>
      <c r="F259" s="4">
        <f t="shared" si="29"/>
        <v>0.64</v>
      </c>
      <c r="G259" s="4">
        <f t="shared" si="29"/>
        <v>0.64</v>
      </c>
      <c r="H259" s="4">
        <f t="shared" si="29"/>
        <v>0.64</v>
      </c>
      <c r="I259" s="4">
        <f t="shared" si="29"/>
        <v>0.64</v>
      </c>
      <c r="J259" s="4">
        <f t="shared" si="29"/>
        <v>0.64</v>
      </c>
      <c r="K259" s="4">
        <f t="shared" si="29"/>
        <v>0.64</v>
      </c>
      <c r="L259" s="4">
        <f t="shared" si="29"/>
        <v>0.64</v>
      </c>
      <c r="M259" s="4">
        <f t="shared" si="29"/>
        <v>0.64</v>
      </c>
      <c r="N259" s="4">
        <f t="shared" si="29"/>
        <v>0.64</v>
      </c>
      <c r="O259" s="4">
        <f t="shared" si="29"/>
        <v>0.64</v>
      </c>
      <c r="P259" s="4">
        <f t="shared" si="29"/>
        <v>0</v>
      </c>
      <c r="Q259" s="4">
        <f t="shared" si="29"/>
        <v>0</v>
      </c>
      <c r="R259" s="4">
        <f t="shared" si="29"/>
        <v>0</v>
      </c>
      <c r="S259" s="4">
        <f t="shared" si="29"/>
        <v>0</v>
      </c>
      <c r="T259" s="4">
        <f t="shared" si="29"/>
        <v>0</v>
      </c>
      <c r="U259" s="4">
        <f t="shared" si="29"/>
        <v>0</v>
      </c>
      <c r="V259" s="4">
        <f t="shared" si="29"/>
        <v>0</v>
      </c>
      <c r="W259" s="4">
        <f t="shared" si="29"/>
        <v>0</v>
      </c>
      <c r="X259" s="4">
        <f t="shared" si="29"/>
        <v>0</v>
      </c>
      <c r="Y259" s="4">
        <f t="shared" si="29"/>
        <v>0</v>
      </c>
      <c r="Z259" s="4">
        <f t="shared" si="29"/>
        <v>0</v>
      </c>
      <c r="AA259" s="4">
        <f t="shared" si="29"/>
        <v>0</v>
      </c>
      <c r="AB259" s="4">
        <f t="shared" si="29"/>
        <v>0</v>
      </c>
      <c r="AC259" s="4">
        <f t="shared" si="29"/>
        <v>0</v>
      </c>
      <c r="AD259" s="4">
        <f t="shared" si="29"/>
        <v>0</v>
      </c>
      <c r="AE259" s="4">
        <f t="shared" si="29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30">IF(B227&lt;100,"",B227-520)</f>
        <v/>
      </c>
      <c r="C260" s="3" t="str">
        <f t="shared" si="30"/>
        <v/>
      </c>
      <c r="D260" s="3" t="str">
        <f t="shared" si="30"/>
        <v/>
      </c>
      <c r="E260" s="3" t="str">
        <f t="shared" si="30"/>
        <v/>
      </c>
      <c r="F260" s="3" t="str">
        <f t="shared" si="30"/>
        <v/>
      </c>
      <c r="G260" s="3" t="str">
        <f t="shared" si="30"/>
        <v/>
      </c>
      <c r="H260" s="3" t="str">
        <f t="shared" si="30"/>
        <v/>
      </c>
      <c r="I260" s="3" t="str">
        <f t="shared" si="30"/>
        <v/>
      </c>
      <c r="J260" s="3" t="str">
        <f t="shared" si="30"/>
        <v/>
      </c>
      <c r="K260" s="3" t="str">
        <f t="shared" si="30"/>
        <v/>
      </c>
      <c r="L260" s="3" t="str">
        <f t="shared" si="30"/>
        <v/>
      </c>
      <c r="M260" s="3" t="str">
        <f t="shared" si="30"/>
        <v/>
      </c>
      <c r="N260" s="3" t="str">
        <f t="shared" si="30"/>
        <v/>
      </c>
      <c r="O260" s="3" t="str">
        <f t="shared" si="30"/>
        <v/>
      </c>
      <c r="P260" s="3" t="str">
        <f t="shared" si="30"/>
        <v/>
      </c>
      <c r="Q260" s="3" t="str">
        <f t="shared" si="30"/>
        <v/>
      </c>
      <c r="R260" s="3" t="str">
        <f t="shared" si="30"/>
        <v/>
      </c>
      <c r="S260" s="3" t="str">
        <f t="shared" si="30"/>
        <v/>
      </c>
      <c r="T260" s="3" t="str">
        <f t="shared" si="30"/>
        <v/>
      </c>
      <c r="U260" s="3" t="str">
        <f t="shared" si="30"/>
        <v/>
      </c>
      <c r="V260" s="3" t="str">
        <f t="shared" si="30"/>
        <v/>
      </c>
      <c r="W260" s="3" t="str">
        <f t="shared" si="30"/>
        <v/>
      </c>
      <c r="X260" s="3" t="str">
        <f t="shared" si="30"/>
        <v/>
      </c>
      <c r="Y260" s="3" t="str">
        <f t="shared" si="30"/>
        <v/>
      </c>
      <c r="Z260" s="3" t="str">
        <f t="shared" si="30"/>
        <v/>
      </c>
      <c r="AA260" s="3" t="str">
        <f t="shared" si="30"/>
        <v/>
      </c>
      <c r="AB260" s="3" t="str">
        <f t="shared" si="30"/>
        <v/>
      </c>
      <c r="AC260" s="3" t="str">
        <f t="shared" si="30"/>
        <v/>
      </c>
      <c r="AD260" s="3" t="str">
        <f t="shared" si="30"/>
        <v/>
      </c>
      <c r="AE260" s="3" t="str">
        <f t="shared" si="30"/>
        <v/>
      </c>
      <c r="AF260" s="3" t="str">
        <f t="shared" si="30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31">IF(B228&lt;100,"",B228-620)</f>
        <v/>
      </c>
      <c r="C261" s="3" t="str">
        <f t="shared" si="31"/>
        <v/>
      </c>
      <c r="D261" s="3" t="str">
        <f t="shared" si="31"/>
        <v/>
      </c>
      <c r="E261" s="3" t="str">
        <f t="shared" si="31"/>
        <v/>
      </c>
      <c r="F261" s="3" t="str">
        <f t="shared" si="31"/>
        <v/>
      </c>
      <c r="G261" s="3" t="str">
        <f t="shared" si="31"/>
        <v/>
      </c>
      <c r="H261" s="3" t="str">
        <f t="shared" si="31"/>
        <v/>
      </c>
      <c r="I261" s="3" t="str">
        <f t="shared" si="31"/>
        <v/>
      </c>
      <c r="J261" s="3" t="str">
        <f t="shared" si="31"/>
        <v/>
      </c>
      <c r="K261" s="3" t="str">
        <f t="shared" si="31"/>
        <v/>
      </c>
      <c r="L261" s="3" t="str">
        <f t="shared" si="31"/>
        <v/>
      </c>
      <c r="M261" s="3" t="str">
        <f t="shared" si="31"/>
        <v/>
      </c>
      <c r="N261" s="3" t="str">
        <f t="shared" si="31"/>
        <v/>
      </c>
      <c r="O261" s="3" t="str">
        <f t="shared" si="31"/>
        <v/>
      </c>
      <c r="P261" s="3" t="str">
        <f t="shared" si="31"/>
        <v/>
      </c>
      <c r="Q261" s="3" t="str">
        <f t="shared" si="31"/>
        <v/>
      </c>
      <c r="R261" s="3" t="str">
        <f t="shared" si="31"/>
        <v/>
      </c>
      <c r="S261" s="3" t="str">
        <f t="shared" si="31"/>
        <v/>
      </c>
      <c r="T261" s="3" t="str">
        <f t="shared" si="31"/>
        <v/>
      </c>
      <c r="U261" s="3" t="str">
        <f t="shared" si="31"/>
        <v/>
      </c>
      <c r="V261" s="3" t="str">
        <f t="shared" si="31"/>
        <v/>
      </c>
      <c r="W261" s="3" t="str">
        <f t="shared" si="31"/>
        <v/>
      </c>
      <c r="X261" s="3" t="str">
        <f t="shared" si="31"/>
        <v/>
      </c>
      <c r="Y261" s="3" t="str">
        <f t="shared" si="31"/>
        <v/>
      </c>
      <c r="Z261" s="3" t="str">
        <f t="shared" si="31"/>
        <v/>
      </c>
      <c r="AA261" s="3" t="str">
        <f t="shared" si="31"/>
        <v/>
      </c>
      <c r="AB261" s="3" t="str">
        <f t="shared" si="31"/>
        <v/>
      </c>
      <c r="AC261" s="3" t="str">
        <f t="shared" si="31"/>
        <v/>
      </c>
      <c r="AD261" s="3" t="str">
        <f t="shared" si="31"/>
        <v/>
      </c>
      <c r="AE261" s="3" t="str">
        <f t="shared" si="31"/>
        <v/>
      </c>
      <c r="AF261" s="3" t="str">
        <f t="shared" si="31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2">IF(B229&lt;100,"",B229-330)</f>
        <v/>
      </c>
      <c r="C262" s="3" t="str">
        <f t="shared" si="32"/>
        <v/>
      </c>
      <c r="D262" s="3" t="str">
        <f t="shared" si="32"/>
        <v/>
      </c>
      <c r="E262" s="3" t="str">
        <f t="shared" si="32"/>
        <v/>
      </c>
      <c r="F262" s="3" t="str">
        <f t="shared" si="32"/>
        <v/>
      </c>
      <c r="G262" s="3" t="str">
        <f t="shared" si="32"/>
        <v/>
      </c>
      <c r="H262" s="3" t="str">
        <f t="shared" si="32"/>
        <v/>
      </c>
      <c r="I262" s="3" t="str">
        <f t="shared" si="32"/>
        <v/>
      </c>
      <c r="J262" s="3" t="str">
        <f t="shared" si="32"/>
        <v/>
      </c>
      <c r="K262" s="3" t="str">
        <f t="shared" si="32"/>
        <v/>
      </c>
      <c r="L262" s="3" t="str">
        <f t="shared" si="32"/>
        <v/>
      </c>
      <c r="M262" s="3" t="str">
        <f t="shared" si="32"/>
        <v/>
      </c>
      <c r="N262" s="3" t="str">
        <f t="shared" si="32"/>
        <v/>
      </c>
      <c r="O262" s="3" t="str">
        <f t="shared" si="32"/>
        <v/>
      </c>
      <c r="P262" s="3" t="str">
        <f t="shared" si="32"/>
        <v/>
      </c>
      <c r="Q262" s="3" t="str">
        <f t="shared" si="32"/>
        <v/>
      </c>
      <c r="R262" s="3" t="str">
        <f t="shared" si="32"/>
        <v/>
      </c>
      <c r="S262" s="3" t="str">
        <f t="shared" si="32"/>
        <v/>
      </c>
      <c r="T262" s="3" t="str">
        <f t="shared" si="32"/>
        <v/>
      </c>
      <c r="U262" s="3" t="str">
        <f t="shared" si="32"/>
        <v/>
      </c>
      <c r="V262" s="3" t="str">
        <f t="shared" si="32"/>
        <v/>
      </c>
      <c r="W262" s="3" t="str">
        <f t="shared" si="32"/>
        <v/>
      </c>
      <c r="X262" s="3" t="str">
        <f t="shared" si="32"/>
        <v/>
      </c>
      <c r="Y262" s="3" t="str">
        <f t="shared" si="32"/>
        <v/>
      </c>
      <c r="Z262" s="3" t="str">
        <f t="shared" si="32"/>
        <v/>
      </c>
      <c r="AA262" s="3" t="str">
        <f t="shared" si="32"/>
        <v/>
      </c>
      <c r="AB262" s="3" t="str">
        <f t="shared" si="32"/>
        <v/>
      </c>
      <c r="AC262" s="3" t="str">
        <f t="shared" si="32"/>
        <v/>
      </c>
      <c r="AD262" s="3" t="str">
        <f t="shared" si="32"/>
        <v/>
      </c>
      <c r="AE262" s="3" t="str">
        <f t="shared" si="32"/>
        <v/>
      </c>
      <c r="AF262" s="3" t="str">
        <f t="shared" si="32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3">IF(B230&lt;100,"",B230-1500)</f>
        <v/>
      </c>
      <c r="C263" s="3" t="str">
        <f t="shared" si="33"/>
        <v/>
      </c>
      <c r="D263" s="3" t="str">
        <f t="shared" si="33"/>
        <v/>
      </c>
      <c r="E263" s="3" t="str">
        <f t="shared" si="33"/>
        <v/>
      </c>
      <c r="F263" s="3" t="str">
        <f t="shared" si="33"/>
        <v/>
      </c>
      <c r="G263" s="3" t="str">
        <f t="shared" si="33"/>
        <v/>
      </c>
      <c r="H263" s="3" t="str">
        <f t="shared" si="33"/>
        <v/>
      </c>
      <c r="I263" s="3" t="str">
        <f t="shared" si="33"/>
        <v/>
      </c>
      <c r="J263" s="3" t="str">
        <f t="shared" si="33"/>
        <v/>
      </c>
      <c r="K263" s="3" t="str">
        <f t="shared" si="33"/>
        <v/>
      </c>
      <c r="L263" s="3" t="str">
        <f t="shared" si="33"/>
        <v/>
      </c>
      <c r="M263" s="3" t="str">
        <f t="shared" si="33"/>
        <v/>
      </c>
      <c r="N263" s="3" t="str">
        <f t="shared" si="33"/>
        <v/>
      </c>
      <c r="O263" s="3" t="str">
        <f t="shared" si="33"/>
        <v/>
      </c>
      <c r="P263" s="3" t="str">
        <f t="shared" si="33"/>
        <v/>
      </c>
      <c r="Q263" s="3" t="str">
        <f t="shared" si="33"/>
        <v/>
      </c>
      <c r="R263" s="3" t="str">
        <f t="shared" si="33"/>
        <v/>
      </c>
      <c r="S263" s="3" t="str">
        <f t="shared" si="33"/>
        <v/>
      </c>
      <c r="T263" s="3" t="str">
        <f t="shared" si="33"/>
        <v/>
      </c>
      <c r="U263" s="3" t="str">
        <f t="shared" si="33"/>
        <v/>
      </c>
      <c r="V263" s="3" t="str">
        <f t="shared" si="33"/>
        <v/>
      </c>
      <c r="W263" s="3" t="str">
        <f t="shared" si="33"/>
        <v/>
      </c>
      <c r="X263" s="3" t="str">
        <f t="shared" si="33"/>
        <v/>
      </c>
      <c r="Y263" s="3" t="str">
        <f t="shared" si="33"/>
        <v/>
      </c>
      <c r="Z263" s="3" t="str">
        <f t="shared" si="33"/>
        <v/>
      </c>
      <c r="AA263" s="3" t="str">
        <f t="shared" si="33"/>
        <v/>
      </c>
      <c r="AB263" s="3" t="str">
        <f t="shared" si="33"/>
        <v/>
      </c>
      <c r="AC263" s="3" t="str">
        <f t="shared" si="33"/>
        <v/>
      </c>
      <c r="AD263" s="3" t="str">
        <f t="shared" si="33"/>
        <v/>
      </c>
      <c r="AE263" s="3" t="str">
        <f t="shared" si="33"/>
        <v/>
      </c>
      <c r="AF263" s="3" t="str">
        <f t="shared" si="33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86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85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16:S16 B20:S23 C101:S101 C103:S108 B9:AF10 U103:AF108 U101:AF101">
    <cfRule type="expression" dxfId="2650" priority="281">
      <formula>B$9&gt;=20/24</formula>
    </cfRule>
    <cfRule type="expression" dxfId="2649" priority="282">
      <formula>AND(B$9&gt;=14/24,B$9&lt;20/24)</formula>
    </cfRule>
    <cfRule type="expression" dxfId="2648" priority="283">
      <formula>AND(B$9&gt;=8/24,B$9&lt;14/24)</formula>
    </cfRule>
    <cfRule type="expression" dxfId="2647" priority="284">
      <formula>B$9&lt;8/24</formula>
    </cfRule>
  </conditionalFormatting>
  <conditionalFormatting sqref="AL4:AL6">
    <cfRule type="iconSet" priority="280">
      <iconSet iconSet="3TrafficLights2" reverse="1">
        <cfvo type="percent" val="0"/>
        <cfvo type="num" val="1"/>
        <cfvo type="num" val="1"/>
      </iconSet>
    </cfRule>
  </conditionalFormatting>
  <conditionalFormatting sqref="Z39:AF39">
    <cfRule type="expression" dxfId="2646" priority="276">
      <formula>Z$9&gt;=20/24</formula>
    </cfRule>
    <cfRule type="expression" dxfId="2645" priority="277">
      <formula>AND(Z$9&gt;=14/24,Z$9&lt;20/24)</formula>
    </cfRule>
    <cfRule type="expression" dxfId="2644" priority="278">
      <formula>AND(Z$9&gt;=8/24,Z$9&lt;14/24)</formula>
    </cfRule>
    <cfRule type="expression" dxfId="2643" priority="279">
      <formula>Z$9&lt;8/24</formula>
    </cfRule>
  </conditionalFormatting>
  <conditionalFormatting sqref="AG57 AC14:AD14 B18:S18 B20:S23 B37:S37 B12:S16 AD15 Z39:AF39 AE14:AF15">
    <cfRule type="expression" dxfId="2642" priority="275">
      <formula>B12&gt;$AG12</formula>
    </cfRule>
  </conditionalFormatting>
  <conditionalFormatting sqref="A91:A101 A11:A14 A51:A78 A87:A89 A194:A224 A38:A49 A110:A181 A34:A35 A83:A85 A80:A81 A103:A105 A31:A32 A18:A29 A16">
    <cfRule type="expression" dxfId="2641" priority="274">
      <formula>$AH11=0</formula>
    </cfRule>
  </conditionalFormatting>
  <conditionalFormatting sqref="A106">
    <cfRule type="expression" dxfId="2640" priority="273">
      <formula>$AH106=0</formula>
    </cfRule>
  </conditionalFormatting>
  <conditionalFormatting sqref="AL35">
    <cfRule type="iconSet" priority="272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639" priority="271">
      <formula>$AH37=0</formula>
    </cfRule>
  </conditionalFormatting>
  <conditionalFormatting sqref="A90">
    <cfRule type="expression" dxfId="2638" priority="270">
      <formula>$AH90=0</formula>
    </cfRule>
  </conditionalFormatting>
  <conditionalFormatting sqref="A15">
    <cfRule type="expression" dxfId="2637" priority="269">
      <formula>$AH15=0</formula>
    </cfRule>
  </conditionalFormatting>
  <conditionalFormatting sqref="A188:A193">
    <cfRule type="expression" dxfId="2636" priority="268">
      <formula>$AH188=0</formula>
    </cfRule>
  </conditionalFormatting>
  <conditionalFormatting sqref="A182:A187">
    <cfRule type="expression" dxfId="2635" priority="267">
      <formula>$AH182=0</formula>
    </cfRule>
  </conditionalFormatting>
  <conditionalFormatting sqref="A50">
    <cfRule type="expression" dxfId="2634" priority="266">
      <formula>$AH50=0</formula>
    </cfRule>
  </conditionalFormatting>
  <conditionalFormatting sqref="A86">
    <cfRule type="expression" dxfId="2633" priority="265">
      <formula>$AH86=0</formula>
    </cfRule>
  </conditionalFormatting>
  <conditionalFormatting sqref="C91:S91 U91:AF91">
    <cfRule type="expression" dxfId="2632" priority="261">
      <formula>C$9&gt;=20/24</formula>
    </cfRule>
    <cfRule type="expression" dxfId="2631" priority="262">
      <formula>AND(C$9&gt;=14/24,C$9&lt;20/24)</formula>
    </cfRule>
    <cfRule type="expression" dxfId="2630" priority="263">
      <formula>AND(C$9&gt;=8/24,C$9&lt;14/24)</formula>
    </cfRule>
    <cfRule type="expression" dxfId="2629" priority="264">
      <formula>C$9&lt;8/24</formula>
    </cfRule>
  </conditionalFormatting>
  <conditionalFormatting sqref="AL36">
    <cfRule type="iconSet" priority="260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628" priority="287">
      <formula>C$9&gt;=20/24</formula>
    </cfRule>
    <cfRule type="expression" dxfId="2627" priority="288">
      <formula>AND(C$9&gt;=14/24,C$9&lt;20/24)</formula>
    </cfRule>
    <cfRule type="expression" dxfId="2626" priority="289">
      <formula>AND(C$9&gt;=8/24,C$9&lt;14/24)</formula>
    </cfRule>
    <cfRule type="expression" dxfId="2625" priority="290">
      <formula>C$9&lt;8/24</formula>
    </cfRule>
  </conditionalFormatting>
  <conditionalFormatting sqref="A225">
    <cfRule type="expression" dxfId="2624" priority="291">
      <formula>$AH225=0</formula>
    </cfRule>
  </conditionalFormatting>
  <conditionalFormatting sqref="AG237">
    <cfRule type="expression" dxfId="2623" priority="292">
      <formula>B$9&gt;=20/24</formula>
    </cfRule>
    <cfRule type="expression" dxfId="2622" priority="293">
      <formula>AND(B$9&gt;=14/24,B$9&lt;20/24)</formula>
    </cfRule>
    <cfRule type="expression" dxfId="2621" priority="294">
      <formula>AND(B$9&gt;=8/24,B$9&lt;14/24)</formula>
    </cfRule>
    <cfRule type="expression" dxfId="2620" priority="295">
      <formula>B$9&lt;8/24</formula>
    </cfRule>
  </conditionalFormatting>
  <conditionalFormatting sqref="S8">
    <cfRule type="expression" dxfId="2619" priority="256">
      <formula>U$9&gt;=20/24</formula>
    </cfRule>
    <cfRule type="expression" dxfId="2618" priority="257">
      <formula>AND(U$9&gt;=14/24,U$9&lt;20/24)</formula>
    </cfRule>
    <cfRule type="expression" dxfId="2617" priority="258">
      <formula>AND(U$9&gt;=8/24,U$9&lt;14/24)</formula>
    </cfRule>
    <cfRule type="expression" dxfId="2616" priority="259">
      <formula>U$9&lt;8/24</formula>
    </cfRule>
  </conditionalFormatting>
  <conditionalFormatting sqref="AB8">
    <cfRule type="expression" dxfId="2615" priority="252">
      <formula>AD$9&gt;=20/24</formula>
    </cfRule>
    <cfRule type="expression" dxfId="2614" priority="253">
      <formula>AND(AD$9&gt;=14/24,AD$9&lt;20/24)</formula>
    </cfRule>
    <cfRule type="expression" dxfId="2613" priority="254">
      <formula>AND(AD$9&gt;=8/24,AD$9&lt;14/24)</formula>
    </cfRule>
    <cfRule type="expression" dxfId="2612" priority="255">
      <formula>AD$9&lt;8/24</formula>
    </cfRule>
  </conditionalFormatting>
  <conditionalFormatting sqref="AH237:AX237">
    <cfRule type="expression" dxfId="2611" priority="296">
      <formula>AG$9&gt;=20/24</formula>
    </cfRule>
    <cfRule type="expression" dxfId="2610" priority="297">
      <formula>AND(AG$9&gt;=14/24,AG$9&lt;20/24)</formula>
    </cfRule>
    <cfRule type="expression" dxfId="2609" priority="298">
      <formula>AND(AG$9&gt;=8/24,AG$9&lt;14/24)</formula>
    </cfRule>
    <cfRule type="expression" dxfId="2608" priority="299">
      <formula>AG$9&lt;8/24</formula>
    </cfRule>
  </conditionalFormatting>
  <conditionalFormatting sqref="T237">
    <cfRule type="expression" dxfId="2607" priority="300">
      <formula>AX$9&gt;=20/24</formula>
    </cfRule>
    <cfRule type="expression" dxfId="2606" priority="301">
      <formula>AND(AX$9&gt;=14/24,AX$9&lt;20/24)</formula>
    </cfRule>
    <cfRule type="expression" dxfId="2605" priority="302">
      <formula>AND(AX$9&gt;=8/24,AX$9&lt;14/24)</formula>
    </cfRule>
    <cfRule type="expression" dxfId="2604" priority="303">
      <formula>AX$9&lt;8/24</formula>
    </cfRule>
  </conditionalFormatting>
  <conditionalFormatting sqref="A107:A108">
    <cfRule type="expression" dxfId="2603" priority="251">
      <formula>$AH107=0</formula>
    </cfRule>
  </conditionalFormatting>
  <conditionalFormatting sqref="M46:M49 E46:L47 N49:S49 E63:S63 AC63:AF63">
    <cfRule type="expression" dxfId="2602" priority="247">
      <formula>E$9&gt;=20/24</formula>
    </cfRule>
    <cfRule type="expression" dxfId="2601" priority="248">
      <formula>AND(E$9&gt;=14/24,E$9&lt;20/24)</formula>
    </cfRule>
    <cfRule type="expression" dxfId="2600" priority="249">
      <formula>AND(E$9&gt;=8/24,E$9&lt;14/24)</formula>
    </cfRule>
    <cfRule type="expression" dxfId="2599" priority="250">
      <formula>E$9&lt;8/24</formula>
    </cfRule>
  </conditionalFormatting>
  <conditionalFormatting sqref="E45:L45">
    <cfRule type="expression" dxfId="2598" priority="243">
      <formula>E$9&gt;=20/24</formula>
    </cfRule>
    <cfRule type="expression" dxfId="2597" priority="244">
      <formula>AND(E$9&gt;=14/24,E$9&lt;20/24)</formula>
    </cfRule>
    <cfRule type="expression" dxfId="2596" priority="245">
      <formula>AND(E$9&gt;=8/24,E$9&lt;14/24)</formula>
    </cfRule>
    <cfRule type="expression" dxfId="2595" priority="246">
      <formula>E$9&lt;8/24</formula>
    </cfRule>
  </conditionalFormatting>
  <conditionalFormatting sqref="M46:M49 E45:L47 N49:S49">
    <cfRule type="expression" dxfId="2594" priority="242">
      <formula>E45&gt;$AG45</formula>
    </cfRule>
  </conditionalFormatting>
  <conditionalFormatting sqref="C88:S88 C78:S78 S59:S61 M75:S77 L39:S39 E64:S65 D92:S98 U59:AF61 U75:AF78 U88:AF88 U92:AF98 AC14:AF14 AC26:AF26 Z38:AF38">
    <cfRule type="expression" dxfId="2593" priority="238">
      <formula>C$9&gt;=20/24</formula>
    </cfRule>
    <cfRule type="expression" dxfId="2592" priority="239">
      <formula>AND(C$9&gt;=14/24,C$9&lt;20/24)</formula>
    </cfRule>
    <cfRule type="expression" dxfId="2591" priority="240">
      <formula>AND(C$9&gt;=8/24,C$9&lt;14/24)</formula>
    </cfRule>
    <cfRule type="expression" dxfId="2590" priority="241">
      <formula>C$9&lt;8/24</formula>
    </cfRule>
  </conditionalFormatting>
  <conditionalFormatting sqref="C57:S57 S59:S61 E48:L48 L39:S39 U59:AF61 U57:AF57 AC26:AF26 Z38:AF38">
    <cfRule type="expression" dxfId="2589" priority="233">
      <formula>C26&gt;$AG26</formula>
    </cfRule>
  </conditionalFormatting>
  <conditionalFormatting sqref="AD15:AF15">
    <cfRule type="expression" dxfId="2588" priority="225">
      <formula>AD$9&gt;=20/24</formula>
    </cfRule>
    <cfRule type="expression" dxfId="2587" priority="226">
      <formula>AND(AD$9&gt;=14/24,AD$9&lt;20/24)</formula>
    </cfRule>
    <cfRule type="expression" dxfId="2586" priority="227">
      <formula>AND(AD$9&gt;=8/24,AD$9&lt;14/24)</formula>
    </cfRule>
    <cfRule type="expression" dxfId="2585" priority="228">
      <formula>AD$9&lt;8/24</formula>
    </cfRule>
  </conditionalFormatting>
  <conditionalFormatting sqref="M45:N45 N46:N48 O45:S48">
    <cfRule type="expression" dxfId="2584" priority="211">
      <formula>M$9&gt;=20/24</formula>
    </cfRule>
    <cfRule type="expression" dxfId="2583" priority="212">
      <formula>AND(M$9&gt;=14/24,M$9&lt;20/24)</formula>
    </cfRule>
    <cfRule type="expression" dxfId="2582" priority="213">
      <formula>AND(M$9&gt;=8/24,M$9&lt;14/24)</formula>
    </cfRule>
    <cfRule type="expression" dxfId="2581" priority="214">
      <formula>M$9&lt;8/24</formula>
    </cfRule>
  </conditionalFormatting>
  <conditionalFormatting sqref="M45:N45 N46:N48 O45:S48">
    <cfRule type="expression" dxfId="2580" priority="210">
      <formula>M45&gt;$AG45</formula>
    </cfRule>
  </conditionalFormatting>
  <conditionalFormatting sqref="D45">
    <cfRule type="expression" dxfId="2579" priority="197">
      <formula>D$9&gt;=20/24</formula>
    </cfRule>
    <cfRule type="expression" dxfId="2578" priority="198">
      <formula>AND(D$9&gt;=14/24,D$9&lt;20/24)</formula>
    </cfRule>
    <cfRule type="expression" dxfId="2577" priority="199">
      <formula>AND(D$9&gt;=8/24,D$9&lt;14/24)</formula>
    </cfRule>
    <cfRule type="expression" dxfId="2576" priority="200">
      <formula>D$9&lt;8/24</formula>
    </cfRule>
  </conditionalFormatting>
  <conditionalFormatting sqref="D45">
    <cfRule type="expression" dxfId="2575" priority="196">
      <formula>D45&gt;$AG45</formula>
    </cfRule>
  </conditionalFormatting>
  <conditionalFormatting sqref="B101 B80:S80 B89:S89 B103:B108 B11:S11 U89:AF89 U80:AF80">
    <cfRule type="expression" dxfId="2574" priority="183">
      <formula>B$9&gt;=20/24</formula>
    </cfRule>
    <cfRule type="expression" dxfId="2573" priority="184">
      <formula>AND(B$9&gt;=14/24,B$9&lt;20/24)</formula>
    </cfRule>
    <cfRule type="expression" dxfId="2572" priority="185">
      <formula>AND(B$9&gt;=8/24,B$9&lt;14/24)</formula>
    </cfRule>
    <cfRule type="expression" dxfId="2571" priority="186">
      <formula>B$9&lt;8/24</formula>
    </cfRule>
  </conditionalFormatting>
  <conditionalFormatting sqref="B39:K39">
    <cfRule type="expression" dxfId="2570" priority="179">
      <formula>B$9&gt;=20/24</formula>
    </cfRule>
    <cfRule type="expression" dxfId="2569" priority="180">
      <formula>AND(B$9&gt;=14/24,B$9&lt;20/24)</formula>
    </cfRule>
    <cfRule type="expression" dxfId="2568" priority="181">
      <formula>AND(B$9&gt;=8/24,B$9&lt;14/24)</formula>
    </cfRule>
    <cfRule type="expression" dxfId="2567" priority="182">
      <formula>B$9&lt;8/24</formula>
    </cfRule>
  </conditionalFormatting>
  <conditionalFormatting sqref="B39:K39 B11:S11">
    <cfRule type="expression" dxfId="2566" priority="178">
      <formula>B11&gt;$AG11</formula>
    </cfRule>
  </conditionalFormatting>
  <conditionalFormatting sqref="B91">
    <cfRule type="expression" dxfId="2565" priority="174">
      <formula>B$9&gt;=20/24</formula>
    </cfRule>
    <cfRule type="expression" dxfId="2564" priority="175">
      <formula>AND(B$9&gt;=14/24,B$9&lt;20/24)</formula>
    </cfRule>
    <cfRule type="expression" dxfId="2563" priority="176">
      <formula>AND(B$9&gt;=8/24,B$9&lt;14/24)</formula>
    </cfRule>
    <cfRule type="expression" dxfId="2562" priority="177">
      <formula>B$9&lt;8/24</formula>
    </cfRule>
  </conditionalFormatting>
  <conditionalFormatting sqref="B63:D63 B46:D47 B38:S38">
    <cfRule type="expression" dxfId="2561" priority="170">
      <formula>B$9&gt;=20/24</formula>
    </cfRule>
    <cfRule type="expression" dxfId="2560" priority="171">
      <formula>AND(B$9&gt;=14/24,B$9&lt;20/24)</formula>
    </cfRule>
    <cfRule type="expression" dxfId="2559" priority="172">
      <formula>AND(B$9&gt;=8/24,B$9&lt;14/24)</formula>
    </cfRule>
    <cfRule type="expression" dxfId="2558" priority="173">
      <formula>B$9&lt;8/24</formula>
    </cfRule>
  </conditionalFormatting>
  <conditionalFormatting sqref="B45:C45">
    <cfRule type="expression" dxfId="2557" priority="166">
      <formula>B$9&gt;=20/24</formula>
    </cfRule>
    <cfRule type="expression" dxfId="2556" priority="167">
      <formula>AND(B$9&gt;=14/24,B$9&lt;20/24)</formula>
    </cfRule>
    <cfRule type="expression" dxfId="2555" priority="168">
      <formula>AND(B$9&gt;=8/24,B$9&lt;14/24)</formula>
    </cfRule>
    <cfRule type="expression" dxfId="2554" priority="169">
      <formula>B$9&lt;8/24</formula>
    </cfRule>
  </conditionalFormatting>
  <conditionalFormatting sqref="D46:D47 B45:C47 B38:S38">
    <cfRule type="expression" dxfId="2553" priority="165">
      <formula>B38&gt;$AG38</formula>
    </cfRule>
  </conditionalFormatting>
  <conditionalFormatting sqref="B59:B62 B75:B79 B81:S81 B88 C62:S62 C79:S79 B90:S90 B92:C98 B64:D73 C59:R61 C75:L77 B12:S14 B18:S18 B25:S27 B29:S29 B31:S34 E66:S73 U90:AF90 U79:AG79 U62:AG62 U81:AF81">
    <cfRule type="expression" dxfId="2552" priority="161">
      <formula>B$9&gt;=20/24</formula>
    </cfRule>
    <cfRule type="expression" dxfId="2551" priority="162">
      <formula>AND(B$9&gt;=14/24,B$9&lt;20/24)</formula>
    </cfRule>
    <cfRule type="expression" dxfId="2550" priority="163">
      <formula>AND(B$9&gt;=8/24,B$9&lt;14/24)</formula>
    </cfRule>
    <cfRule type="expression" dxfId="2549" priority="164">
      <formula>B$9&lt;8/24</formula>
    </cfRule>
  </conditionalFormatting>
  <conditionalFormatting sqref="B35:S35">
    <cfRule type="expression" dxfId="2548" priority="157">
      <formula>B$9&gt;=20/24</formula>
    </cfRule>
    <cfRule type="expression" dxfId="2547" priority="158">
      <formula>AND(B$9&gt;=14/24,B$9&lt;20/24)</formula>
    </cfRule>
    <cfRule type="expression" dxfId="2546" priority="159">
      <formula>AND(B$9&gt;=8/24,B$9&lt;14/24)</formula>
    </cfRule>
    <cfRule type="expression" dxfId="2545" priority="160">
      <formula>B$9&lt;8/24</formula>
    </cfRule>
  </conditionalFormatting>
  <conditionalFormatting sqref="B57:B62 B40:S40 C58:S58 C62:S62 C59:R61 B48:D49 E49:L49 B25:S29 B31:S35 U62:AG62 U58:AG58 U40:AG40">
    <cfRule type="expression" dxfId="2544" priority="156">
      <formula>B25&gt;$AG25</formula>
    </cfRule>
  </conditionalFormatting>
  <conditionalFormatting sqref="B37:S37">
    <cfRule type="expression" dxfId="2543" priority="152">
      <formula>B$9&gt;=20/24</formula>
    </cfRule>
    <cfRule type="expression" dxfId="2542" priority="153">
      <formula>AND(B$9&gt;=14/24,B$9&lt;20/24)</formula>
    </cfRule>
    <cfRule type="expression" dxfId="2541" priority="154">
      <formula>AND(B$9&gt;=8/24,B$9&lt;14/24)</formula>
    </cfRule>
    <cfRule type="expression" dxfId="2540" priority="155">
      <formula>B$9&lt;8/24</formula>
    </cfRule>
  </conditionalFormatting>
  <conditionalFormatting sqref="B15:S15">
    <cfRule type="expression" dxfId="2539" priority="148">
      <formula>B$9&gt;=20/24</formula>
    </cfRule>
    <cfRule type="expression" dxfId="2538" priority="149">
      <formula>AND(B$9&gt;=14/24,B$9&lt;20/24)</formula>
    </cfRule>
    <cfRule type="expression" dxfId="2537" priority="150">
      <formula>AND(B$9&gt;=8/24,B$9&lt;14/24)</formula>
    </cfRule>
    <cfRule type="expression" dxfId="2536" priority="151">
      <formula>B$9&lt;8/24</formula>
    </cfRule>
  </conditionalFormatting>
  <conditionalFormatting sqref="B36:S36">
    <cfRule type="expression" dxfId="2535" priority="144">
      <formula>B$9&gt;=20/24</formula>
    </cfRule>
    <cfRule type="expression" dxfId="2534" priority="145">
      <formula>AND(B$9&gt;=14/24,B$9&lt;20/24)</formula>
    </cfRule>
    <cfRule type="expression" dxfId="2533" priority="146">
      <formula>AND(B$9&gt;=8/24,B$9&lt;14/24)</formula>
    </cfRule>
    <cfRule type="expression" dxfId="2532" priority="147">
      <formula>B$9&lt;8/24</formula>
    </cfRule>
  </conditionalFormatting>
  <conditionalFormatting sqref="B36:S36">
    <cfRule type="expression" dxfId="2531" priority="143">
      <formula>B36&gt;$AG36</formula>
    </cfRule>
  </conditionalFormatting>
  <conditionalFormatting sqref="B50:S56">
    <cfRule type="expression" dxfId="2530" priority="139">
      <formula>B$9&gt;=20/24</formula>
    </cfRule>
    <cfRule type="expression" dxfId="2529" priority="140">
      <formula>AND(B$9&gt;=14/24,B$9&lt;20/24)</formula>
    </cfRule>
    <cfRule type="expression" dxfId="2528" priority="141">
      <formula>AND(B$9&gt;=8/24,B$9&lt;14/24)</formula>
    </cfRule>
    <cfRule type="expression" dxfId="2527" priority="142">
      <formula>B$9&lt;8/24</formula>
    </cfRule>
  </conditionalFormatting>
  <conditionalFormatting sqref="B50:S56">
    <cfRule type="expression" dxfId="2526" priority="138">
      <formula>B50&gt;$AG50</formula>
    </cfRule>
  </conditionalFormatting>
  <conditionalFormatting sqref="B28:S28">
    <cfRule type="expression" dxfId="2525" priority="134">
      <formula>B$9&gt;=20/24</formula>
    </cfRule>
    <cfRule type="expression" dxfId="2524" priority="135">
      <formula>AND(B$9&gt;=14/24,B$9&lt;20/24)</formula>
    </cfRule>
    <cfRule type="expression" dxfId="2523" priority="136">
      <formula>AND(B$9&gt;=8/24,B$9&lt;14/24)</formula>
    </cfRule>
    <cfRule type="expression" dxfId="2522" priority="137">
      <formula>B$9&lt;8/24</formula>
    </cfRule>
  </conditionalFormatting>
  <conditionalFormatting sqref="B19:S19 B24:S24">
    <cfRule type="expression" dxfId="2521" priority="130">
      <formula>B$9&gt;=20/24</formula>
    </cfRule>
    <cfRule type="expression" dxfId="2520" priority="131">
      <formula>AND(B$9&gt;=14/24,B$9&lt;20/24)</formula>
    </cfRule>
    <cfRule type="expression" dxfId="2519" priority="132">
      <formula>AND(B$9&gt;=8/24,B$9&lt;14/24)</formula>
    </cfRule>
    <cfRule type="expression" dxfId="2518" priority="133">
      <formula>B$9&lt;8/24</formula>
    </cfRule>
  </conditionalFormatting>
  <conditionalFormatting sqref="B19:S19 B24:S24">
    <cfRule type="expression" dxfId="2517" priority="129">
      <formula>B19&gt;$AG19</formula>
    </cfRule>
  </conditionalFormatting>
  <conditionalFormatting sqref="A36">
    <cfRule type="expression" dxfId="2516" priority="128">
      <formula>$AH36=0</formula>
    </cfRule>
  </conditionalFormatting>
  <conditionalFormatting sqref="B74:S74 U74:AF74">
    <cfRule type="expression" dxfId="2515" priority="124">
      <formula>B$9&gt;=20/24</formula>
    </cfRule>
    <cfRule type="expression" dxfId="2514" priority="125">
      <formula>AND(B$9&gt;=14/24,B$9&lt;20/24)</formula>
    </cfRule>
    <cfRule type="expression" dxfId="2513" priority="126">
      <formula>AND(B$9&gt;=8/24,B$9&lt;14/24)</formula>
    </cfRule>
    <cfRule type="expression" dxfId="2512" priority="127">
      <formula>B$9&lt;8/24</formula>
    </cfRule>
  </conditionalFormatting>
  <conditionalFormatting sqref="B83:S87 U83:AF87">
    <cfRule type="expression" dxfId="2511" priority="120">
      <formula>B$9&gt;=20/24</formula>
    </cfRule>
    <cfRule type="expression" dxfId="2510" priority="121">
      <formula>AND(B$9&gt;=14/24,B$9&lt;20/24)</formula>
    </cfRule>
    <cfRule type="expression" dxfId="2509" priority="122">
      <formula>AND(B$9&gt;=8/24,B$9&lt;14/24)</formula>
    </cfRule>
    <cfRule type="expression" dxfId="2508" priority="123">
      <formula>B$9&lt;8/24</formula>
    </cfRule>
  </conditionalFormatting>
  <conditionalFormatting sqref="AL37 AL34 AL18:AL29 AL7:AL16 AL31:AL32">
    <cfRule type="iconSet" priority="304">
      <iconSet iconSet="3TrafficLights2" reverse="1">
        <cfvo type="percent" val="0"/>
        <cfvo type="num" val="1"/>
        <cfvo type="num" val="1"/>
      </iconSet>
    </cfRule>
  </conditionalFormatting>
  <conditionalFormatting sqref="D41:S43">
    <cfRule type="expression" dxfId="2507" priority="116">
      <formula>D$9&gt;=20/24</formula>
    </cfRule>
    <cfRule type="expression" dxfId="2506" priority="117">
      <formula>AND(D$9&gt;=14/24,D$9&lt;20/24)</formula>
    </cfRule>
    <cfRule type="expression" dxfId="2505" priority="118">
      <formula>AND(D$9&gt;=8/24,D$9&lt;14/24)</formula>
    </cfRule>
    <cfRule type="expression" dxfId="2504" priority="119">
      <formula>D$9&lt;8/24</formula>
    </cfRule>
  </conditionalFormatting>
  <conditionalFormatting sqref="D41:S43">
    <cfRule type="expression" dxfId="2503" priority="115">
      <formula>D41&gt;$AG41</formula>
    </cfRule>
  </conditionalFormatting>
  <conditionalFormatting sqref="B41:B44 C44:S44 C41:C43 U44:AG44">
    <cfRule type="expression" dxfId="2502" priority="111">
      <formula>B$9&gt;=20/24</formula>
    </cfRule>
    <cfRule type="expression" dxfId="2501" priority="112">
      <formula>AND(B$9&gt;=14/24,B$9&lt;20/24)</formula>
    </cfRule>
    <cfRule type="expression" dxfId="2500" priority="113">
      <formula>AND(B$9&gt;=8/24,B$9&lt;14/24)</formula>
    </cfRule>
    <cfRule type="expression" dxfId="2499" priority="114">
      <formula>B$9&lt;8/24</formula>
    </cfRule>
  </conditionalFormatting>
  <conditionalFormatting sqref="B41:B44 C44:S44 C41:C43 U44:AG44">
    <cfRule type="expression" dxfId="2498" priority="110">
      <formula>B41&gt;$AG41</formula>
    </cfRule>
  </conditionalFormatting>
  <conditionalFormatting sqref="C99:S99 U99:AF99">
    <cfRule type="expression" dxfId="2497" priority="106">
      <formula>C$9&gt;=20/24</formula>
    </cfRule>
    <cfRule type="expression" dxfId="2496" priority="107">
      <formula>AND(C$9&gt;=14/24,C$9&lt;20/24)</formula>
    </cfRule>
    <cfRule type="expression" dxfId="2495" priority="108">
      <formula>AND(C$9&gt;=8/24,C$9&lt;14/24)</formula>
    </cfRule>
    <cfRule type="expression" dxfId="2494" priority="109">
      <formula>C$9&lt;8/24</formula>
    </cfRule>
  </conditionalFormatting>
  <conditionalFormatting sqref="B99">
    <cfRule type="expression" dxfId="2493" priority="102">
      <formula>B$9&gt;=20/24</formula>
    </cfRule>
    <cfRule type="expression" dxfId="2492" priority="103">
      <formula>AND(B$9&gt;=14/24,B$9&lt;20/24)</formula>
    </cfRule>
    <cfRule type="expression" dxfId="2491" priority="104">
      <formula>AND(B$9&gt;=8/24,B$9&lt;14/24)</formula>
    </cfRule>
    <cfRule type="expression" dxfId="2490" priority="105">
      <formula>B$9&lt;8/24</formula>
    </cfRule>
  </conditionalFormatting>
  <conditionalFormatting sqref="AL33">
    <cfRule type="iconSet" priority="101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2489" priority="96">
      <formula>$AH33=0</formula>
    </cfRule>
  </conditionalFormatting>
  <conditionalFormatting sqref="A82">
    <cfRule type="expression" dxfId="2488" priority="94">
      <formula>$AH82=0</formula>
    </cfRule>
  </conditionalFormatting>
  <conditionalFormatting sqref="A79">
    <cfRule type="expression" dxfId="2487" priority="95">
      <formula>$AH79=0</formula>
    </cfRule>
  </conditionalFormatting>
  <conditionalFormatting sqref="A109">
    <cfRule type="expression" dxfId="2486" priority="85">
      <formula>$AH109=0</formula>
    </cfRule>
  </conditionalFormatting>
  <conditionalFormatting sqref="C102:S102 U102:AF102">
    <cfRule type="expression" dxfId="2485" priority="81">
      <formula>C$9&gt;=20/24</formula>
    </cfRule>
    <cfRule type="expression" dxfId="2484" priority="82">
      <formula>AND(C$9&gt;=14/24,C$9&lt;20/24)</formula>
    </cfRule>
    <cfRule type="expression" dxfId="2483" priority="83">
      <formula>AND(C$9&gt;=8/24,C$9&lt;14/24)</formula>
    </cfRule>
    <cfRule type="expression" dxfId="2482" priority="84">
      <formula>C$9&lt;8/24</formula>
    </cfRule>
  </conditionalFormatting>
  <conditionalFormatting sqref="A102">
    <cfRule type="expression" dxfId="2481" priority="80">
      <formula>$AH102=0</formula>
    </cfRule>
  </conditionalFormatting>
  <conditionalFormatting sqref="B102">
    <cfRule type="expression" dxfId="2480" priority="76">
      <formula>B$9&gt;=20/24</formula>
    </cfRule>
    <cfRule type="expression" dxfId="2479" priority="77">
      <formula>AND(B$9&gt;=14/24,B$9&lt;20/24)</formula>
    </cfRule>
    <cfRule type="expression" dxfId="2478" priority="78">
      <formula>AND(B$9&gt;=8/24,B$9&lt;14/24)</formula>
    </cfRule>
    <cfRule type="expression" dxfId="2477" priority="79">
      <formula>B$9&lt;8/24</formula>
    </cfRule>
  </conditionalFormatting>
  <conditionalFormatting sqref="B17:S17 AC17:AF17">
    <cfRule type="expression" dxfId="2476" priority="69">
      <formula>B17&gt;$AG17</formula>
    </cfRule>
  </conditionalFormatting>
  <conditionalFormatting sqref="A17">
    <cfRule type="expression" dxfId="2475" priority="68">
      <formula>$AH17=0</formula>
    </cfRule>
  </conditionalFormatting>
  <conditionalFormatting sqref="AC17:AF17">
    <cfRule type="expression" dxfId="2474" priority="64">
      <formula>AC$9&gt;=20/24</formula>
    </cfRule>
    <cfRule type="expression" dxfId="2473" priority="65">
      <formula>AND(AC$9&gt;=14/24,AC$9&lt;20/24)</formula>
    </cfRule>
    <cfRule type="expression" dxfId="2472" priority="66">
      <formula>AND(AC$9&gt;=8/24,AC$9&lt;14/24)</formula>
    </cfRule>
    <cfRule type="expression" dxfId="2471" priority="67">
      <formula>AC$9&lt;8/24</formula>
    </cfRule>
  </conditionalFormatting>
  <conditionalFormatting sqref="B17:S17">
    <cfRule type="expression" dxfId="2470" priority="60">
      <formula>B$9&gt;=20/24</formula>
    </cfRule>
    <cfRule type="expression" dxfId="2469" priority="61">
      <formula>AND(B$9&gt;=14/24,B$9&lt;20/24)</formula>
    </cfRule>
    <cfRule type="expression" dxfId="2468" priority="62">
      <formula>AND(B$9&gt;=8/24,B$9&lt;14/24)</formula>
    </cfRule>
    <cfRule type="expression" dxfId="2467" priority="63">
      <formula>B$9&lt;8/24</formula>
    </cfRule>
  </conditionalFormatting>
  <conditionalFormatting sqref="AL17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2466" priority="58">
      <formula>$AH30=0</formula>
    </cfRule>
  </conditionalFormatting>
  <conditionalFormatting sqref="AD30:AF30">
    <cfRule type="expression" dxfId="2465" priority="54">
      <formula>AD$9&gt;=20/24</formula>
    </cfRule>
    <cfRule type="expression" dxfId="2464" priority="55">
      <formula>AND(AD$9&gt;=14/24,AD$9&lt;20/24)</formula>
    </cfRule>
    <cfRule type="expression" dxfId="2463" priority="56">
      <formula>AND(AD$9&gt;=8/24,AD$9&lt;14/24)</formula>
    </cfRule>
    <cfRule type="expression" dxfId="2462" priority="57">
      <formula>AD$9&lt;8/24</formula>
    </cfRule>
  </conditionalFormatting>
  <conditionalFormatting sqref="AD30:AF30">
    <cfRule type="expression" dxfId="2461" priority="53">
      <formula>AD30&gt;$AG30</formula>
    </cfRule>
  </conditionalFormatting>
  <conditionalFormatting sqref="M30:S30">
    <cfRule type="expression" dxfId="2460" priority="49">
      <formula>M$9&gt;=20/24</formula>
    </cfRule>
    <cfRule type="expression" dxfId="2459" priority="50">
      <formula>AND(M$9&gt;=14/24,M$9&lt;20/24)</formula>
    </cfRule>
    <cfRule type="expression" dxfId="2458" priority="51">
      <formula>AND(M$9&gt;=8/24,M$9&lt;14/24)</formula>
    </cfRule>
    <cfRule type="expression" dxfId="2457" priority="52">
      <formula>M$9&lt;8/24</formula>
    </cfRule>
  </conditionalFormatting>
  <conditionalFormatting sqref="M30:S30">
    <cfRule type="expression" dxfId="2456" priority="48">
      <formula>M30&gt;$AG30</formula>
    </cfRule>
  </conditionalFormatting>
  <conditionalFormatting sqref="B30:L30">
    <cfRule type="expression" dxfId="2455" priority="44">
      <formula>B$9&gt;=20/24</formula>
    </cfRule>
    <cfRule type="expression" dxfId="2454" priority="45">
      <formula>AND(B$9&gt;=14/24,B$9&lt;20/24)</formula>
    </cfRule>
    <cfRule type="expression" dxfId="2453" priority="46">
      <formula>AND(B$9&gt;=8/24,B$9&lt;14/24)</formula>
    </cfRule>
    <cfRule type="expression" dxfId="2452" priority="47">
      <formula>B$9&lt;8/24</formula>
    </cfRule>
  </conditionalFormatting>
  <conditionalFormatting sqref="B30:L30">
    <cfRule type="expression" dxfId="2451" priority="43">
      <formula>B30&gt;$AG30</formula>
    </cfRule>
  </conditionalFormatting>
  <conditionalFormatting sqref="AL30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T59:T61 T75:T77 T80 T91:T99 T83:T88 T101:T108 T15:Y39 Z15:AB37 T63:AB73 AC15:AC16 AC27:AC37 AD16:AF16 AC18:AF25 AD27:AF29 AD31:AF37 T45:AF56 AC64:AF73 T41:AF43">
    <cfRule type="expression" dxfId="2450" priority="42">
      <formula>T15&gt;$AG15</formula>
    </cfRule>
  </conditionalFormatting>
  <conditionalFormatting sqref="T59:T61 T75:T77 T80 T91:T99 T83:T88 T101:T108 T15:Y39 Z15:AB37 T63:AB73 AC15:AC16 AC27:AC37 AD16:AF16 AC18:AF25 AD27:AF29 AD31:AF37 T45:AF56 AC64:AF73 T41:AF43">
    <cfRule type="expression" dxfId="2449" priority="38">
      <formula>T$9&gt;=20/24</formula>
    </cfRule>
    <cfRule type="expression" dxfId="2448" priority="39">
      <formula>AND(T$9&gt;=14/24,T$9&lt;20/24)</formula>
    </cfRule>
    <cfRule type="expression" dxfId="2447" priority="40">
      <formula>AND(T$9&gt;=8/24,T$9&lt;14/24)</formula>
    </cfRule>
    <cfRule type="expression" dxfId="2446" priority="41">
      <formula>T$9&lt;8/24</formula>
    </cfRule>
  </conditionalFormatting>
  <conditionalFormatting sqref="T11:AB14 AC11:AF13">
    <cfRule type="expression" dxfId="2445" priority="34">
      <formula>T$9&gt;=20/24</formula>
    </cfRule>
    <cfRule type="expression" dxfId="2444" priority="35">
      <formula>AND(T$9&gt;=14/24,T$9&lt;20/24)</formula>
    </cfRule>
    <cfRule type="expression" dxfId="2443" priority="36">
      <formula>AND(T$9&gt;=8/24,T$9&lt;14/24)</formula>
    </cfRule>
    <cfRule type="expression" dxfId="2442" priority="37">
      <formula>T$9&lt;8/24</formula>
    </cfRule>
  </conditionalFormatting>
  <conditionalFormatting sqref="T44">
    <cfRule type="expression" dxfId="2441" priority="30">
      <formula>T$9&gt;=20/24</formula>
    </cfRule>
    <cfRule type="expression" dxfId="2440" priority="31">
      <formula>AND(T$9&gt;=14/24,T$9&lt;20/24)</formula>
    </cfRule>
    <cfRule type="expression" dxfId="2439" priority="32">
      <formula>AND(T$9&gt;=8/24,T$9&lt;14/24)</formula>
    </cfRule>
    <cfRule type="expression" dxfId="2438" priority="33">
      <formula>T$9&lt;8/24</formula>
    </cfRule>
  </conditionalFormatting>
  <conditionalFormatting sqref="T44">
    <cfRule type="expression" dxfId="2437" priority="29">
      <formula>T44&gt;$AG44</formula>
    </cfRule>
  </conditionalFormatting>
  <conditionalFormatting sqref="T57">
    <cfRule type="expression" dxfId="2436" priority="28">
      <formula>T57&gt;$AG57</formula>
    </cfRule>
  </conditionalFormatting>
  <conditionalFormatting sqref="T74">
    <cfRule type="expression" dxfId="2435" priority="24">
      <formula>T$9&gt;=20/24</formula>
    </cfRule>
    <cfRule type="expression" dxfId="2434" priority="25">
      <formula>AND(T$9&gt;=14/24,T$9&lt;20/24)</formula>
    </cfRule>
    <cfRule type="expression" dxfId="2433" priority="26">
      <formula>AND(T$9&gt;=8/24,T$9&lt;14/24)</formula>
    </cfRule>
    <cfRule type="expression" dxfId="2432" priority="27">
      <formula>T$9&lt;8/24</formula>
    </cfRule>
  </conditionalFormatting>
  <conditionalFormatting sqref="T78:T79">
    <cfRule type="expression" dxfId="2431" priority="20">
      <formula>T$9&gt;=20/24</formula>
    </cfRule>
    <cfRule type="expression" dxfId="2430" priority="21">
      <formula>AND(T$9&gt;=14/24,T$9&lt;20/24)</formula>
    </cfRule>
    <cfRule type="expression" dxfId="2429" priority="22">
      <formula>AND(T$9&gt;=8/24,T$9&lt;14/24)</formula>
    </cfRule>
    <cfRule type="expression" dxfId="2428" priority="23">
      <formula>T$9&lt;8/24</formula>
    </cfRule>
  </conditionalFormatting>
  <conditionalFormatting sqref="T89:T90">
    <cfRule type="expression" dxfId="2427" priority="16">
      <formula>T$9&gt;=20/24</formula>
    </cfRule>
    <cfRule type="expression" dxfId="2426" priority="17">
      <formula>AND(T$9&gt;=14/24,T$9&lt;20/24)</formula>
    </cfRule>
    <cfRule type="expression" dxfId="2425" priority="18">
      <formula>AND(T$9&gt;=8/24,T$9&lt;14/24)</formula>
    </cfRule>
    <cfRule type="expression" dxfId="2424" priority="19">
      <formula>T$9&lt;8/24</formula>
    </cfRule>
  </conditionalFormatting>
  <conditionalFormatting sqref="T81">
    <cfRule type="expression" dxfId="2423" priority="12">
      <formula>T$9&gt;=20/24</formula>
    </cfRule>
    <cfRule type="expression" dxfId="2422" priority="13">
      <formula>AND(T$9&gt;=14/24,T$9&lt;20/24)</formula>
    </cfRule>
    <cfRule type="expression" dxfId="2421" priority="14">
      <formula>AND(T$9&gt;=8/24,T$9&lt;14/24)</formula>
    </cfRule>
    <cfRule type="expression" dxfId="2420" priority="15">
      <formula>T$9&lt;8/24</formula>
    </cfRule>
  </conditionalFormatting>
  <conditionalFormatting sqref="T58">
    <cfRule type="expression" dxfId="2419" priority="11">
      <formula>T58&gt;$AG58</formula>
    </cfRule>
  </conditionalFormatting>
  <conditionalFormatting sqref="T40">
    <cfRule type="expression" dxfId="2418" priority="10">
      <formula>T40&gt;$AG40</formula>
    </cfRule>
  </conditionalFormatting>
  <conditionalFormatting sqref="T62">
    <cfRule type="expression" dxfId="2417" priority="2">
      <formula>T$9&gt;=20/24</formula>
    </cfRule>
    <cfRule type="expression" dxfId="2416" priority="3">
      <formula>AND(T$9&gt;=14/24,T$9&lt;20/24)</formula>
    </cfRule>
    <cfRule type="expression" dxfId="2415" priority="4">
      <formula>AND(T$9&gt;=8/24,T$9&lt;14/24)</formula>
    </cfRule>
    <cfRule type="expression" dxfId="2414" priority="5">
      <formula>T$9&lt;8/24</formula>
    </cfRule>
  </conditionalFormatting>
  <conditionalFormatting sqref="T62">
    <cfRule type="expression" dxfId="2413" priority="1">
      <formula>T62&gt;$AG62</formula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7" id="{0D313A99-40FA-49E1-8F97-88326ECF80BA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98" id="{64FA93B0-EC0D-4436-8767-2839B993C63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9" id="{130E94C1-73F3-494D-A1EB-B6EBDC86DE8B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100" id="{3BB97AFA-E2C7-439A-AA33-409F3BBDA51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B82:S82 U82:AF82</xm:sqref>
        </x14:conditionalFormatting>
        <x14:conditionalFormatting xmlns:xm="http://schemas.microsoft.com/office/excel/2006/main">
          <x14:cfRule type="expression" priority="90" id="{8D2CA522-6E7F-4D34-8B96-A1DD8829A05E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91" id="{D10B968A-4005-4AEB-A84C-9E869934ADD1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92" id="{BF0AB9B5-5EC1-4AD4-9E9A-38E051E9295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3" id="{49F3BBC1-67D6-4DD8-B622-447182E4BD0E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86" id="{23E2988C-D3D5-4EE6-9973-CDC97D9CA60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87" id="{421BA188-7B13-463F-B889-067C86301BFB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8" id="{65D17180-9C31-4D75-8218-5A6C5F2C815B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9" id="{91137B00-5A27-4E66-A7B7-13B620C5B9B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  <x14:conditionalFormatting xmlns:xm="http://schemas.microsoft.com/office/excel/2006/main">
          <x14:cfRule type="expression" priority="6" id="{AE7D494A-AA5B-4714-AA22-362F3FD1C878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7" id="{B5B1F2E6-FD66-4708-9803-DB21FBA82ACF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" id="{4CB79066-7D20-4AB2-B2EA-84F6526A0038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9" id="{F0042B33-695A-4625-A390-336E440BF9D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T82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K19" sqref="AK1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9.140625" style="1"/>
    <col min="37" max="37" width="24" style="1" bestFit="1" customWidth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2079/06/28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0</v>
      </c>
      <c r="X5" s="148">
        <f t="shared" si="0"/>
        <v>70</v>
      </c>
      <c r="Y5" s="148">
        <f t="shared" si="0"/>
        <v>48</v>
      </c>
      <c r="Z5" s="148">
        <f t="shared" si="0"/>
        <v>47</v>
      </c>
      <c r="AA5" s="148">
        <f t="shared" si="0"/>
        <v>44.2</v>
      </c>
      <c r="AB5" s="148">
        <f t="shared" si="0"/>
        <v>13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B74</f>
        <v>0</v>
      </c>
      <c r="AG5" s="141"/>
      <c r="AH5" s="147"/>
      <c r="AI5" s="139"/>
      <c r="AK5" s="172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1629MW at 8:00hr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Load=1508</v>
      </c>
      <c r="B7" s="137">
        <f t="shared" ref="B7:AF7" si="1">B81</f>
        <v>1535.6399999999999</v>
      </c>
      <c r="C7" s="137">
        <f t="shared" si="1"/>
        <v>1523.6399999999999</v>
      </c>
      <c r="D7" s="137">
        <f t="shared" si="1"/>
        <v>1542.84</v>
      </c>
      <c r="E7" s="137">
        <f t="shared" si="1"/>
        <v>1533.24</v>
      </c>
      <c r="F7" s="137">
        <f t="shared" si="1"/>
        <v>1539.44</v>
      </c>
      <c r="G7" s="137">
        <f t="shared" si="1"/>
        <v>1508.44</v>
      </c>
      <c r="H7" s="137">
        <f t="shared" si="1"/>
        <v>1524.04</v>
      </c>
      <c r="I7" s="137">
        <f t="shared" si="1"/>
        <v>1530.04</v>
      </c>
      <c r="J7" s="137">
        <f t="shared" si="1"/>
        <v>1569.54</v>
      </c>
      <c r="K7" s="137">
        <f t="shared" si="1"/>
        <v>1600.44</v>
      </c>
      <c r="L7" s="137">
        <f t="shared" si="1"/>
        <v>1599.54</v>
      </c>
      <c r="M7" s="137">
        <f t="shared" si="1"/>
        <v>1629.44</v>
      </c>
      <c r="N7" s="137">
        <f t="shared" si="1"/>
        <v>1612.44</v>
      </c>
      <c r="O7" s="137">
        <f t="shared" si="1"/>
        <v>1615.44</v>
      </c>
      <c r="P7" s="137">
        <f t="shared" si="1"/>
        <v>1596.2399999999998</v>
      </c>
      <c r="Q7" s="137">
        <f t="shared" si="1"/>
        <v>1626.2399999999998</v>
      </c>
      <c r="R7" s="137">
        <f t="shared" si="1"/>
        <v>1632.2399999999998</v>
      </c>
      <c r="S7" s="137">
        <f t="shared" si="1"/>
        <v>1610.3400000000001</v>
      </c>
      <c r="T7" s="137">
        <f t="shared" si="1"/>
        <v>1622.04</v>
      </c>
      <c r="U7" s="137">
        <f t="shared" si="1"/>
        <v>1630.04</v>
      </c>
      <c r="V7" s="137">
        <f t="shared" si="1"/>
        <v>1575.1399999999999</v>
      </c>
      <c r="W7" s="137">
        <f t="shared" si="1"/>
        <v>1575.34</v>
      </c>
      <c r="X7" s="137">
        <f t="shared" si="1"/>
        <v>1589.34</v>
      </c>
      <c r="Y7" s="137">
        <f t="shared" si="1"/>
        <v>1696.84</v>
      </c>
      <c r="Z7" s="137">
        <f t="shared" si="1"/>
        <v>1691.94</v>
      </c>
      <c r="AA7" s="137">
        <f t="shared" si="1"/>
        <v>1643.54</v>
      </c>
      <c r="AB7" s="137">
        <f t="shared" si="1"/>
        <v>1642.5400000000002</v>
      </c>
      <c r="AC7" s="137">
        <f t="shared" si="1"/>
        <v>1618.3400000000001</v>
      </c>
      <c r="AD7" s="137">
        <f t="shared" si="1"/>
        <v>1600.3400000000001</v>
      </c>
      <c r="AE7" s="137">
        <f t="shared" si="1"/>
        <v>1561.04</v>
      </c>
      <c r="AF7" s="137">
        <f t="shared" si="1"/>
        <v>1514.74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53.4</v>
      </c>
      <c r="C11" s="105">
        <v>53.4</v>
      </c>
      <c r="D11" s="105">
        <v>40.6</v>
      </c>
      <c r="E11" s="105">
        <v>40.6</v>
      </c>
      <c r="F11" s="105">
        <v>40.6</v>
      </c>
      <c r="G11" s="105">
        <v>40.6</v>
      </c>
      <c r="H11" s="105">
        <v>40.6</v>
      </c>
      <c r="I11" s="105">
        <v>40.6</v>
      </c>
      <c r="J11" s="105">
        <v>51.5</v>
      </c>
      <c r="K11" s="105">
        <v>51.5</v>
      </c>
      <c r="L11" s="105">
        <v>51.5</v>
      </c>
      <c r="M11" s="105">
        <v>51.5</v>
      </c>
      <c r="N11" s="105">
        <v>51.5</v>
      </c>
      <c r="O11" s="105">
        <v>51.7</v>
      </c>
      <c r="P11" s="105">
        <v>51.8</v>
      </c>
      <c r="Q11" s="105">
        <v>51.8</v>
      </c>
      <c r="R11" s="105">
        <v>51.8</v>
      </c>
      <c r="S11" s="105">
        <v>51.8</v>
      </c>
      <c r="T11" s="105">
        <v>51.8</v>
      </c>
      <c r="U11" s="105">
        <v>51.8</v>
      </c>
      <c r="V11" s="105">
        <v>51.8</v>
      </c>
      <c r="W11" s="105">
        <v>51.8</v>
      </c>
      <c r="X11" s="105">
        <v>51.8</v>
      </c>
      <c r="Y11" s="105">
        <v>51.8</v>
      </c>
      <c r="Z11" s="105">
        <v>51.8</v>
      </c>
      <c r="AA11" s="105">
        <v>51.8</v>
      </c>
      <c r="AB11" s="105">
        <v>53.1</v>
      </c>
      <c r="AC11" s="105">
        <v>53.1</v>
      </c>
      <c r="AD11" s="105">
        <v>53.1</v>
      </c>
      <c r="AE11" s="128">
        <v>53</v>
      </c>
      <c r="AF11" s="128">
        <v>40</v>
      </c>
      <c r="AG11" s="127">
        <v>52.4</v>
      </c>
      <c r="AH11" s="20">
        <f>MAX(B11:AF11)</f>
        <v>53.4</v>
      </c>
      <c r="AI11" s="19">
        <f>MIN(B11:AF11)</f>
        <v>40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50.3</v>
      </c>
      <c r="C12" s="105">
        <v>50.3</v>
      </c>
      <c r="D12" s="105">
        <v>50.3</v>
      </c>
      <c r="E12" s="105">
        <v>50.3</v>
      </c>
      <c r="F12" s="105">
        <v>50.3</v>
      </c>
      <c r="G12" s="105">
        <v>50.3</v>
      </c>
      <c r="H12" s="105">
        <v>50.3</v>
      </c>
      <c r="I12" s="105">
        <v>50.3</v>
      </c>
      <c r="J12" s="105">
        <v>50.7</v>
      </c>
      <c r="K12" s="105">
        <v>50.7</v>
      </c>
      <c r="L12" s="105">
        <v>50.7</v>
      </c>
      <c r="M12" s="105">
        <v>50.7</v>
      </c>
      <c r="N12" s="105">
        <v>50.7</v>
      </c>
      <c r="O12" s="105">
        <v>50.5</v>
      </c>
      <c r="P12" s="105">
        <v>50.4</v>
      </c>
      <c r="Q12" s="105">
        <v>50.4</v>
      </c>
      <c r="R12" s="105">
        <v>50.4</v>
      </c>
      <c r="S12" s="105">
        <v>50.4</v>
      </c>
      <c r="T12" s="105">
        <v>50.4</v>
      </c>
      <c r="U12" s="105">
        <v>50.4</v>
      </c>
      <c r="V12" s="105">
        <v>50.4</v>
      </c>
      <c r="W12" s="105">
        <v>50.4</v>
      </c>
      <c r="X12" s="105">
        <v>50.4</v>
      </c>
      <c r="Y12" s="105">
        <v>50.4</v>
      </c>
      <c r="Z12" s="105">
        <v>50.4</v>
      </c>
      <c r="AA12" s="105">
        <v>50.4</v>
      </c>
      <c r="AB12" s="105">
        <v>50.6</v>
      </c>
      <c r="AC12" s="105">
        <v>50.6</v>
      </c>
      <c r="AD12" s="105">
        <v>50.6</v>
      </c>
      <c r="AE12" s="105">
        <v>50.6</v>
      </c>
      <c r="AF12" s="105">
        <v>50.4</v>
      </c>
      <c r="AG12" s="126">
        <v>50</v>
      </c>
      <c r="AH12" s="20">
        <f t="shared" ref="AH12:AH75" si="2">MAX(B12:AF12)</f>
        <v>50.7</v>
      </c>
      <c r="AI12" s="19">
        <f t="shared" ref="AI12:AI75" si="3">MIN(B12:AF12)</f>
        <v>50.3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46</v>
      </c>
      <c r="C13" s="105">
        <v>36</v>
      </c>
      <c r="D13" s="105">
        <v>36</v>
      </c>
      <c r="E13" s="105">
        <v>36</v>
      </c>
      <c r="F13" s="105">
        <v>41</v>
      </c>
      <c r="G13" s="105">
        <v>41</v>
      </c>
      <c r="H13" s="105">
        <v>41</v>
      </c>
      <c r="I13" s="105">
        <v>40.799999999999997</v>
      </c>
      <c r="J13" s="105">
        <v>45.7</v>
      </c>
      <c r="K13" s="105">
        <v>45.7</v>
      </c>
      <c r="L13" s="105">
        <v>45.7</v>
      </c>
      <c r="M13" s="105">
        <v>45.7</v>
      </c>
      <c r="N13" s="105">
        <v>36</v>
      </c>
      <c r="O13" s="105">
        <v>45.9</v>
      </c>
      <c r="P13" s="105">
        <v>45.9</v>
      </c>
      <c r="Q13" s="105">
        <v>45.9</v>
      </c>
      <c r="R13" s="105">
        <v>45.9</v>
      </c>
      <c r="S13" s="105">
        <v>46</v>
      </c>
      <c r="T13" s="105">
        <v>45.9</v>
      </c>
      <c r="U13" s="105">
        <v>45.9</v>
      </c>
      <c r="V13" s="105">
        <v>45.9</v>
      </c>
      <c r="W13" s="105">
        <v>45.9</v>
      </c>
      <c r="X13" s="105">
        <v>45.9</v>
      </c>
      <c r="Y13" s="105">
        <v>45.9</v>
      </c>
      <c r="Z13" s="105">
        <v>45.9</v>
      </c>
      <c r="AA13" s="105">
        <v>45.9</v>
      </c>
      <c r="AB13" s="105">
        <v>46</v>
      </c>
      <c r="AC13" s="105">
        <v>46</v>
      </c>
      <c r="AD13" s="105">
        <v>46</v>
      </c>
      <c r="AE13" s="105">
        <v>46</v>
      </c>
      <c r="AF13" s="105">
        <v>37</v>
      </c>
      <c r="AG13" s="126">
        <v>45</v>
      </c>
      <c r="AH13" s="20">
        <f t="shared" si="2"/>
        <v>46</v>
      </c>
      <c r="AI13" s="19">
        <f t="shared" si="3"/>
        <v>36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28</v>
      </c>
      <c r="C14" s="105">
        <v>28</v>
      </c>
      <c r="D14" s="105">
        <v>24</v>
      </c>
      <c r="E14" s="105">
        <v>24</v>
      </c>
      <c r="F14" s="105">
        <v>20</v>
      </c>
      <c r="G14" s="105">
        <v>20</v>
      </c>
      <c r="H14" s="105">
        <v>20</v>
      </c>
      <c r="I14" s="105">
        <v>20</v>
      </c>
      <c r="J14" s="105">
        <v>26</v>
      </c>
      <c r="K14" s="105">
        <v>28</v>
      </c>
      <c r="L14" s="105">
        <v>28</v>
      </c>
      <c r="M14" s="105">
        <v>30</v>
      </c>
      <c r="N14" s="105">
        <v>30</v>
      </c>
      <c r="O14" s="105">
        <v>30</v>
      </c>
      <c r="P14" s="105">
        <v>30</v>
      </c>
      <c r="Q14" s="105">
        <v>30</v>
      </c>
      <c r="R14" s="105">
        <v>30</v>
      </c>
      <c r="S14" s="105">
        <v>20</v>
      </c>
      <c r="T14" s="105">
        <v>28</v>
      </c>
      <c r="U14" s="105">
        <v>28</v>
      </c>
      <c r="V14" s="105">
        <v>30</v>
      </c>
      <c r="W14" s="105">
        <v>35</v>
      </c>
      <c r="X14" s="105">
        <v>40</v>
      </c>
      <c r="Y14" s="105">
        <v>40</v>
      </c>
      <c r="Z14" s="105">
        <v>40</v>
      </c>
      <c r="AA14" s="105">
        <v>40</v>
      </c>
      <c r="AB14" s="105">
        <v>40</v>
      </c>
      <c r="AC14" s="105">
        <v>40</v>
      </c>
      <c r="AD14" s="105">
        <v>40</v>
      </c>
      <c r="AE14" s="105">
        <v>35</v>
      </c>
      <c r="AF14" s="105">
        <v>23</v>
      </c>
      <c r="AG14" s="126">
        <v>42</v>
      </c>
      <c r="AH14" s="20">
        <f t="shared" si="2"/>
        <v>40</v>
      </c>
      <c r="AI14" s="19">
        <f t="shared" si="3"/>
        <v>20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0</v>
      </c>
      <c r="M15" s="105">
        <v>5</v>
      </c>
      <c r="N15" s="105">
        <v>0</v>
      </c>
      <c r="O15" s="105">
        <v>5</v>
      </c>
      <c r="P15" s="105">
        <v>0</v>
      </c>
      <c r="Q15" s="105">
        <v>0</v>
      </c>
      <c r="R15" s="105">
        <v>0</v>
      </c>
      <c r="S15" s="105">
        <v>14</v>
      </c>
      <c r="T15" s="105">
        <v>14</v>
      </c>
      <c r="U15" s="105">
        <v>10</v>
      </c>
      <c r="V15" s="105">
        <v>20</v>
      </c>
      <c r="W15" s="105">
        <v>20</v>
      </c>
      <c r="X15" s="105">
        <v>30</v>
      </c>
      <c r="Y15" s="105">
        <v>30</v>
      </c>
      <c r="Z15" s="105">
        <v>30</v>
      </c>
      <c r="AA15" s="105">
        <v>30</v>
      </c>
      <c r="AB15" s="105">
        <v>30</v>
      </c>
      <c r="AC15" s="105">
        <v>30</v>
      </c>
      <c r="AD15" s="105">
        <v>30</v>
      </c>
      <c r="AE15" s="105">
        <v>15</v>
      </c>
      <c r="AF15" s="105">
        <v>0</v>
      </c>
      <c r="AG15" s="96">
        <v>30</v>
      </c>
      <c r="AH15" s="20">
        <f t="shared" si="2"/>
        <v>30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20</v>
      </c>
      <c r="C16" s="105">
        <v>25</v>
      </c>
      <c r="D16" s="105">
        <v>25</v>
      </c>
      <c r="E16" s="105">
        <v>25</v>
      </c>
      <c r="F16" s="105">
        <v>25</v>
      </c>
      <c r="G16" s="105">
        <v>25</v>
      </c>
      <c r="H16" s="105">
        <v>25</v>
      </c>
      <c r="I16" s="105">
        <v>15</v>
      </c>
      <c r="J16" s="105">
        <v>25.3</v>
      </c>
      <c r="K16" s="105">
        <v>25.3</v>
      </c>
      <c r="L16" s="105">
        <v>25.3</v>
      </c>
      <c r="M16" s="105">
        <v>25.3</v>
      </c>
      <c r="N16" s="105">
        <v>25.3</v>
      </c>
      <c r="O16" s="105">
        <v>33.200000000000003</v>
      </c>
      <c r="P16" s="105">
        <v>25</v>
      </c>
      <c r="Q16" s="105">
        <v>25</v>
      </c>
      <c r="R16" s="105">
        <v>25</v>
      </c>
      <c r="S16" s="105">
        <v>25</v>
      </c>
      <c r="T16" s="105">
        <v>33.299999999999997</v>
      </c>
      <c r="U16" s="105">
        <v>25.8</v>
      </c>
      <c r="V16" s="105">
        <v>33</v>
      </c>
      <c r="W16" s="105">
        <v>33</v>
      </c>
      <c r="X16" s="105">
        <v>33</v>
      </c>
      <c r="Y16" s="105">
        <v>33</v>
      </c>
      <c r="Z16" s="105">
        <v>33</v>
      </c>
      <c r="AA16" s="105">
        <v>33</v>
      </c>
      <c r="AB16" s="105">
        <v>33.200000000000003</v>
      </c>
      <c r="AC16" s="105">
        <v>33.200000000000003</v>
      </c>
      <c r="AD16" s="105">
        <v>33.200000000000003</v>
      </c>
      <c r="AE16" s="105">
        <v>31</v>
      </c>
      <c r="AF16" s="105">
        <v>14</v>
      </c>
      <c r="AG16" s="126">
        <v>24.2</v>
      </c>
      <c r="AH16" s="20">
        <f t="shared" si="2"/>
        <v>33.299999999999997</v>
      </c>
      <c r="AI16" s="19">
        <f t="shared" si="3"/>
        <v>14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0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3</v>
      </c>
      <c r="L17" s="105">
        <v>3</v>
      </c>
      <c r="M17" s="105">
        <v>15</v>
      </c>
      <c r="N17" s="105">
        <v>15</v>
      </c>
      <c r="O17" s="105">
        <v>15</v>
      </c>
      <c r="P17" s="105">
        <v>15</v>
      </c>
      <c r="Q17" s="105">
        <v>27</v>
      </c>
      <c r="R17" s="105">
        <v>27</v>
      </c>
      <c r="S17" s="105">
        <v>0</v>
      </c>
      <c r="T17" s="105">
        <v>9</v>
      </c>
      <c r="U17" s="105">
        <v>9</v>
      </c>
      <c r="V17" s="105">
        <v>9</v>
      </c>
      <c r="W17" s="105">
        <v>9</v>
      </c>
      <c r="X17" s="105">
        <v>9</v>
      </c>
      <c r="Y17" s="105">
        <v>9</v>
      </c>
      <c r="Z17" s="105">
        <v>25</v>
      </c>
      <c r="AA17" s="105">
        <v>25</v>
      </c>
      <c r="AB17" s="105">
        <v>25</v>
      </c>
      <c r="AC17" s="105">
        <v>25</v>
      </c>
      <c r="AD17" s="105">
        <v>20</v>
      </c>
      <c r="AE17" s="105">
        <v>10</v>
      </c>
      <c r="AF17" s="105">
        <v>0</v>
      </c>
      <c r="AG17" s="96">
        <v>30</v>
      </c>
      <c r="AH17" s="20">
        <f t="shared" si="2"/>
        <v>27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20.8</v>
      </c>
      <c r="C18" s="105">
        <v>20.8</v>
      </c>
      <c r="D18" s="105">
        <v>20.8</v>
      </c>
      <c r="E18" s="105">
        <v>20.8</v>
      </c>
      <c r="F18" s="105">
        <v>20.8</v>
      </c>
      <c r="G18" s="105">
        <v>20.8</v>
      </c>
      <c r="H18" s="105">
        <v>20.8</v>
      </c>
      <c r="I18" s="105">
        <v>20.8</v>
      </c>
      <c r="J18" s="105">
        <v>20.8</v>
      </c>
      <c r="K18" s="105">
        <v>25.2</v>
      </c>
      <c r="L18" s="105">
        <v>25.2</v>
      </c>
      <c r="M18" s="105">
        <v>25.2</v>
      </c>
      <c r="N18" s="105">
        <v>25.2</v>
      </c>
      <c r="O18" s="105">
        <v>25.2</v>
      </c>
      <c r="P18" s="105">
        <v>25.2</v>
      </c>
      <c r="Q18" s="105">
        <v>25.2</v>
      </c>
      <c r="R18" s="105">
        <v>25.2</v>
      </c>
      <c r="S18" s="105">
        <v>25.2</v>
      </c>
      <c r="T18" s="105">
        <v>25.2</v>
      </c>
      <c r="U18" s="105">
        <v>25.2</v>
      </c>
      <c r="V18" s="105">
        <v>25.2</v>
      </c>
      <c r="W18" s="105">
        <v>25.2</v>
      </c>
      <c r="X18" s="105">
        <v>25.2</v>
      </c>
      <c r="Y18" s="105">
        <v>25.2</v>
      </c>
      <c r="Z18" s="105">
        <v>26.2</v>
      </c>
      <c r="AA18" s="105">
        <v>26.2</v>
      </c>
      <c r="AB18" s="105">
        <v>26.2</v>
      </c>
      <c r="AC18" s="105">
        <v>26.2</v>
      </c>
      <c r="AD18" s="105">
        <v>26.2</v>
      </c>
      <c r="AE18" s="105">
        <v>25</v>
      </c>
      <c r="AF18" s="105">
        <v>25</v>
      </c>
      <c r="AG18" s="126">
        <v>25</v>
      </c>
      <c r="AH18" s="20">
        <f t="shared" si="2"/>
        <v>26.2</v>
      </c>
      <c r="AI18" s="19">
        <f t="shared" si="3"/>
        <v>20.8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20</v>
      </c>
      <c r="C19" s="105">
        <v>20</v>
      </c>
      <c r="D19" s="105">
        <v>20</v>
      </c>
      <c r="E19" s="105">
        <v>20</v>
      </c>
      <c r="F19" s="105">
        <v>20</v>
      </c>
      <c r="G19" s="105">
        <v>20</v>
      </c>
      <c r="H19" s="105">
        <v>20</v>
      </c>
      <c r="I19" s="105">
        <v>20</v>
      </c>
      <c r="J19" s="105">
        <v>20</v>
      </c>
      <c r="K19" s="105">
        <v>25</v>
      </c>
      <c r="L19" s="105">
        <v>25</v>
      </c>
      <c r="M19" s="105">
        <v>25</v>
      </c>
      <c r="N19" s="105">
        <v>25</v>
      </c>
      <c r="O19" s="105">
        <v>25</v>
      </c>
      <c r="P19" s="105">
        <v>25</v>
      </c>
      <c r="Q19" s="105">
        <v>25</v>
      </c>
      <c r="R19" s="105">
        <v>25</v>
      </c>
      <c r="S19" s="105">
        <v>25</v>
      </c>
      <c r="T19" s="105">
        <v>25</v>
      </c>
      <c r="U19" s="105">
        <v>25</v>
      </c>
      <c r="V19" s="105">
        <v>25</v>
      </c>
      <c r="W19" s="105">
        <v>25</v>
      </c>
      <c r="X19" s="105">
        <v>25</v>
      </c>
      <c r="Y19" s="105">
        <v>25</v>
      </c>
      <c r="Z19" s="105">
        <v>25</v>
      </c>
      <c r="AA19" s="105">
        <v>25</v>
      </c>
      <c r="AB19" s="105">
        <v>25</v>
      </c>
      <c r="AC19" s="105">
        <v>25</v>
      </c>
      <c r="AD19" s="105">
        <v>25</v>
      </c>
      <c r="AE19" s="105">
        <v>22</v>
      </c>
      <c r="AF19" s="105">
        <v>22</v>
      </c>
      <c r="AG19" s="126">
        <v>25</v>
      </c>
      <c r="AH19" s="20">
        <f t="shared" si="2"/>
        <v>25</v>
      </c>
      <c r="AI19" s="19">
        <f t="shared" si="3"/>
        <v>20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25</v>
      </c>
      <c r="C20" s="105">
        <v>18</v>
      </c>
      <c r="D20" s="105">
        <v>18</v>
      </c>
      <c r="E20" s="105">
        <v>18</v>
      </c>
      <c r="F20" s="105">
        <v>18</v>
      </c>
      <c r="G20" s="105">
        <v>18</v>
      </c>
      <c r="H20" s="105">
        <v>18</v>
      </c>
      <c r="I20" s="105">
        <v>18</v>
      </c>
      <c r="J20" s="105">
        <v>25</v>
      </c>
      <c r="K20" s="105">
        <v>25</v>
      </c>
      <c r="L20" s="105">
        <v>25</v>
      </c>
      <c r="M20" s="105">
        <v>25</v>
      </c>
      <c r="N20" s="105">
        <v>25</v>
      </c>
      <c r="O20" s="105">
        <v>25</v>
      </c>
      <c r="P20" s="105">
        <v>25</v>
      </c>
      <c r="Q20" s="105">
        <v>25</v>
      </c>
      <c r="R20" s="105">
        <v>25</v>
      </c>
      <c r="S20" s="105">
        <v>25</v>
      </c>
      <c r="T20" s="105">
        <v>25</v>
      </c>
      <c r="U20" s="105">
        <v>25</v>
      </c>
      <c r="V20" s="105">
        <v>25</v>
      </c>
      <c r="W20" s="105">
        <v>25</v>
      </c>
      <c r="X20" s="105">
        <v>25</v>
      </c>
      <c r="Y20" s="105">
        <v>25</v>
      </c>
      <c r="Z20" s="105">
        <v>25</v>
      </c>
      <c r="AA20" s="105">
        <v>25</v>
      </c>
      <c r="AB20" s="105">
        <v>25</v>
      </c>
      <c r="AC20" s="105">
        <v>25</v>
      </c>
      <c r="AD20" s="105">
        <v>25</v>
      </c>
      <c r="AE20" s="105">
        <v>25</v>
      </c>
      <c r="AF20" s="105">
        <v>20</v>
      </c>
      <c r="AG20" s="126">
        <v>25</v>
      </c>
      <c r="AH20" s="20">
        <f t="shared" si="2"/>
        <v>25</v>
      </c>
      <c r="AI20" s="19">
        <f t="shared" si="3"/>
        <v>18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20</v>
      </c>
      <c r="C21" s="105">
        <v>20</v>
      </c>
      <c r="D21" s="105">
        <v>20</v>
      </c>
      <c r="E21" s="105">
        <v>18</v>
      </c>
      <c r="F21" s="105">
        <v>18</v>
      </c>
      <c r="G21" s="105">
        <v>18</v>
      </c>
      <c r="H21" s="105">
        <v>18</v>
      </c>
      <c r="I21" s="105">
        <v>18</v>
      </c>
      <c r="J21" s="105">
        <v>18</v>
      </c>
      <c r="K21" s="105">
        <v>23.5</v>
      </c>
      <c r="L21" s="105">
        <v>23.5</v>
      </c>
      <c r="M21" s="105">
        <v>23.5</v>
      </c>
      <c r="N21" s="105">
        <v>23.5</v>
      </c>
      <c r="O21" s="105">
        <v>23.5</v>
      </c>
      <c r="P21" s="105">
        <v>23.5</v>
      </c>
      <c r="Q21" s="105">
        <v>23.5</v>
      </c>
      <c r="R21" s="105">
        <v>23.5</v>
      </c>
      <c r="S21" s="105">
        <v>19</v>
      </c>
      <c r="T21" s="105">
        <v>12.5</v>
      </c>
      <c r="U21" s="105">
        <v>24</v>
      </c>
      <c r="V21" s="105">
        <v>24</v>
      </c>
      <c r="W21" s="105">
        <v>24</v>
      </c>
      <c r="X21" s="105">
        <v>24</v>
      </c>
      <c r="Y21" s="105">
        <v>24</v>
      </c>
      <c r="Z21" s="105">
        <v>24</v>
      </c>
      <c r="AA21" s="105">
        <v>24</v>
      </c>
      <c r="AB21" s="105">
        <v>24</v>
      </c>
      <c r="AC21" s="105">
        <v>24</v>
      </c>
      <c r="AD21" s="105">
        <v>24</v>
      </c>
      <c r="AE21" s="105">
        <v>24</v>
      </c>
      <c r="AF21" s="105">
        <v>18</v>
      </c>
      <c r="AG21" s="126">
        <v>23.5</v>
      </c>
      <c r="AH21" s="20">
        <f t="shared" si="2"/>
        <v>24</v>
      </c>
      <c r="AI21" s="19">
        <f t="shared" si="3"/>
        <v>12.5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22</v>
      </c>
      <c r="C22" s="105">
        <v>22</v>
      </c>
      <c r="D22" s="105">
        <v>22</v>
      </c>
      <c r="E22" s="105">
        <v>22</v>
      </c>
      <c r="F22" s="105">
        <v>22</v>
      </c>
      <c r="G22" s="105">
        <v>22</v>
      </c>
      <c r="H22" s="105">
        <v>22</v>
      </c>
      <c r="I22" s="105">
        <v>22</v>
      </c>
      <c r="J22" s="105">
        <v>22</v>
      </c>
      <c r="K22" s="105">
        <v>22</v>
      </c>
      <c r="L22" s="105">
        <v>22</v>
      </c>
      <c r="M22" s="105">
        <v>22</v>
      </c>
      <c r="N22" s="105">
        <v>22</v>
      </c>
      <c r="O22" s="105">
        <v>0</v>
      </c>
      <c r="P22" s="105">
        <v>0</v>
      </c>
      <c r="Q22" s="105">
        <v>22</v>
      </c>
      <c r="R22" s="105">
        <v>22</v>
      </c>
      <c r="S22" s="105">
        <v>22</v>
      </c>
      <c r="T22" s="105">
        <v>22</v>
      </c>
      <c r="U22" s="105">
        <v>22</v>
      </c>
      <c r="V22" s="105">
        <v>22</v>
      </c>
      <c r="W22" s="105">
        <v>22</v>
      </c>
      <c r="X22" s="105">
        <v>22</v>
      </c>
      <c r="Y22" s="105">
        <v>22</v>
      </c>
      <c r="Z22" s="105">
        <v>22</v>
      </c>
      <c r="AA22" s="105">
        <v>22</v>
      </c>
      <c r="AB22" s="105">
        <v>22</v>
      </c>
      <c r="AC22" s="105">
        <v>22</v>
      </c>
      <c r="AD22" s="105">
        <v>22</v>
      </c>
      <c r="AE22" s="105">
        <v>22</v>
      </c>
      <c r="AF22" s="105">
        <v>22</v>
      </c>
      <c r="AG22" s="126">
        <v>22.2</v>
      </c>
      <c r="AH22" s="20">
        <f t="shared" si="2"/>
        <v>22</v>
      </c>
      <c r="AI22" s="19">
        <f t="shared" si="3"/>
        <v>0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19</v>
      </c>
      <c r="C23" s="105">
        <v>19</v>
      </c>
      <c r="D23" s="105">
        <v>19</v>
      </c>
      <c r="E23" s="105">
        <v>19</v>
      </c>
      <c r="F23" s="105">
        <v>19</v>
      </c>
      <c r="G23" s="105">
        <v>19</v>
      </c>
      <c r="H23" s="105">
        <v>19</v>
      </c>
      <c r="I23" s="105">
        <v>19</v>
      </c>
      <c r="J23" s="105">
        <v>19</v>
      </c>
      <c r="K23" s="105">
        <v>19</v>
      </c>
      <c r="L23" s="105">
        <v>19</v>
      </c>
      <c r="M23" s="105">
        <v>19</v>
      </c>
      <c r="N23" s="105">
        <v>19</v>
      </c>
      <c r="O23" s="105">
        <v>19</v>
      </c>
      <c r="P23" s="105">
        <v>19</v>
      </c>
      <c r="Q23" s="105">
        <v>19</v>
      </c>
      <c r="R23" s="105">
        <v>19</v>
      </c>
      <c r="S23" s="105">
        <v>19</v>
      </c>
      <c r="T23" s="105">
        <v>19</v>
      </c>
      <c r="U23" s="105">
        <v>19</v>
      </c>
      <c r="V23" s="105">
        <v>19</v>
      </c>
      <c r="W23" s="105">
        <v>19</v>
      </c>
      <c r="X23" s="105">
        <v>19</v>
      </c>
      <c r="Y23" s="105">
        <v>19</v>
      </c>
      <c r="Z23" s="105">
        <v>19</v>
      </c>
      <c r="AA23" s="105">
        <v>19</v>
      </c>
      <c r="AB23" s="105">
        <v>19</v>
      </c>
      <c r="AC23" s="105">
        <v>19</v>
      </c>
      <c r="AD23" s="105">
        <v>19</v>
      </c>
      <c r="AE23" s="105">
        <v>19</v>
      </c>
      <c r="AF23" s="105">
        <v>19</v>
      </c>
      <c r="AG23" s="126">
        <v>22.1</v>
      </c>
      <c r="AH23" s="20">
        <f t="shared" si="2"/>
        <v>19</v>
      </c>
      <c r="AI23" s="19">
        <f t="shared" si="3"/>
        <v>19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18</v>
      </c>
      <c r="C24" s="105">
        <v>18</v>
      </c>
      <c r="D24" s="105">
        <v>18</v>
      </c>
      <c r="E24" s="105">
        <v>18</v>
      </c>
      <c r="F24" s="105">
        <v>18</v>
      </c>
      <c r="G24" s="105">
        <v>18</v>
      </c>
      <c r="H24" s="105">
        <v>18</v>
      </c>
      <c r="I24" s="105">
        <v>18</v>
      </c>
      <c r="J24" s="105">
        <v>18</v>
      </c>
      <c r="K24" s="105">
        <v>18</v>
      </c>
      <c r="L24" s="105">
        <v>18</v>
      </c>
      <c r="M24" s="105">
        <v>18</v>
      </c>
      <c r="N24" s="105">
        <v>18</v>
      </c>
      <c r="O24" s="105">
        <v>18</v>
      </c>
      <c r="P24" s="105">
        <v>18</v>
      </c>
      <c r="Q24" s="105">
        <v>18</v>
      </c>
      <c r="R24" s="105">
        <v>18</v>
      </c>
      <c r="S24" s="105">
        <v>18</v>
      </c>
      <c r="T24" s="105">
        <v>18</v>
      </c>
      <c r="U24" s="105">
        <v>18</v>
      </c>
      <c r="V24" s="105">
        <v>18</v>
      </c>
      <c r="W24" s="105">
        <v>18</v>
      </c>
      <c r="X24" s="105">
        <v>18</v>
      </c>
      <c r="Y24" s="105">
        <v>18</v>
      </c>
      <c r="Z24" s="105">
        <v>18</v>
      </c>
      <c r="AA24" s="105">
        <v>18</v>
      </c>
      <c r="AB24" s="105">
        <v>18</v>
      </c>
      <c r="AC24" s="105">
        <v>18</v>
      </c>
      <c r="AD24" s="105">
        <v>18</v>
      </c>
      <c r="AE24" s="105">
        <v>18</v>
      </c>
      <c r="AF24" s="105">
        <v>18</v>
      </c>
      <c r="AG24" s="126">
        <v>22</v>
      </c>
      <c r="AH24" s="20">
        <f t="shared" si="2"/>
        <v>18</v>
      </c>
      <c r="AI24" s="19">
        <f t="shared" si="3"/>
        <v>18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19</v>
      </c>
      <c r="C25" s="105">
        <v>19</v>
      </c>
      <c r="D25" s="105">
        <v>19</v>
      </c>
      <c r="E25" s="105">
        <v>19</v>
      </c>
      <c r="F25" s="105">
        <v>19</v>
      </c>
      <c r="G25" s="105">
        <v>19</v>
      </c>
      <c r="H25" s="105">
        <v>19</v>
      </c>
      <c r="I25" s="105">
        <v>19</v>
      </c>
      <c r="J25" s="105">
        <v>19</v>
      </c>
      <c r="K25" s="105">
        <v>22</v>
      </c>
      <c r="L25" s="105">
        <v>22</v>
      </c>
      <c r="M25" s="105">
        <v>22</v>
      </c>
      <c r="N25" s="105">
        <v>22</v>
      </c>
      <c r="O25" s="105">
        <v>22</v>
      </c>
      <c r="P25" s="105">
        <v>22</v>
      </c>
      <c r="Q25" s="105">
        <v>22</v>
      </c>
      <c r="R25" s="105">
        <v>22</v>
      </c>
      <c r="S25" s="105">
        <v>22</v>
      </c>
      <c r="T25" s="105">
        <v>22</v>
      </c>
      <c r="U25" s="105">
        <v>22</v>
      </c>
      <c r="V25" s="105">
        <v>22</v>
      </c>
      <c r="W25" s="105">
        <v>22</v>
      </c>
      <c r="X25" s="105">
        <v>22</v>
      </c>
      <c r="Y25" s="105">
        <v>22</v>
      </c>
      <c r="Z25" s="105">
        <v>22</v>
      </c>
      <c r="AA25" s="105">
        <v>22</v>
      </c>
      <c r="AB25" s="105">
        <v>22</v>
      </c>
      <c r="AC25" s="105">
        <v>22</v>
      </c>
      <c r="AD25" s="105">
        <v>22</v>
      </c>
      <c r="AE25" s="105">
        <v>22</v>
      </c>
      <c r="AF25" s="105">
        <v>18</v>
      </c>
      <c r="AG25" s="126">
        <v>22</v>
      </c>
      <c r="AH25" s="20">
        <f t="shared" si="2"/>
        <v>22</v>
      </c>
      <c r="AI25" s="19">
        <f t="shared" si="3"/>
        <v>18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5</v>
      </c>
      <c r="L26" s="105">
        <v>5</v>
      </c>
      <c r="M26" s="105">
        <v>5</v>
      </c>
      <c r="N26" s="105">
        <v>0</v>
      </c>
      <c r="O26" s="105">
        <v>0</v>
      </c>
      <c r="P26" s="105">
        <v>0</v>
      </c>
      <c r="Q26" s="105">
        <v>0</v>
      </c>
      <c r="R26" s="105">
        <v>0</v>
      </c>
      <c r="S26" s="105">
        <v>5</v>
      </c>
      <c r="T26" s="105">
        <v>10</v>
      </c>
      <c r="U26" s="105">
        <v>10</v>
      </c>
      <c r="V26" s="105">
        <v>10</v>
      </c>
      <c r="W26" s="105">
        <v>10</v>
      </c>
      <c r="X26" s="105">
        <v>10</v>
      </c>
      <c r="Y26" s="105">
        <v>0</v>
      </c>
      <c r="Z26" s="105">
        <v>0</v>
      </c>
      <c r="AA26" s="105">
        <v>0</v>
      </c>
      <c r="AB26" s="105">
        <v>0</v>
      </c>
      <c r="AC26" s="105">
        <v>0</v>
      </c>
      <c r="AD26" s="105">
        <v>0</v>
      </c>
      <c r="AE26" s="105">
        <v>0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13</v>
      </c>
      <c r="C27" s="105">
        <v>13</v>
      </c>
      <c r="D27" s="105">
        <v>13</v>
      </c>
      <c r="E27" s="105">
        <v>13</v>
      </c>
      <c r="F27" s="105">
        <v>13</v>
      </c>
      <c r="G27" s="105">
        <v>13</v>
      </c>
      <c r="H27" s="105">
        <v>13</v>
      </c>
      <c r="I27" s="105">
        <v>13</v>
      </c>
      <c r="J27" s="105">
        <v>13</v>
      </c>
      <c r="K27" s="105">
        <v>13</v>
      </c>
      <c r="L27" s="105">
        <v>13</v>
      </c>
      <c r="M27" s="105">
        <v>13</v>
      </c>
      <c r="N27" s="105">
        <v>13</v>
      </c>
      <c r="O27" s="105">
        <v>13</v>
      </c>
      <c r="P27" s="105">
        <v>13</v>
      </c>
      <c r="Q27" s="105">
        <v>13</v>
      </c>
      <c r="R27" s="105">
        <v>13</v>
      </c>
      <c r="S27" s="105">
        <v>13</v>
      </c>
      <c r="T27" s="105">
        <v>13</v>
      </c>
      <c r="U27" s="105">
        <v>13</v>
      </c>
      <c r="V27" s="105">
        <v>13</v>
      </c>
      <c r="W27" s="105">
        <v>13</v>
      </c>
      <c r="X27" s="105">
        <v>13</v>
      </c>
      <c r="Y27" s="105">
        <v>13</v>
      </c>
      <c r="Z27" s="105">
        <v>13</v>
      </c>
      <c r="AA27" s="105">
        <v>13</v>
      </c>
      <c r="AB27" s="105">
        <v>13</v>
      </c>
      <c r="AC27" s="105">
        <v>13</v>
      </c>
      <c r="AD27" s="105">
        <v>13</v>
      </c>
      <c r="AE27" s="105">
        <v>13</v>
      </c>
      <c r="AF27" s="105">
        <v>13</v>
      </c>
      <c r="AG27" s="126">
        <v>14.9</v>
      </c>
      <c r="AH27" s="20">
        <f t="shared" si="2"/>
        <v>13</v>
      </c>
      <c r="AI27" s="19">
        <f t="shared" si="3"/>
        <v>13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>
        <v>6.8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>
        <v>6.8</v>
      </c>
      <c r="AE28" s="105">
        <v>6.8</v>
      </c>
      <c r="AF28" s="105">
        <v>6.8</v>
      </c>
      <c r="AG28" s="126">
        <v>13.6</v>
      </c>
      <c r="AH28" s="20">
        <f t="shared" si="2"/>
        <v>6.8</v>
      </c>
      <c r="AI28" s="19">
        <f t="shared" si="3"/>
        <v>6.8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11.5</v>
      </c>
      <c r="C29" s="105">
        <v>11.5</v>
      </c>
      <c r="D29" s="105">
        <v>11.5</v>
      </c>
      <c r="E29" s="105">
        <v>11.5</v>
      </c>
      <c r="F29" s="105">
        <v>11.5</v>
      </c>
      <c r="G29" s="105">
        <v>11.5</v>
      </c>
      <c r="H29" s="105">
        <v>11.5</v>
      </c>
      <c r="I29" s="105">
        <v>11.5</v>
      </c>
      <c r="J29" s="105">
        <v>11.5</v>
      </c>
      <c r="K29" s="105">
        <v>11.5</v>
      </c>
      <c r="L29" s="105">
        <v>11.5</v>
      </c>
      <c r="M29" s="105">
        <v>11.5</v>
      </c>
      <c r="N29" s="105">
        <v>11.5</v>
      </c>
      <c r="O29" s="105">
        <v>11.5</v>
      </c>
      <c r="P29" s="105">
        <v>11.5</v>
      </c>
      <c r="Q29" s="105">
        <v>11.5</v>
      </c>
      <c r="R29" s="105">
        <v>11.5</v>
      </c>
      <c r="S29" s="105">
        <v>12</v>
      </c>
      <c r="T29" s="105">
        <v>12</v>
      </c>
      <c r="U29" s="105">
        <v>12</v>
      </c>
      <c r="V29" s="105">
        <v>12</v>
      </c>
      <c r="W29" s="105">
        <v>12</v>
      </c>
      <c r="X29" s="105">
        <v>12</v>
      </c>
      <c r="Y29" s="105">
        <v>12</v>
      </c>
      <c r="Z29" s="105">
        <v>12</v>
      </c>
      <c r="AA29" s="105">
        <v>12</v>
      </c>
      <c r="AB29" s="105">
        <v>12</v>
      </c>
      <c r="AC29" s="105">
        <v>12</v>
      </c>
      <c r="AD29" s="105">
        <v>12</v>
      </c>
      <c r="AE29" s="105">
        <v>12</v>
      </c>
      <c r="AF29" s="105">
        <v>12</v>
      </c>
      <c r="AG29" s="126">
        <v>13</v>
      </c>
      <c r="AH29" s="20">
        <f t="shared" si="2"/>
        <v>12</v>
      </c>
      <c r="AI29" s="19">
        <f t="shared" si="3"/>
        <v>11.5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3</v>
      </c>
      <c r="L30" s="105">
        <v>3</v>
      </c>
      <c r="M30" s="105">
        <v>6</v>
      </c>
      <c r="N30" s="105">
        <v>0</v>
      </c>
      <c r="O30" s="105">
        <v>0</v>
      </c>
      <c r="P30" s="105">
        <v>0</v>
      </c>
      <c r="Q30" s="105">
        <v>0</v>
      </c>
      <c r="R30" s="105">
        <v>6</v>
      </c>
      <c r="S30" s="105">
        <v>6</v>
      </c>
      <c r="T30" s="105">
        <v>6</v>
      </c>
      <c r="U30" s="105">
        <v>6</v>
      </c>
      <c r="V30" s="105">
        <v>10</v>
      </c>
      <c r="W30" s="105">
        <v>10</v>
      </c>
      <c r="X30" s="105">
        <v>10</v>
      </c>
      <c r="Y30" s="105">
        <v>10</v>
      </c>
      <c r="Z30" s="105">
        <v>10</v>
      </c>
      <c r="AA30" s="105">
        <v>10</v>
      </c>
      <c r="AB30" s="105">
        <v>10</v>
      </c>
      <c r="AC30" s="105">
        <v>10</v>
      </c>
      <c r="AD30" s="105">
        <v>10</v>
      </c>
      <c r="AE30" s="105">
        <v>10</v>
      </c>
      <c r="AF30" s="105">
        <v>0</v>
      </c>
      <c r="AG30" s="126">
        <v>12</v>
      </c>
      <c r="AH30" s="20">
        <f t="shared" si="2"/>
        <v>10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12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>
        <v>12</v>
      </c>
      <c r="AE31" s="105">
        <v>12</v>
      </c>
      <c r="AF31" s="105">
        <v>12</v>
      </c>
      <c r="AG31" s="126">
        <v>12</v>
      </c>
      <c r="AH31" s="20">
        <f t="shared" si="2"/>
        <v>12</v>
      </c>
      <c r="AI31" s="19">
        <f t="shared" si="3"/>
        <v>12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0</v>
      </c>
      <c r="C32" s="105">
        <v>0</v>
      </c>
      <c r="D32" s="105">
        <v>0</v>
      </c>
      <c r="E32" s="105">
        <v>0</v>
      </c>
      <c r="F32" s="105">
        <v>0</v>
      </c>
      <c r="G32" s="105">
        <v>0</v>
      </c>
      <c r="H32" s="105">
        <v>0</v>
      </c>
      <c r="I32" s="105">
        <v>0</v>
      </c>
      <c r="J32" s="105">
        <v>0</v>
      </c>
      <c r="K32" s="105">
        <v>0</v>
      </c>
      <c r="L32" s="105">
        <v>0</v>
      </c>
      <c r="M32" s="105">
        <v>0</v>
      </c>
      <c r="N32" s="105">
        <v>0</v>
      </c>
      <c r="O32" s="105">
        <v>0</v>
      </c>
      <c r="P32" s="105">
        <v>0</v>
      </c>
      <c r="Q32" s="105">
        <v>0</v>
      </c>
      <c r="R32" s="105">
        <v>0</v>
      </c>
      <c r="S32" s="105">
        <v>0</v>
      </c>
      <c r="T32" s="105">
        <v>0</v>
      </c>
      <c r="U32" s="105">
        <v>0</v>
      </c>
      <c r="V32" s="105">
        <v>0</v>
      </c>
      <c r="W32" s="105">
        <v>0</v>
      </c>
      <c r="X32" s="105">
        <v>0</v>
      </c>
      <c r="Y32" s="105">
        <v>0</v>
      </c>
      <c r="Z32" s="105">
        <v>0</v>
      </c>
      <c r="AA32" s="105">
        <v>0</v>
      </c>
      <c r="AB32" s="105">
        <v>0</v>
      </c>
      <c r="AC32" s="105">
        <v>0</v>
      </c>
      <c r="AD32" s="105">
        <v>0</v>
      </c>
      <c r="AE32" s="105">
        <v>0</v>
      </c>
      <c r="AF32" s="105">
        <v>0</v>
      </c>
      <c r="AG32" s="126">
        <v>12</v>
      </c>
      <c r="AH32" s="20">
        <f t="shared" si="2"/>
        <v>0</v>
      </c>
      <c r="AI32" s="19">
        <f t="shared" si="3"/>
        <v>0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8</v>
      </c>
      <c r="C33" s="105">
        <v>8</v>
      </c>
      <c r="D33" s="105">
        <v>8</v>
      </c>
      <c r="E33" s="105">
        <v>8</v>
      </c>
      <c r="F33" s="105">
        <v>8</v>
      </c>
      <c r="G33" s="105">
        <v>8</v>
      </c>
      <c r="H33" s="105">
        <v>8</v>
      </c>
      <c r="I33" s="105">
        <v>8</v>
      </c>
      <c r="J33" s="105">
        <v>8</v>
      </c>
      <c r="K33" s="105">
        <v>8</v>
      </c>
      <c r="L33" s="105">
        <v>8</v>
      </c>
      <c r="M33" s="105">
        <v>8</v>
      </c>
      <c r="N33" s="105">
        <v>8</v>
      </c>
      <c r="O33" s="105">
        <v>8</v>
      </c>
      <c r="P33" s="105">
        <v>0</v>
      </c>
      <c r="Q33" s="105">
        <v>0</v>
      </c>
      <c r="R33" s="105">
        <v>0</v>
      </c>
      <c r="S33" s="105">
        <v>0</v>
      </c>
      <c r="T33" s="105">
        <v>0</v>
      </c>
      <c r="U33" s="105">
        <v>0</v>
      </c>
      <c r="V33" s="105">
        <v>0</v>
      </c>
      <c r="W33" s="105">
        <v>0</v>
      </c>
      <c r="X33" s="105">
        <v>0</v>
      </c>
      <c r="Y33" s="105">
        <v>0</v>
      </c>
      <c r="Z33" s="105">
        <v>0</v>
      </c>
      <c r="AA33" s="105">
        <v>0</v>
      </c>
      <c r="AB33" s="105">
        <v>0</v>
      </c>
      <c r="AC33" s="105">
        <v>0</v>
      </c>
      <c r="AD33" s="105">
        <v>0</v>
      </c>
      <c r="AE33" s="105">
        <v>0</v>
      </c>
      <c r="AF33" s="105">
        <v>0</v>
      </c>
      <c r="AG33" s="125">
        <v>22</v>
      </c>
      <c r="AH33" s="20">
        <f t="shared" si="2"/>
        <v>8</v>
      </c>
      <c r="AI33" s="19">
        <f t="shared" si="3"/>
        <v>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12</v>
      </c>
      <c r="C34" s="105">
        <v>12</v>
      </c>
      <c r="D34" s="105">
        <v>12</v>
      </c>
      <c r="E34" s="105">
        <v>12</v>
      </c>
      <c r="F34" s="105">
        <v>12</v>
      </c>
      <c r="G34" s="105">
        <v>12</v>
      </c>
      <c r="H34" s="105">
        <v>12</v>
      </c>
      <c r="I34" s="105">
        <v>12</v>
      </c>
      <c r="J34" s="105">
        <v>12</v>
      </c>
      <c r="K34" s="105">
        <v>12</v>
      </c>
      <c r="L34" s="105">
        <v>12</v>
      </c>
      <c r="M34" s="105">
        <v>12</v>
      </c>
      <c r="N34" s="105">
        <v>12</v>
      </c>
      <c r="O34" s="105">
        <v>12</v>
      </c>
      <c r="P34" s="105">
        <v>12</v>
      </c>
      <c r="Q34" s="105">
        <v>12</v>
      </c>
      <c r="R34" s="105">
        <v>12</v>
      </c>
      <c r="S34" s="105">
        <v>12</v>
      </c>
      <c r="T34" s="105">
        <v>0</v>
      </c>
      <c r="U34" s="105">
        <v>12</v>
      </c>
      <c r="V34" s="105">
        <v>12</v>
      </c>
      <c r="W34" s="105">
        <v>12</v>
      </c>
      <c r="X34" s="105">
        <v>12</v>
      </c>
      <c r="Y34" s="105">
        <v>12</v>
      </c>
      <c r="Z34" s="105">
        <v>12</v>
      </c>
      <c r="AA34" s="105">
        <v>12</v>
      </c>
      <c r="AB34" s="105">
        <v>12</v>
      </c>
      <c r="AC34" s="105">
        <v>12</v>
      </c>
      <c r="AD34" s="105">
        <v>12</v>
      </c>
      <c r="AE34" s="105">
        <v>12</v>
      </c>
      <c r="AF34" s="105">
        <v>12</v>
      </c>
      <c r="AG34" s="96">
        <v>11.88</v>
      </c>
      <c r="AH34" s="20">
        <f t="shared" si="2"/>
        <v>12</v>
      </c>
      <c r="AI34" s="19">
        <f t="shared" si="3"/>
        <v>0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10</v>
      </c>
      <c r="C35" s="105">
        <v>10</v>
      </c>
      <c r="D35" s="105">
        <v>10</v>
      </c>
      <c r="E35" s="105">
        <v>10</v>
      </c>
      <c r="F35" s="105">
        <v>9</v>
      </c>
      <c r="G35" s="105">
        <v>9</v>
      </c>
      <c r="H35" s="105">
        <v>9</v>
      </c>
      <c r="I35" s="105">
        <v>9</v>
      </c>
      <c r="J35" s="105">
        <v>9</v>
      </c>
      <c r="K35" s="105">
        <v>9</v>
      </c>
      <c r="L35" s="105">
        <v>9</v>
      </c>
      <c r="M35" s="105">
        <v>9</v>
      </c>
      <c r="N35" s="105">
        <v>9</v>
      </c>
      <c r="O35" s="105">
        <v>9</v>
      </c>
      <c r="P35" s="105">
        <v>9</v>
      </c>
      <c r="Q35" s="105">
        <v>9</v>
      </c>
      <c r="R35" s="105">
        <v>9</v>
      </c>
      <c r="S35" s="105">
        <v>9</v>
      </c>
      <c r="T35" s="105">
        <v>9</v>
      </c>
      <c r="U35" s="105">
        <v>9</v>
      </c>
      <c r="V35" s="105">
        <v>9</v>
      </c>
      <c r="W35" s="105">
        <v>9</v>
      </c>
      <c r="X35" s="105">
        <v>9</v>
      </c>
      <c r="Y35" s="105">
        <v>9</v>
      </c>
      <c r="Z35" s="105">
        <v>9</v>
      </c>
      <c r="AA35" s="105">
        <v>9</v>
      </c>
      <c r="AB35" s="105">
        <v>9</v>
      </c>
      <c r="AC35" s="105">
        <v>9</v>
      </c>
      <c r="AD35" s="105">
        <v>9</v>
      </c>
      <c r="AE35" s="105">
        <v>9</v>
      </c>
      <c r="AF35" s="105">
        <v>10</v>
      </c>
      <c r="AG35" s="94">
        <v>11</v>
      </c>
      <c r="AH35" s="20">
        <f t="shared" si="2"/>
        <v>10</v>
      </c>
      <c r="AI35" s="19">
        <f t="shared" si="3"/>
        <v>9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>
        <v>9</v>
      </c>
      <c r="E36" s="105">
        <v>9</v>
      </c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>
        <v>9</v>
      </c>
      <c r="N36" s="105">
        <v>9</v>
      </c>
      <c r="O36" s="105">
        <v>9</v>
      </c>
      <c r="P36" s="105">
        <v>9</v>
      </c>
      <c r="Q36" s="105">
        <v>9</v>
      </c>
      <c r="R36" s="105">
        <v>9</v>
      </c>
      <c r="S36" s="105">
        <v>9</v>
      </c>
      <c r="T36" s="105">
        <v>9</v>
      </c>
      <c r="U36" s="105">
        <v>9</v>
      </c>
      <c r="V36" s="105">
        <v>9</v>
      </c>
      <c r="W36" s="105">
        <v>9</v>
      </c>
      <c r="X36" s="105">
        <v>9</v>
      </c>
      <c r="Y36" s="105">
        <v>9</v>
      </c>
      <c r="Z36" s="105">
        <v>9</v>
      </c>
      <c r="AA36" s="105">
        <v>9</v>
      </c>
      <c r="AB36" s="105">
        <v>9</v>
      </c>
      <c r="AC36" s="105">
        <v>9</v>
      </c>
      <c r="AD36" s="105">
        <v>9</v>
      </c>
      <c r="AE36" s="105">
        <v>9</v>
      </c>
      <c r="AF36" s="105">
        <v>9</v>
      </c>
      <c r="AG36" s="94">
        <v>10</v>
      </c>
      <c r="AH36" s="20">
        <f t="shared" si="2"/>
        <v>9</v>
      </c>
      <c r="AI36" s="19">
        <f t="shared" si="3"/>
        <v>9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2</v>
      </c>
      <c r="N37" s="105">
        <v>2</v>
      </c>
      <c r="O37" s="105">
        <v>2</v>
      </c>
      <c r="P37" s="105">
        <v>2</v>
      </c>
      <c r="Q37" s="105">
        <v>2</v>
      </c>
      <c r="R37" s="105">
        <v>2</v>
      </c>
      <c r="S37" s="105">
        <v>2</v>
      </c>
      <c r="T37" s="105">
        <v>2</v>
      </c>
      <c r="U37" s="105">
        <v>2</v>
      </c>
      <c r="V37" s="105">
        <v>2</v>
      </c>
      <c r="W37" s="105">
        <v>1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2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v>172.5</v>
      </c>
      <c r="C39" s="119">
        <f>86.9+77.3</f>
        <v>164.2</v>
      </c>
      <c r="D39" s="119"/>
      <c r="E39" s="119">
        <f>69.5+83.7</f>
        <v>153.19999999999999</v>
      </c>
      <c r="F39" s="119">
        <f>67.1+88.5</f>
        <v>155.6</v>
      </c>
      <c r="G39" s="119">
        <f>67.6+88.7</f>
        <v>156.30000000000001</v>
      </c>
      <c r="H39" s="119">
        <f>67+88.3</f>
        <v>155.30000000000001</v>
      </c>
      <c r="I39" s="119">
        <f>66.5+87.7</f>
        <v>154.19999999999999</v>
      </c>
      <c r="J39" s="119">
        <f>78.4+88.4</f>
        <v>166.8</v>
      </c>
      <c r="K39" s="119">
        <f>80.6+87.8</f>
        <v>168.39999999999998</v>
      </c>
      <c r="L39" s="113"/>
      <c r="M39" s="113">
        <f>91.8+80.6</f>
        <v>172.39999999999998</v>
      </c>
      <c r="N39" s="113">
        <f>93.3+80.6</f>
        <v>173.89999999999998</v>
      </c>
      <c r="O39" s="113">
        <f>92.9+82.7</f>
        <v>175.60000000000002</v>
      </c>
      <c r="P39" s="113">
        <f>80.8+83.2</f>
        <v>164</v>
      </c>
      <c r="Q39" s="113">
        <f>78.1+83.8</f>
        <v>161.89999999999998</v>
      </c>
      <c r="R39" s="113">
        <f>80.3+83.5</f>
        <v>163.80000000000001</v>
      </c>
      <c r="S39" s="113">
        <f>80.3+83.5</f>
        <v>163.80000000000001</v>
      </c>
      <c r="T39" s="119">
        <f>83.7+81.1</f>
        <v>164.8</v>
      </c>
      <c r="U39" s="119">
        <f>83.8+89.9</f>
        <v>173.7</v>
      </c>
      <c r="V39" s="119">
        <f>83.8+89.9</f>
        <v>173.7</v>
      </c>
      <c r="W39" s="119">
        <f>83.8+89.9</f>
        <v>173.7</v>
      </c>
      <c r="X39" s="119">
        <f>83.8+89.9</f>
        <v>173.7</v>
      </c>
      <c r="Y39" s="119">
        <f>83.8+89.9</f>
        <v>173.7</v>
      </c>
      <c r="Z39" s="119">
        <f>82.8+90.3</f>
        <v>173.1</v>
      </c>
      <c r="AA39" s="119">
        <f>83.4+90.6</f>
        <v>174</v>
      </c>
      <c r="AB39" s="119">
        <f>83.6+91.1</f>
        <v>174.7</v>
      </c>
      <c r="AC39" s="119">
        <f>83.7+91.8</f>
        <v>175.5</v>
      </c>
      <c r="AD39" s="119">
        <f>83.7+91.8</f>
        <v>175.5</v>
      </c>
      <c r="AE39" s="119">
        <v>170</v>
      </c>
      <c r="AF39" s="119">
        <v>167</v>
      </c>
      <c r="AG39" s="94">
        <v>240</v>
      </c>
      <c r="AH39" s="20">
        <f t="shared" si="2"/>
        <v>175.60000000000002</v>
      </c>
      <c r="AI39" s="19">
        <f t="shared" si="3"/>
        <v>153.19999999999999</v>
      </c>
      <c r="AK39" s="41"/>
    </row>
    <row r="40" spans="1:88" ht="15.75" thickBot="1" x14ac:dyDescent="0.3">
      <c r="A40" s="118" t="s">
        <v>195</v>
      </c>
      <c r="B40" s="86">
        <f t="shared" ref="B40:AG40" si="4">SUM(B11:B38)</f>
        <v>743.8</v>
      </c>
      <c r="C40" s="86">
        <f t="shared" si="4"/>
        <v>731.8</v>
      </c>
      <c r="D40" s="86">
        <f t="shared" si="4"/>
        <v>715</v>
      </c>
      <c r="E40" s="86">
        <f t="shared" si="4"/>
        <v>713</v>
      </c>
      <c r="F40" s="86">
        <f t="shared" si="4"/>
        <v>713</v>
      </c>
      <c r="G40" s="86">
        <f t="shared" si="4"/>
        <v>713</v>
      </c>
      <c r="H40" s="86">
        <f t="shared" si="4"/>
        <v>713</v>
      </c>
      <c r="I40" s="86">
        <f t="shared" si="4"/>
        <v>702.8</v>
      </c>
      <c r="J40" s="86">
        <f t="shared" si="4"/>
        <v>742.3</v>
      </c>
      <c r="K40" s="86">
        <f t="shared" si="4"/>
        <v>773.2</v>
      </c>
      <c r="L40" s="86">
        <f t="shared" si="4"/>
        <v>773.2</v>
      </c>
      <c r="M40" s="86">
        <f t="shared" si="4"/>
        <v>797.2</v>
      </c>
      <c r="N40" s="86">
        <f t="shared" si="4"/>
        <v>771.5</v>
      </c>
      <c r="O40" s="86">
        <f t="shared" si="4"/>
        <v>772.3</v>
      </c>
      <c r="P40" s="86">
        <f t="shared" si="4"/>
        <v>751.09999999999991</v>
      </c>
      <c r="Q40" s="86">
        <f t="shared" si="4"/>
        <v>785.09999999999991</v>
      </c>
      <c r="R40" s="86">
        <f t="shared" si="4"/>
        <v>791.09999999999991</v>
      </c>
      <c r="S40" s="86">
        <f t="shared" si="4"/>
        <v>769.2</v>
      </c>
      <c r="T40" s="86">
        <f t="shared" si="4"/>
        <v>780.9</v>
      </c>
      <c r="U40" s="86">
        <f t="shared" si="4"/>
        <v>792.90000000000009</v>
      </c>
      <c r="V40" s="86">
        <f t="shared" si="4"/>
        <v>816.1</v>
      </c>
      <c r="W40" s="86">
        <f t="shared" si="4"/>
        <v>820.1</v>
      </c>
      <c r="X40" s="86">
        <f t="shared" si="4"/>
        <v>834.1</v>
      </c>
      <c r="Y40" s="86">
        <f t="shared" si="4"/>
        <v>824.1</v>
      </c>
      <c r="Z40" s="86">
        <f t="shared" si="4"/>
        <v>841.1</v>
      </c>
      <c r="AA40" s="86">
        <f t="shared" si="4"/>
        <v>841.1</v>
      </c>
      <c r="AB40" s="86">
        <f t="shared" si="4"/>
        <v>842.9</v>
      </c>
      <c r="AC40" s="86">
        <f t="shared" si="4"/>
        <v>842.9</v>
      </c>
      <c r="AD40" s="86">
        <f t="shared" si="4"/>
        <v>837.9</v>
      </c>
      <c r="AE40" s="86">
        <f t="shared" si="4"/>
        <v>801.40000000000009</v>
      </c>
      <c r="AF40" s="86">
        <f t="shared" si="4"/>
        <v>701.2</v>
      </c>
      <c r="AG40" s="101">
        <f t="shared" si="4"/>
        <v>707.78000000000009</v>
      </c>
      <c r="AH40" s="20">
        <f t="shared" si="2"/>
        <v>842.9</v>
      </c>
      <c r="AI40" s="19">
        <f t="shared" si="3"/>
        <v>701.2</v>
      </c>
      <c r="AK40" s="41"/>
    </row>
    <row r="41" spans="1:88" x14ac:dyDescent="0.25">
      <c r="A41" s="117" t="s">
        <v>194</v>
      </c>
      <c r="B41" s="105">
        <v>420</v>
      </c>
      <c r="C41" s="105">
        <v>420</v>
      </c>
      <c r="D41" s="105">
        <v>456</v>
      </c>
      <c r="E41" s="105">
        <v>456</v>
      </c>
      <c r="F41" s="105">
        <v>456</v>
      </c>
      <c r="G41" s="105">
        <v>425</v>
      </c>
      <c r="H41" s="105">
        <v>456</v>
      </c>
      <c r="I41" s="105">
        <v>456</v>
      </c>
      <c r="J41" s="105">
        <v>456</v>
      </c>
      <c r="K41" s="105">
        <v>456</v>
      </c>
      <c r="L41" s="105">
        <v>456</v>
      </c>
      <c r="M41" s="105">
        <v>456</v>
      </c>
      <c r="N41" s="105">
        <v>456</v>
      </c>
      <c r="O41" s="105">
        <v>456</v>
      </c>
      <c r="P41" s="105">
        <v>456</v>
      </c>
      <c r="Q41" s="105">
        <v>456</v>
      </c>
      <c r="R41" s="105">
        <v>456</v>
      </c>
      <c r="S41" s="105">
        <v>456</v>
      </c>
      <c r="T41" s="105">
        <v>456</v>
      </c>
      <c r="U41" s="105">
        <v>456</v>
      </c>
      <c r="V41" s="105">
        <v>380</v>
      </c>
      <c r="W41" s="105">
        <v>380</v>
      </c>
      <c r="X41" s="105">
        <v>380</v>
      </c>
      <c r="Y41" s="105">
        <v>380</v>
      </c>
      <c r="Z41" s="105">
        <v>380</v>
      </c>
      <c r="AA41" s="105">
        <v>380</v>
      </c>
      <c r="AB41" s="105">
        <v>380</v>
      </c>
      <c r="AC41" s="105">
        <v>380</v>
      </c>
      <c r="AD41" s="105">
        <v>380</v>
      </c>
      <c r="AE41" s="105">
        <v>380</v>
      </c>
      <c r="AF41" s="105">
        <v>456</v>
      </c>
      <c r="AG41" s="96">
        <v>456</v>
      </c>
      <c r="AH41" s="20">
        <f t="shared" si="2"/>
        <v>456</v>
      </c>
      <c r="AI41" s="19">
        <f t="shared" si="3"/>
        <v>380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>
        <v>60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>
        <v>22</v>
      </c>
      <c r="S43" s="107">
        <v>22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>
        <v>22</v>
      </c>
      <c r="AG43" s="106">
        <v>22.1</v>
      </c>
      <c r="AH43" s="20">
        <f t="shared" si="2"/>
        <v>22</v>
      </c>
      <c r="AI43" s="19">
        <f t="shared" si="3"/>
        <v>22</v>
      </c>
      <c r="AK43" s="41"/>
    </row>
    <row r="44" spans="1:88" ht="15.75" thickBot="1" x14ac:dyDescent="0.3">
      <c r="A44" s="114" t="s">
        <v>191</v>
      </c>
      <c r="B44" s="86">
        <f t="shared" ref="B44:AG44" si="5">SUM(B41:B43)</f>
        <v>502</v>
      </c>
      <c r="C44" s="86">
        <f t="shared" si="5"/>
        <v>502</v>
      </c>
      <c r="D44" s="86">
        <f t="shared" si="5"/>
        <v>538</v>
      </c>
      <c r="E44" s="86">
        <f t="shared" si="5"/>
        <v>538</v>
      </c>
      <c r="F44" s="86">
        <f t="shared" si="5"/>
        <v>538</v>
      </c>
      <c r="G44" s="86">
        <f t="shared" si="5"/>
        <v>507</v>
      </c>
      <c r="H44" s="86">
        <f t="shared" si="5"/>
        <v>538</v>
      </c>
      <c r="I44" s="86">
        <f t="shared" si="5"/>
        <v>538</v>
      </c>
      <c r="J44" s="86">
        <f t="shared" si="5"/>
        <v>538</v>
      </c>
      <c r="K44" s="86">
        <f t="shared" si="5"/>
        <v>538</v>
      </c>
      <c r="L44" s="86">
        <f t="shared" si="5"/>
        <v>538</v>
      </c>
      <c r="M44" s="86">
        <f t="shared" si="5"/>
        <v>538</v>
      </c>
      <c r="N44" s="86">
        <f t="shared" si="5"/>
        <v>538</v>
      </c>
      <c r="O44" s="86">
        <f t="shared" si="5"/>
        <v>538</v>
      </c>
      <c r="P44" s="86">
        <f t="shared" si="5"/>
        <v>538</v>
      </c>
      <c r="Q44" s="86">
        <f t="shared" si="5"/>
        <v>538</v>
      </c>
      <c r="R44" s="86">
        <f t="shared" si="5"/>
        <v>538</v>
      </c>
      <c r="S44" s="86">
        <f t="shared" si="5"/>
        <v>538</v>
      </c>
      <c r="T44" s="86">
        <f t="shared" si="5"/>
        <v>538</v>
      </c>
      <c r="U44" s="86">
        <f t="shared" si="5"/>
        <v>538</v>
      </c>
      <c r="V44" s="86">
        <f t="shared" si="5"/>
        <v>462</v>
      </c>
      <c r="W44" s="86">
        <f t="shared" si="5"/>
        <v>462</v>
      </c>
      <c r="X44" s="86">
        <f t="shared" si="5"/>
        <v>462</v>
      </c>
      <c r="Y44" s="86">
        <f t="shared" si="5"/>
        <v>462</v>
      </c>
      <c r="Z44" s="86">
        <f t="shared" si="5"/>
        <v>462</v>
      </c>
      <c r="AA44" s="86">
        <f t="shared" si="5"/>
        <v>462</v>
      </c>
      <c r="AB44" s="86">
        <f t="shared" si="5"/>
        <v>462</v>
      </c>
      <c r="AC44" s="86">
        <f t="shared" si="5"/>
        <v>462</v>
      </c>
      <c r="AD44" s="86">
        <f t="shared" si="5"/>
        <v>462</v>
      </c>
      <c r="AE44" s="86">
        <f t="shared" si="5"/>
        <v>462</v>
      </c>
      <c r="AF44" s="86">
        <f t="shared" si="5"/>
        <v>538</v>
      </c>
      <c r="AG44" s="101">
        <f t="shared" si="5"/>
        <v>538.1</v>
      </c>
      <c r="AH44" s="20">
        <f t="shared" si="2"/>
        <v>538</v>
      </c>
      <c r="AI44" s="19">
        <f t="shared" si="3"/>
        <v>462</v>
      </c>
      <c r="AK44" s="41"/>
    </row>
    <row r="45" spans="1:88" x14ac:dyDescent="0.25">
      <c r="A45" s="97" t="s">
        <v>190</v>
      </c>
      <c r="B45" s="105">
        <v>92</v>
      </c>
      <c r="C45" s="105">
        <v>92</v>
      </c>
      <c r="D45" s="105">
        <v>92</v>
      </c>
      <c r="E45" s="105">
        <v>91</v>
      </c>
      <c r="F45" s="105">
        <v>91</v>
      </c>
      <c r="G45" s="105">
        <v>91</v>
      </c>
      <c r="H45" s="105">
        <v>91</v>
      </c>
      <c r="I45" s="105">
        <v>91</v>
      </c>
      <c r="J45" s="105">
        <v>91</v>
      </c>
      <c r="K45" s="105">
        <v>91</v>
      </c>
      <c r="L45" s="105">
        <v>91</v>
      </c>
      <c r="M45" s="105">
        <v>91</v>
      </c>
      <c r="N45" s="105">
        <v>91</v>
      </c>
      <c r="O45" s="105">
        <v>92.1</v>
      </c>
      <c r="P45" s="105">
        <v>92.1</v>
      </c>
      <c r="Q45" s="105">
        <v>92.1</v>
      </c>
      <c r="R45" s="105">
        <v>92.1</v>
      </c>
      <c r="S45" s="105">
        <v>92.1</v>
      </c>
      <c r="T45" s="105">
        <v>92.1</v>
      </c>
      <c r="U45" s="105">
        <v>92.1</v>
      </c>
      <c r="V45" s="105">
        <v>92</v>
      </c>
      <c r="W45" s="105">
        <v>92.2</v>
      </c>
      <c r="X45" s="105">
        <v>92.2</v>
      </c>
      <c r="Y45" s="105">
        <v>92.2</v>
      </c>
      <c r="Z45" s="105">
        <v>92.1</v>
      </c>
      <c r="AA45" s="105">
        <v>92.1</v>
      </c>
      <c r="AB45" s="105">
        <v>92.1</v>
      </c>
      <c r="AC45" s="105">
        <v>92.1</v>
      </c>
      <c r="AD45" s="105">
        <v>92.1</v>
      </c>
      <c r="AE45" s="105">
        <v>92.1</v>
      </c>
      <c r="AF45" s="105">
        <v>92</v>
      </c>
      <c r="AG45" s="96">
        <v>144</v>
      </c>
      <c r="AH45" s="20">
        <f t="shared" si="2"/>
        <v>92.2</v>
      </c>
      <c r="AI45" s="19">
        <f t="shared" si="3"/>
        <v>91</v>
      </c>
      <c r="AK45" s="41"/>
    </row>
    <row r="46" spans="1:88" x14ac:dyDescent="0.25">
      <c r="A46" s="95" t="s">
        <v>189</v>
      </c>
      <c r="B46" s="80">
        <v>70</v>
      </c>
      <c r="C46" s="80">
        <v>70</v>
      </c>
      <c r="D46" s="80">
        <v>70</v>
      </c>
      <c r="E46" s="80">
        <v>70.900000000000006</v>
      </c>
      <c r="F46" s="80">
        <v>70.900000000000006</v>
      </c>
      <c r="G46" s="80">
        <v>70.900000000000006</v>
      </c>
      <c r="H46" s="80">
        <v>70.900000000000006</v>
      </c>
      <c r="I46" s="80">
        <v>70.900000000000006</v>
      </c>
      <c r="J46" s="80">
        <v>70.900000000000006</v>
      </c>
      <c r="K46" s="80">
        <v>70.900000000000006</v>
      </c>
      <c r="L46" s="80">
        <v>70</v>
      </c>
      <c r="M46" s="80">
        <v>71.599999999999994</v>
      </c>
      <c r="N46" s="80">
        <v>71.599999999999994</v>
      </c>
      <c r="O46" s="105">
        <v>70.400000000000006</v>
      </c>
      <c r="P46" s="105">
        <v>70.400000000000006</v>
      </c>
      <c r="Q46" s="105">
        <v>70.400000000000006</v>
      </c>
      <c r="R46" s="105">
        <v>70.400000000000006</v>
      </c>
      <c r="S46" s="105">
        <v>70.400000000000006</v>
      </c>
      <c r="T46" s="105">
        <v>70.400000000000006</v>
      </c>
      <c r="U46" s="105">
        <v>70.400000000000006</v>
      </c>
      <c r="V46" s="80">
        <v>73</v>
      </c>
      <c r="W46" s="80">
        <v>73.099999999999994</v>
      </c>
      <c r="X46" s="80">
        <v>73.099999999999994</v>
      </c>
      <c r="Y46" s="80">
        <v>73.099999999999994</v>
      </c>
      <c r="Z46" s="80">
        <v>73.2</v>
      </c>
      <c r="AA46" s="80">
        <v>73.2</v>
      </c>
      <c r="AB46" s="80">
        <v>73.2</v>
      </c>
      <c r="AC46" s="80">
        <v>73.2</v>
      </c>
      <c r="AD46" s="80">
        <v>73.2</v>
      </c>
      <c r="AE46" s="80">
        <v>70.900000000000006</v>
      </c>
      <c r="AF46" s="80">
        <v>59.6</v>
      </c>
      <c r="AG46" s="94">
        <v>70</v>
      </c>
      <c r="AH46" s="20">
        <f t="shared" si="2"/>
        <v>73.2</v>
      </c>
      <c r="AI46" s="19">
        <f t="shared" si="3"/>
        <v>59.6</v>
      </c>
      <c r="AK46" s="41"/>
    </row>
    <row r="47" spans="1:88" x14ac:dyDescent="0.25">
      <c r="A47" s="95" t="s">
        <v>188</v>
      </c>
      <c r="B47" s="80">
        <v>41.5</v>
      </c>
      <c r="C47" s="80">
        <v>41.5</v>
      </c>
      <c r="D47" s="80">
        <v>41.5</v>
      </c>
      <c r="E47" s="80">
        <v>34</v>
      </c>
      <c r="F47" s="80">
        <v>40.200000000000003</v>
      </c>
      <c r="G47" s="80">
        <v>40.200000000000003</v>
      </c>
      <c r="H47" s="80">
        <v>40.200000000000003</v>
      </c>
      <c r="I47" s="80">
        <v>40.200000000000003</v>
      </c>
      <c r="J47" s="80">
        <v>40.200000000000003</v>
      </c>
      <c r="K47" s="80">
        <v>40.200000000000003</v>
      </c>
      <c r="L47" s="80">
        <v>40.200000000000003</v>
      </c>
      <c r="M47" s="80">
        <v>41.2</v>
      </c>
      <c r="N47" s="80">
        <v>41.2</v>
      </c>
      <c r="O47" s="105">
        <v>41.5</v>
      </c>
      <c r="P47" s="105">
        <v>41.5</v>
      </c>
      <c r="Q47" s="105">
        <v>41.5</v>
      </c>
      <c r="R47" s="105">
        <v>41.5</v>
      </c>
      <c r="S47" s="105">
        <v>41.5</v>
      </c>
      <c r="T47" s="105">
        <v>41.5</v>
      </c>
      <c r="U47" s="105">
        <v>41.5</v>
      </c>
      <c r="V47" s="80">
        <v>41.6</v>
      </c>
      <c r="W47" s="80">
        <v>41</v>
      </c>
      <c r="X47" s="80">
        <v>41</v>
      </c>
      <c r="Y47" s="80">
        <v>41</v>
      </c>
      <c r="Z47" s="80">
        <v>41</v>
      </c>
      <c r="AA47" s="80">
        <v>41</v>
      </c>
      <c r="AB47" s="80">
        <v>41</v>
      </c>
      <c r="AC47" s="80">
        <v>41</v>
      </c>
      <c r="AD47" s="80">
        <v>41</v>
      </c>
      <c r="AE47" s="80">
        <v>41</v>
      </c>
      <c r="AF47" s="80">
        <v>41</v>
      </c>
      <c r="AG47" s="94">
        <v>69</v>
      </c>
      <c r="AH47" s="20">
        <f t="shared" si="2"/>
        <v>41.6</v>
      </c>
      <c r="AI47" s="19">
        <f t="shared" si="3"/>
        <v>34</v>
      </c>
      <c r="AK47" s="41"/>
    </row>
    <row r="48" spans="1:88" x14ac:dyDescent="0.25">
      <c r="A48" s="95" t="s">
        <v>187</v>
      </c>
      <c r="B48" s="113">
        <v>60.4</v>
      </c>
      <c r="C48" s="113">
        <v>60.4</v>
      </c>
      <c r="D48" s="113">
        <v>60.4</v>
      </c>
      <c r="E48" s="113">
        <v>60.4</v>
      </c>
      <c r="F48" s="113">
        <v>60.4</v>
      </c>
      <c r="G48" s="113">
        <v>60.4</v>
      </c>
      <c r="H48" s="113">
        <v>45</v>
      </c>
      <c r="I48" s="113">
        <v>61.2</v>
      </c>
      <c r="J48" s="113">
        <v>61.2</v>
      </c>
      <c r="K48" s="113">
        <v>61.2</v>
      </c>
      <c r="L48" s="113">
        <v>61.2</v>
      </c>
      <c r="M48" s="113">
        <v>61.2</v>
      </c>
      <c r="N48" s="113">
        <v>61.2</v>
      </c>
      <c r="O48" s="105">
        <v>61.2</v>
      </c>
      <c r="P48" s="105">
        <v>61.2</v>
      </c>
      <c r="Q48" s="105">
        <v>61.2</v>
      </c>
      <c r="R48" s="105">
        <v>61.2</v>
      </c>
      <c r="S48" s="105">
        <v>61.2</v>
      </c>
      <c r="T48" s="105">
        <v>61.2</v>
      </c>
      <c r="U48" s="105">
        <v>61.2</v>
      </c>
      <c r="V48" s="80">
        <v>61</v>
      </c>
      <c r="W48" s="80">
        <v>61</v>
      </c>
      <c r="X48" s="80">
        <v>61</v>
      </c>
      <c r="Y48" s="80">
        <v>61</v>
      </c>
      <c r="Z48" s="80">
        <v>61.2</v>
      </c>
      <c r="AA48" s="80">
        <v>61.2</v>
      </c>
      <c r="AB48" s="80">
        <v>61.2</v>
      </c>
      <c r="AC48" s="80">
        <v>61.2</v>
      </c>
      <c r="AD48" s="80">
        <v>61.2</v>
      </c>
      <c r="AE48" s="113">
        <v>60.7</v>
      </c>
      <c r="AF48" s="113">
        <v>50</v>
      </c>
      <c r="AG48" s="94">
        <v>60</v>
      </c>
      <c r="AH48" s="20">
        <f t="shared" si="2"/>
        <v>61.2</v>
      </c>
      <c r="AI48" s="19">
        <f t="shared" si="3"/>
        <v>45</v>
      </c>
      <c r="AK48" s="41"/>
    </row>
    <row r="49" spans="1:41" x14ac:dyDescent="0.25">
      <c r="A49" s="95" t="s">
        <v>186</v>
      </c>
      <c r="B49" s="113">
        <v>0</v>
      </c>
      <c r="C49" s="113">
        <v>0</v>
      </c>
      <c r="D49" s="113">
        <v>0</v>
      </c>
      <c r="E49" s="113">
        <v>0</v>
      </c>
      <c r="F49" s="113">
        <v>0</v>
      </c>
      <c r="G49" s="113">
        <v>0</v>
      </c>
      <c r="H49" s="113">
        <v>0</v>
      </c>
      <c r="I49" s="113">
        <v>0</v>
      </c>
      <c r="J49" s="113">
        <v>0</v>
      </c>
      <c r="K49" s="113">
        <v>0</v>
      </c>
      <c r="L49" s="113">
        <v>0</v>
      </c>
      <c r="M49" s="113">
        <v>0</v>
      </c>
      <c r="N49" s="113">
        <v>0</v>
      </c>
      <c r="O49" s="113">
        <v>0</v>
      </c>
      <c r="P49" s="113">
        <v>0</v>
      </c>
      <c r="Q49" s="113">
        <v>0</v>
      </c>
      <c r="R49" s="113">
        <v>0</v>
      </c>
      <c r="S49" s="113">
        <v>0</v>
      </c>
      <c r="T49" s="113">
        <v>0</v>
      </c>
      <c r="U49" s="113">
        <v>0</v>
      </c>
      <c r="V49" s="80">
        <v>0</v>
      </c>
      <c r="W49" s="80">
        <v>0</v>
      </c>
      <c r="X49" s="80">
        <v>0</v>
      </c>
      <c r="Y49" s="80">
        <v>0</v>
      </c>
      <c r="Z49" s="80">
        <v>0</v>
      </c>
      <c r="AA49" s="80">
        <v>0</v>
      </c>
      <c r="AB49" s="80">
        <v>0</v>
      </c>
      <c r="AC49" s="80">
        <v>0</v>
      </c>
      <c r="AD49" s="80">
        <v>0</v>
      </c>
      <c r="AE49" s="80">
        <v>0</v>
      </c>
      <c r="AF49" s="80">
        <v>0</v>
      </c>
      <c r="AG49" s="94">
        <v>30</v>
      </c>
      <c r="AH49" s="20">
        <f t="shared" si="2"/>
        <v>0</v>
      </c>
      <c r="AI49" s="19">
        <f t="shared" si="3"/>
        <v>0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10</v>
      </c>
      <c r="N50" s="80">
        <v>12</v>
      </c>
      <c r="O50" s="80">
        <v>14</v>
      </c>
      <c r="P50" s="80">
        <v>16</v>
      </c>
      <c r="Q50" s="80">
        <v>12</v>
      </c>
      <c r="R50" s="80">
        <v>12</v>
      </c>
      <c r="S50" s="80">
        <v>12</v>
      </c>
      <c r="T50" s="80">
        <v>12</v>
      </c>
      <c r="U50" s="80">
        <v>8</v>
      </c>
      <c r="V50" s="105">
        <v>3.5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105">
        <v>0</v>
      </c>
      <c r="AE50" s="105">
        <v>0</v>
      </c>
      <c r="AF50" s="105">
        <v>0</v>
      </c>
      <c r="AG50" s="94">
        <v>25</v>
      </c>
      <c r="AH50" s="20">
        <f t="shared" si="2"/>
        <v>16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0</v>
      </c>
      <c r="C51" s="80">
        <v>0</v>
      </c>
      <c r="D51" s="80">
        <v>0</v>
      </c>
      <c r="E51" s="80">
        <v>0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>
        <v>0</v>
      </c>
      <c r="L51" s="80">
        <v>0</v>
      </c>
      <c r="M51" s="80">
        <v>0</v>
      </c>
      <c r="N51" s="80">
        <v>0</v>
      </c>
      <c r="O51" s="80">
        <v>0</v>
      </c>
      <c r="P51" s="80">
        <v>0</v>
      </c>
      <c r="Q51" s="80">
        <v>0</v>
      </c>
      <c r="R51" s="80">
        <v>0</v>
      </c>
      <c r="S51" s="80">
        <v>0</v>
      </c>
      <c r="T51" s="80">
        <v>0</v>
      </c>
      <c r="U51" s="80">
        <v>0</v>
      </c>
      <c r="V51" s="80">
        <v>0</v>
      </c>
      <c r="W51" s="80">
        <v>0</v>
      </c>
      <c r="X51" s="80">
        <v>0</v>
      </c>
      <c r="Y51" s="80">
        <v>0</v>
      </c>
      <c r="Z51" s="80">
        <v>0</v>
      </c>
      <c r="AA51" s="80">
        <v>0</v>
      </c>
      <c r="AB51" s="80">
        <v>0</v>
      </c>
      <c r="AC51" s="80">
        <v>0</v>
      </c>
      <c r="AD51" s="80">
        <v>0</v>
      </c>
      <c r="AE51" s="80">
        <v>0</v>
      </c>
      <c r="AF51" s="80">
        <v>0</v>
      </c>
      <c r="AG51" s="94">
        <v>24</v>
      </c>
      <c r="AH51" s="20">
        <f t="shared" si="2"/>
        <v>0</v>
      </c>
      <c r="AI51" s="19">
        <f t="shared" si="3"/>
        <v>0</v>
      </c>
      <c r="AK51" s="41"/>
    </row>
    <row r="52" spans="1:41" x14ac:dyDescent="0.25">
      <c r="A52" s="95" t="s">
        <v>183</v>
      </c>
      <c r="B52" s="80">
        <v>2.5</v>
      </c>
      <c r="C52" s="80">
        <v>2.5</v>
      </c>
      <c r="D52" s="80">
        <v>2.5</v>
      </c>
      <c r="E52" s="80">
        <v>2.5</v>
      </c>
      <c r="F52" s="80">
        <v>2.5</v>
      </c>
      <c r="G52" s="80">
        <v>2.5</v>
      </c>
      <c r="H52" s="80">
        <v>2.5</v>
      </c>
      <c r="I52" s="80">
        <v>2.5</v>
      </c>
      <c r="J52" s="80">
        <v>2.5</v>
      </c>
      <c r="K52" s="80">
        <v>2.5</v>
      </c>
      <c r="L52" s="80">
        <v>2.5</v>
      </c>
      <c r="M52" s="80">
        <v>2.5</v>
      </c>
      <c r="N52" s="80">
        <v>2.5</v>
      </c>
      <c r="O52" s="80">
        <v>2.5</v>
      </c>
      <c r="P52" s="80">
        <v>2.5</v>
      </c>
      <c r="Q52" s="80">
        <v>2.5</v>
      </c>
      <c r="R52" s="80">
        <v>2.5</v>
      </c>
      <c r="S52" s="80">
        <v>2.5</v>
      </c>
      <c r="T52" s="80">
        <v>2.5</v>
      </c>
      <c r="U52" s="80">
        <v>2.5</v>
      </c>
      <c r="V52" s="80">
        <v>2.5</v>
      </c>
      <c r="W52" s="80">
        <v>2.5</v>
      </c>
      <c r="X52" s="80">
        <v>2.5</v>
      </c>
      <c r="Y52" s="80">
        <v>2.5</v>
      </c>
      <c r="Z52" s="80">
        <v>2.5</v>
      </c>
      <c r="AA52" s="80">
        <v>2.5</v>
      </c>
      <c r="AB52" s="80">
        <v>2.5</v>
      </c>
      <c r="AC52" s="80">
        <v>2.5</v>
      </c>
      <c r="AD52" s="80">
        <v>2.5</v>
      </c>
      <c r="AE52" s="80">
        <v>2.5</v>
      </c>
      <c r="AF52" s="80">
        <v>2.5</v>
      </c>
      <c r="AG52" s="94">
        <v>15</v>
      </c>
      <c r="AH52" s="20">
        <f t="shared" si="2"/>
        <v>2.5</v>
      </c>
      <c r="AI52" s="19">
        <f t="shared" si="3"/>
        <v>2.5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0</v>
      </c>
      <c r="C53" s="80">
        <v>0</v>
      </c>
      <c r="D53" s="80">
        <v>0</v>
      </c>
      <c r="E53" s="80">
        <v>0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>
        <v>0</v>
      </c>
      <c r="L53" s="80">
        <v>0</v>
      </c>
      <c r="M53" s="80">
        <v>0</v>
      </c>
      <c r="N53" s="80">
        <v>0</v>
      </c>
      <c r="O53" s="80">
        <v>0</v>
      </c>
      <c r="P53" s="80">
        <v>0</v>
      </c>
      <c r="Q53" s="80">
        <v>0</v>
      </c>
      <c r="R53" s="80">
        <v>0</v>
      </c>
      <c r="S53" s="80">
        <v>0</v>
      </c>
      <c r="T53" s="80">
        <v>0</v>
      </c>
      <c r="U53" s="80">
        <v>0</v>
      </c>
      <c r="V53" s="80">
        <v>0</v>
      </c>
      <c r="W53" s="80">
        <v>0</v>
      </c>
      <c r="X53" s="80">
        <v>0</v>
      </c>
      <c r="Y53" s="80">
        <v>0</v>
      </c>
      <c r="Z53" s="80">
        <v>0</v>
      </c>
      <c r="AA53" s="80">
        <v>0</v>
      </c>
      <c r="AB53" s="80">
        <v>0</v>
      </c>
      <c r="AC53" s="80">
        <v>0</v>
      </c>
      <c r="AD53" s="80">
        <v>0</v>
      </c>
      <c r="AE53" s="80">
        <v>0</v>
      </c>
      <c r="AF53" s="80">
        <v>0</v>
      </c>
      <c r="AG53" s="94">
        <v>14.1</v>
      </c>
      <c r="AH53" s="20">
        <f t="shared" si="2"/>
        <v>0</v>
      </c>
      <c r="AI53" s="19">
        <f t="shared" si="3"/>
        <v>0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7</v>
      </c>
      <c r="C54" s="80">
        <v>7</v>
      </c>
      <c r="D54" s="80">
        <v>7</v>
      </c>
      <c r="E54" s="80">
        <v>7</v>
      </c>
      <c r="F54" s="80">
        <v>7</v>
      </c>
      <c r="G54" s="80">
        <v>7</v>
      </c>
      <c r="H54" s="80">
        <v>7</v>
      </c>
      <c r="I54" s="80">
        <v>7</v>
      </c>
      <c r="J54" s="80">
        <v>7</v>
      </c>
      <c r="K54" s="80">
        <v>7</v>
      </c>
      <c r="L54" s="80">
        <v>7</v>
      </c>
      <c r="M54" s="80">
        <v>7</v>
      </c>
      <c r="N54" s="80">
        <v>7</v>
      </c>
      <c r="O54" s="80">
        <v>7</v>
      </c>
      <c r="P54" s="80">
        <v>7</v>
      </c>
      <c r="Q54" s="80">
        <v>7</v>
      </c>
      <c r="R54" s="80">
        <v>7</v>
      </c>
      <c r="S54" s="80">
        <v>7</v>
      </c>
      <c r="T54" s="80">
        <v>7</v>
      </c>
      <c r="U54" s="80">
        <v>7</v>
      </c>
      <c r="V54" s="80">
        <v>7</v>
      </c>
      <c r="W54" s="80">
        <v>7</v>
      </c>
      <c r="X54" s="80">
        <v>7</v>
      </c>
      <c r="Y54" s="80">
        <v>7</v>
      </c>
      <c r="Z54" s="80">
        <v>7</v>
      </c>
      <c r="AA54" s="80">
        <v>7</v>
      </c>
      <c r="AB54" s="80">
        <v>7</v>
      </c>
      <c r="AC54" s="80">
        <v>14</v>
      </c>
      <c r="AD54" s="80">
        <v>14</v>
      </c>
      <c r="AE54" s="80">
        <v>14</v>
      </c>
      <c r="AF54" s="80">
        <v>14</v>
      </c>
      <c r="AG54" s="94">
        <v>14</v>
      </c>
      <c r="AH54" s="20">
        <f t="shared" si="2"/>
        <v>14</v>
      </c>
      <c r="AI54" s="19">
        <f t="shared" si="3"/>
        <v>7</v>
      </c>
      <c r="AK54" s="41"/>
    </row>
    <row r="55" spans="1:41" x14ac:dyDescent="0.25">
      <c r="A55" s="95" t="s">
        <v>180</v>
      </c>
      <c r="B55" s="80">
        <v>6.7</v>
      </c>
      <c r="C55" s="80">
        <v>6.7</v>
      </c>
      <c r="D55" s="80">
        <v>6.7</v>
      </c>
      <c r="E55" s="80">
        <v>6.7</v>
      </c>
      <c r="F55" s="80">
        <v>6.7</v>
      </c>
      <c r="G55" s="80">
        <v>6.7</v>
      </c>
      <c r="H55" s="80">
        <v>6.7</v>
      </c>
      <c r="I55" s="80">
        <v>6.7</v>
      </c>
      <c r="J55" s="80">
        <v>6.7</v>
      </c>
      <c r="K55" s="80">
        <v>6.7</v>
      </c>
      <c r="L55" s="80">
        <v>6.7</v>
      </c>
      <c r="M55" s="80">
        <v>0</v>
      </c>
      <c r="N55" s="80">
        <v>6.7</v>
      </c>
      <c r="O55" s="80">
        <v>6.7</v>
      </c>
      <c r="P55" s="80">
        <v>6.7</v>
      </c>
      <c r="Q55" s="80">
        <v>6.7</v>
      </c>
      <c r="R55" s="80">
        <v>6.7</v>
      </c>
      <c r="S55" s="80">
        <v>6.7</v>
      </c>
      <c r="T55" s="80">
        <v>6.7</v>
      </c>
      <c r="U55" s="80">
        <v>6.7</v>
      </c>
      <c r="V55" s="80">
        <v>6.7</v>
      </c>
      <c r="W55" s="80">
        <v>6.7</v>
      </c>
      <c r="X55" s="80">
        <v>6.7</v>
      </c>
      <c r="Y55" s="80">
        <v>6.7</v>
      </c>
      <c r="Z55" s="80">
        <v>6.7</v>
      </c>
      <c r="AA55" s="80">
        <v>6.7</v>
      </c>
      <c r="AB55" s="80">
        <v>6.7</v>
      </c>
      <c r="AC55" s="80">
        <v>6.7</v>
      </c>
      <c r="AD55" s="80">
        <v>6.7</v>
      </c>
      <c r="AE55" s="80">
        <v>6.7</v>
      </c>
      <c r="AF55" s="80">
        <v>6.7</v>
      </c>
      <c r="AG55" s="94">
        <v>10.050000000000001</v>
      </c>
      <c r="AH55" s="20">
        <f t="shared" si="2"/>
        <v>6.7</v>
      </c>
      <c r="AI55" s="19">
        <f t="shared" si="3"/>
        <v>0</v>
      </c>
      <c r="AK55" s="41"/>
    </row>
    <row r="56" spans="1:41" x14ac:dyDescent="0.25">
      <c r="A56" s="95" t="s">
        <v>179</v>
      </c>
      <c r="B56" s="80">
        <v>6.2</v>
      </c>
      <c r="C56" s="80">
        <v>6.2</v>
      </c>
      <c r="D56" s="80">
        <v>6.2</v>
      </c>
      <c r="E56" s="80">
        <v>6.2</v>
      </c>
      <c r="F56" s="80">
        <v>6.2</v>
      </c>
      <c r="G56" s="80">
        <v>6.2</v>
      </c>
      <c r="H56" s="80">
        <v>6.2</v>
      </c>
      <c r="I56" s="80">
        <v>6.2</v>
      </c>
      <c r="J56" s="80">
        <v>6.2</v>
      </c>
      <c r="K56" s="80">
        <v>6.2</v>
      </c>
      <c r="L56" s="80">
        <v>6.2</v>
      </c>
      <c r="M56" s="80">
        <v>6.2</v>
      </c>
      <c r="N56" s="80">
        <v>6.2</v>
      </c>
      <c r="O56" s="80">
        <v>6.2</v>
      </c>
      <c r="P56" s="80">
        <v>6.2</v>
      </c>
      <c r="Q56" s="80">
        <v>6.2</v>
      </c>
      <c r="R56" s="80">
        <v>6.2</v>
      </c>
      <c r="S56" s="80">
        <v>6.2</v>
      </c>
      <c r="T56" s="80">
        <v>6.2</v>
      </c>
      <c r="U56" s="80">
        <v>6.2</v>
      </c>
      <c r="V56" s="80">
        <v>6.2</v>
      </c>
      <c r="W56" s="80">
        <v>6.2</v>
      </c>
      <c r="X56" s="80">
        <v>6.2</v>
      </c>
      <c r="Y56" s="80">
        <v>6.2</v>
      </c>
      <c r="Z56" s="80">
        <v>6.2</v>
      </c>
      <c r="AA56" s="80">
        <v>6.2</v>
      </c>
      <c r="AB56" s="80">
        <v>6.2</v>
      </c>
      <c r="AC56" s="80">
        <v>6.2</v>
      </c>
      <c r="AD56" s="80">
        <v>6.2</v>
      </c>
      <c r="AE56" s="80">
        <v>6.2</v>
      </c>
      <c r="AF56" s="80">
        <v>6.2</v>
      </c>
      <c r="AG56" s="94">
        <v>6.2</v>
      </c>
      <c r="AH56" s="20">
        <f t="shared" si="2"/>
        <v>6.2</v>
      </c>
      <c r="AI56" s="19">
        <f t="shared" si="3"/>
        <v>6.2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6">SUM(B45:B57)</f>
        <v>289.83999999999997</v>
      </c>
      <c r="C58" s="86">
        <f t="shared" si="6"/>
        <v>289.83999999999997</v>
      </c>
      <c r="D58" s="86">
        <f t="shared" si="6"/>
        <v>289.83999999999997</v>
      </c>
      <c r="E58" s="86">
        <f t="shared" si="6"/>
        <v>282.24</v>
      </c>
      <c r="F58" s="86">
        <f t="shared" si="6"/>
        <v>288.44</v>
      </c>
      <c r="G58" s="86">
        <f t="shared" si="6"/>
        <v>288.44</v>
      </c>
      <c r="H58" s="86">
        <f t="shared" si="6"/>
        <v>273.04000000000002</v>
      </c>
      <c r="I58" s="86">
        <f t="shared" si="6"/>
        <v>289.24</v>
      </c>
      <c r="J58" s="86">
        <f t="shared" si="6"/>
        <v>289.24</v>
      </c>
      <c r="K58" s="86">
        <f t="shared" si="6"/>
        <v>289.24</v>
      </c>
      <c r="L58" s="86">
        <f t="shared" si="6"/>
        <v>288.33999999999997</v>
      </c>
      <c r="M58" s="86">
        <f t="shared" si="6"/>
        <v>294.24</v>
      </c>
      <c r="N58" s="86">
        <f t="shared" si="6"/>
        <v>302.94</v>
      </c>
      <c r="O58" s="86">
        <f t="shared" si="6"/>
        <v>305.14</v>
      </c>
      <c r="P58" s="86">
        <f t="shared" si="6"/>
        <v>307.14</v>
      </c>
      <c r="Q58" s="86">
        <f t="shared" si="6"/>
        <v>303.14</v>
      </c>
      <c r="R58" s="86">
        <f t="shared" si="6"/>
        <v>303.14</v>
      </c>
      <c r="S58" s="86">
        <f t="shared" si="6"/>
        <v>303.14</v>
      </c>
      <c r="T58" s="86">
        <f t="shared" si="6"/>
        <v>303.14</v>
      </c>
      <c r="U58" s="86">
        <f t="shared" si="6"/>
        <v>299.14</v>
      </c>
      <c r="V58" s="86">
        <f t="shared" si="6"/>
        <v>297.04000000000002</v>
      </c>
      <c r="W58" s="86">
        <f t="shared" si="6"/>
        <v>293.24</v>
      </c>
      <c r="X58" s="86">
        <f t="shared" si="6"/>
        <v>293.24</v>
      </c>
      <c r="Y58" s="86">
        <f t="shared" si="6"/>
        <v>293.24</v>
      </c>
      <c r="Z58" s="86">
        <f t="shared" si="6"/>
        <v>293.44</v>
      </c>
      <c r="AA58" s="86">
        <f t="shared" si="6"/>
        <v>293.44</v>
      </c>
      <c r="AB58" s="86">
        <f t="shared" si="6"/>
        <v>293.44</v>
      </c>
      <c r="AC58" s="86">
        <f t="shared" si="6"/>
        <v>300.44</v>
      </c>
      <c r="AD58" s="86">
        <f t="shared" si="6"/>
        <v>300.44</v>
      </c>
      <c r="AE58" s="86">
        <f t="shared" si="6"/>
        <v>297.64</v>
      </c>
      <c r="AF58" s="86">
        <f t="shared" si="6"/>
        <v>275.54000000000002</v>
      </c>
      <c r="AG58" s="101">
        <f t="shared" si="6"/>
        <v>489.91</v>
      </c>
      <c r="AH58" s="20">
        <f t="shared" si="2"/>
        <v>307.14</v>
      </c>
      <c r="AI58" s="19">
        <f t="shared" si="3"/>
        <v>273.04000000000002</v>
      </c>
      <c r="AK58" s="41"/>
    </row>
    <row r="59" spans="1:41" x14ac:dyDescent="0.25">
      <c r="A59" s="97" t="s">
        <v>177</v>
      </c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>
        <v>30</v>
      </c>
      <c r="Z59" s="105">
        <v>30.2</v>
      </c>
      <c r="AA59" s="105">
        <v>0</v>
      </c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30.2</v>
      </c>
      <c r="AI59" s="19">
        <f t="shared" si="3"/>
        <v>0</v>
      </c>
      <c r="AK59" s="41"/>
    </row>
    <row r="60" spans="1:41" x14ac:dyDescent="0.25">
      <c r="A60" s="95" t="s">
        <v>176</v>
      </c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>
        <v>12.8</v>
      </c>
      <c r="Z60" s="80">
        <v>12.6</v>
      </c>
      <c r="AA60" s="80">
        <v>0</v>
      </c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12.8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07">
        <v>0</v>
      </c>
      <c r="Y61" s="107">
        <v>4.7</v>
      </c>
      <c r="Z61" s="107">
        <v>4.5999999999999996</v>
      </c>
      <c r="AA61" s="107">
        <v>0</v>
      </c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4.7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7">SUM(B59:B61)</f>
        <v>0</v>
      </c>
      <c r="C62" s="86">
        <f t="shared" si="7"/>
        <v>0</v>
      </c>
      <c r="D62" s="86">
        <f t="shared" si="7"/>
        <v>0</v>
      </c>
      <c r="E62" s="86">
        <f t="shared" si="7"/>
        <v>0</v>
      </c>
      <c r="F62" s="86">
        <f t="shared" si="7"/>
        <v>0</v>
      </c>
      <c r="G62" s="86">
        <f t="shared" si="7"/>
        <v>0</v>
      </c>
      <c r="H62" s="86">
        <f t="shared" si="7"/>
        <v>0</v>
      </c>
      <c r="I62" s="86">
        <f t="shared" si="7"/>
        <v>0</v>
      </c>
      <c r="J62" s="86">
        <f t="shared" si="7"/>
        <v>0</v>
      </c>
      <c r="K62" s="86">
        <f t="shared" si="7"/>
        <v>0</v>
      </c>
      <c r="L62" s="86">
        <f t="shared" si="7"/>
        <v>0</v>
      </c>
      <c r="M62" s="86">
        <f t="shared" si="7"/>
        <v>0</v>
      </c>
      <c r="N62" s="86">
        <f t="shared" si="7"/>
        <v>0</v>
      </c>
      <c r="O62" s="86">
        <f t="shared" si="7"/>
        <v>0</v>
      </c>
      <c r="P62" s="86">
        <f t="shared" si="7"/>
        <v>0</v>
      </c>
      <c r="Q62" s="86">
        <f t="shared" si="7"/>
        <v>0</v>
      </c>
      <c r="R62" s="86">
        <f t="shared" si="7"/>
        <v>0</v>
      </c>
      <c r="S62" s="86">
        <f t="shared" si="7"/>
        <v>0</v>
      </c>
      <c r="T62" s="86">
        <f t="shared" si="7"/>
        <v>0</v>
      </c>
      <c r="U62" s="86">
        <f t="shared" si="7"/>
        <v>0</v>
      </c>
      <c r="V62" s="86">
        <f t="shared" si="7"/>
        <v>0</v>
      </c>
      <c r="W62" s="86">
        <f t="shared" si="7"/>
        <v>0</v>
      </c>
      <c r="X62" s="86">
        <f t="shared" si="7"/>
        <v>0</v>
      </c>
      <c r="Y62" s="86">
        <f t="shared" si="7"/>
        <v>47.5</v>
      </c>
      <c r="Z62" s="86">
        <f t="shared" si="7"/>
        <v>47.4</v>
      </c>
      <c r="AA62" s="86">
        <f t="shared" si="7"/>
        <v>0</v>
      </c>
      <c r="AB62" s="86">
        <f t="shared" si="7"/>
        <v>0</v>
      </c>
      <c r="AC62" s="86">
        <f t="shared" si="7"/>
        <v>0</v>
      </c>
      <c r="AD62" s="86">
        <f t="shared" si="7"/>
        <v>0</v>
      </c>
      <c r="AE62" s="86">
        <f t="shared" si="7"/>
        <v>0</v>
      </c>
      <c r="AF62" s="86">
        <f t="shared" si="7"/>
        <v>0</v>
      </c>
      <c r="AG62" s="101">
        <f t="shared" si="7"/>
        <v>106</v>
      </c>
      <c r="AH62" s="20">
        <f t="shared" si="2"/>
        <v>47.5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>
        <v>0</v>
      </c>
      <c r="S63" s="105">
        <v>0</v>
      </c>
      <c r="T63" s="105">
        <v>0</v>
      </c>
      <c r="U63" s="105">
        <v>0</v>
      </c>
      <c r="V63" s="105">
        <v>0</v>
      </c>
      <c r="W63" s="105">
        <v>0</v>
      </c>
      <c r="X63" s="105">
        <v>0</v>
      </c>
      <c r="Y63" s="105">
        <v>70</v>
      </c>
      <c r="Z63" s="105">
        <v>48</v>
      </c>
      <c r="AA63" s="105">
        <v>47</v>
      </c>
      <c r="AB63" s="105">
        <v>44.2</v>
      </c>
      <c r="AC63" s="105">
        <v>13</v>
      </c>
      <c r="AD63" s="105">
        <v>0</v>
      </c>
      <c r="AE63" s="105">
        <v>0</v>
      </c>
      <c r="AF63" s="105">
        <v>0</v>
      </c>
      <c r="AG63" s="96"/>
      <c r="AH63" s="20">
        <f t="shared" si="2"/>
        <v>70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-400</v>
      </c>
      <c r="C65" s="80">
        <v>-414</v>
      </c>
      <c r="D65" s="80">
        <v>-380</v>
      </c>
      <c r="E65" s="80">
        <v>-433</v>
      </c>
      <c r="F65" s="80">
        <v>-430</v>
      </c>
      <c r="G65" s="80">
        <v>-429</v>
      </c>
      <c r="H65" s="80">
        <v>-420</v>
      </c>
      <c r="I65" s="80">
        <v>-424.3</v>
      </c>
      <c r="J65" s="80">
        <v>-431.8</v>
      </c>
      <c r="K65" s="80">
        <v>-398.5</v>
      </c>
      <c r="L65" s="80">
        <v>-398.5</v>
      </c>
      <c r="M65" s="80">
        <v>-425</v>
      </c>
      <c r="N65" s="80">
        <v>-380</v>
      </c>
      <c r="O65" s="80">
        <v>-401.1</v>
      </c>
      <c r="P65" s="80">
        <v>-380</v>
      </c>
      <c r="Q65" s="80">
        <v>-408</v>
      </c>
      <c r="R65" s="80">
        <v>-380</v>
      </c>
      <c r="S65" s="80">
        <v>-373</v>
      </c>
      <c r="T65" s="80">
        <v>-358</v>
      </c>
      <c r="U65" s="80">
        <v>-410</v>
      </c>
      <c r="V65" s="80">
        <v>-363</v>
      </c>
      <c r="W65" s="80">
        <v>-341</v>
      </c>
      <c r="X65" s="80">
        <v>-341</v>
      </c>
      <c r="Y65" s="80">
        <v>-267</v>
      </c>
      <c r="Z65" s="80">
        <v>-281.60000000000002</v>
      </c>
      <c r="AA65" s="80">
        <v>-288.39999999999998</v>
      </c>
      <c r="AB65" s="80">
        <v>-357</v>
      </c>
      <c r="AC65" s="80">
        <v>-338</v>
      </c>
      <c r="AD65" s="80">
        <v>-359</v>
      </c>
      <c r="AE65" s="80">
        <v>-412</v>
      </c>
      <c r="AF65" s="80">
        <v>-385</v>
      </c>
      <c r="AG65" s="102"/>
      <c r="AH65" s="20">
        <f t="shared" si="2"/>
        <v>-267</v>
      </c>
      <c r="AI65" s="19">
        <f t="shared" si="3"/>
        <v>-433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8">SUMIF(B63:B73,"&gt;0")</f>
        <v>0</v>
      </c>
      <c r="C74" s="86">
        <f t="shared" si="8"/>
        <v>0</v>
      </c>
      <c r="D74" s="86">
        <f t="shared" si="8"/>
        <v>0</v>
      </c>
      <c r="E74" s="86">
        <f t="shared" si="8"/>
        <v>0</v>
      </c>
      <c r="F74" s="86">
        <f t="shared" si="8"/>
        <v>0</v>
      </c>
      <c r="G74" s="86">
        <f t="shared" si="8"/>
        <v>0</v>
      </c>
      <c r="H74" s="86">
        <f t="shared" si="8"/>
        <v>0</v>
      </c>
      <c r="I74" s="86">
        <f t="shared" si="8"/>
        <v>0</v>
      </c>
      <c r="J74" s="86">
        <f t="shared" si="8"/>
        <v>0</v>
      </c>
      <c r="K74" s="86">
        <f t="shared" si="8"/>
        <v>0</v>
      </c>
      <c r="L74" s="86">
        <f t="shared" si="8"/>
        <v>0</v>
      </c>
      <c r="M74" s="86">
        <f t="shared" si="8"/>
        <v>0</v>
      </c>
      <c r="N74" s="86">
        <f t="shared" si="8"/>
        <v>0</v>
      </c>
      <c r="O74" s="86">
        <f t="shared" si="8"/>
        <v>0</v>
      </c>
      <c r="P74" s="86">
        <f t="shared" si="8"/>
        <v>0</v>
      </c>
      <c r="Q74" s="86">
        <f t="shared" si="8"/>
        <v>0</v>
      </c>
      <c r="R74" s="86">
        <f t="shared" si="8"/>
        <v>0</v>
      </c>
      <c r="S74" s="86">
        <f t="shared" si="8"/>
        <v>0</v>
      </c>
      <c r="T74" s="86">
        <f t="shared" si="8"/>
        <v>0</v>
      </c>
      <c r="U74" s="86">
        <f t="shared" si="8"/>
        <v>0</v>
      </c>
      <c r="V74" s="86">
        <f t="shared" si="8"/>
        <v>0</v>
      </c>
      <c r="W74" s="86">
        <f t="shared" si="8"/>
        <v>0</v>
      </c>
      <c r="X74" s="86">
        <f t="shared" si="8"/>
        <v>0</v>
      </c>
      <c r="Y74" s="86">
        <f t="shared" si="8"/>
        <v>70</v>
      </c>
      <c r="Z74" s="86">
        <f t="shared" si="8"/>
        <v>48</v>
      </c>
      <c r="AA74" s="86">
        <f t="shared" si="8"/>
        <v>47</v>
      </c>
      <c r="AB74" s="86">
        <f t="shared" si="8"/>
        <v>44.2</v>
      </c>
      <c r="AC74" s="86">
        <f t="shared" si="8"/>
        <v>13</v>
      </c>
      <c r="AD74" s="86">
        <f t="shared" si="8"/>
        <v>0</v>
      </c>
      <c r="AE74" s="86">
        <f t="shared" si="8"/>
        <v>0</v>
      </c>
      <c r="AF74" s="86">
        <f t="shared" si="8"/>
        <v>0</v>
      </c>
      <c r="AG74" s="85">
        <f>SUM(AG63:AG73)</f>
        <v>0</v>
      </c>
      <c r="AH74" s="20">
        <f t="shared" si="2"/>
        <v>70</v>
      </c>
      <c r="AI74" s="19">
        <f t="shared" si="3"/>
        <v>0</v>
      </c>
      <c r="AK74" s="41"/>
    </row>
    <row r="75" spans="1:37" x14ac:dyDescent="0.25">
      <c r="A75" s="97" t="s">
        <v>164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>
        <v>0</v>
      </c>
      <c r="T75" s="93">
        <v>0</v>
      </c>
      <c r="U75" s="93">
        <v>0</v>
      </c>
      <c r="V75" s="93">
        <v>0</v>
      </c>
      <c r="W75" s="93">
        <v>0</v>
      </c>
      <c r="X75" s="93">
        <v>0</v>
      </c>
      <c r="Y75" s="93">
        <v>0</v>
      </c>
      <c r="Z75" s="93">
        <v>0</v>
      </c>
      <c r="AA75" s="93">
        <v>0</v>
      </c>
      <c r="AB75" s="93">
        <v>0</v>
      </c>
      <c r="AC75" s="93">
        <v>0</v>
      </c>
      <c r="AD75" s="93">
        <v>0</v>
      </c>
      <c r="AE75" s="93">
        <v>0</v>
      </c>
      <c r="AF75" s="93">
        <v>0</v>
      </c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>
        <v>0</v>
      </c>
      <c r="T76" s="103">
        <v>0</v>
      </c>
      <c r="U76" s="103">
        <v>0</v>
      </c>
      <c r="V76" s="103">
        <v>0</v>
      </c>
      <c r="W76" s="103">
        <v>0</v>
      </c>
      <c r="X76" s="103">
        <v>0</v>
      </c>
      <c r="Y76" s="103">
        <v>0</v>
      </c>
      <c r="Z76" s="103">
        <v>0</v>
      </c>
      <c r="AA76" s="103">
        <v>0</v>
      </c>
      <c r="AB76" s="103">
        <v>0</v>
      </c>
      <c r="AC76" s="103">
        <v>0</v>
      </c>
      <c r="AD76" s="103">
        <v>0</v>
      </c>
      <c r="AE76" s="103">
        <v>0</v>
      </c>
      <c r="AF76" s="103">
        <v>0</v>
      </c>
      <c r="AG76" s="102">
        <v>14.4</v>
      </c>
      <c r="AH76" s="20">
        <f t="shared" ref="AH76:AH109" si="9">MAX(B76:AF76)</f>
        <v>0</v>
      </c>
      <c r="AI76" s="19">
        <f t="shared" ref="AI76:AI109" si="10">MIN(B76:AF76)</f>
        <v>0</v>
      </c>
      <c r="AK76" s="41"/>
    </row>
    <row r="77" spans="1:37" ht="15.75" thickBot="1" x14ac:dyDescent="0.3">
      <c r="A77" s="91" t="s">
        <v>162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  <c r="AA77" s="90">
        <v>0</v>
      </c>
      <c r="AB77" s="90">
        <v>0</v>
      </c>
      <c r="AC77" s="90">
        <v>0</v>
      </c>
      <c r="AD77" s="90">
        <v>0</v>
      </c>
      <c r="AE77" s="90">
        <v>0</v>
      </c>
      <c r="AF77" s="90">
        <v>0</v>
      </c>
      <c r="AG77" s="89">
        <v>2</v>
      </c>
      <c r="AH77" s="20">
        <f t="shared" si="9"/>
        <v>0</v>
      </c>
      <c r="AI77" s="19">
        <f t="shared" si="10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9"/>
        <v>0</v>
      </c>
      <c r="AI78" s="19">
        <f t="shared" si="10"/>
        <v>0</v>
      </c>
    </row>
    <row r="79" spans="1:37" ht="15.75" thickBot="1" x14ac:dyDescent="0.3">
      <c r="A79" s="87" t="s">
        <v>160</v>
      </c>
      <c r="B79" s="98">
        <f t="shared" ref="B79:AG79" si="11">B40+B44+B62+B58+B74+B78</f>
        <v>1535.6399999999999</v>
      </c>
      <c r="C79" s="98">
        <f t="shared" si="11"/>
        <v>1523.6399999999999</v>
      </c>
      <c r="D79" s="98">
        <f t="shared" si="11"/>
        <v>1542.84</v>
      </c>
      <c r="E79" s="98">
        <f t="shared" si="11"/>
        <v>1533.24</v>
      </c>
      <c r="F79" s="98">
        <f t="shared" si="11"/>
        <v>1539.44</v>
      </c>
      <c r="G79" s="98">
        <f t="shared" si="11"/>
        <v>1508.44</v>
      </c>
      <c r="H79" s="98">
        <f t="shared" si="11"/>
        <v>1524.04</v>
      </c>
      <c r="I79" s="98">
        <f t="shared" si="11"/>
        <v>1530.04</v>
      </c>
      <c r="J79" s="98">
        <f t="shared" si="11"/>
        <v>1569.54</v>
      </c>
      <c r="K79" s="98">
        <f t="shared" si="11"/>
        <v>1600.44</v>
      </c>
      <c r="L79" s="98">
        <f t="shared" si="11"/>
        <v>1599.54</v>
      </c>
      <c r="M79" s="98">
        <f t="shared" si="11"/>
        <v>1629.44</v>
      </c>
      <c r="N79" s="98">
        <f t="shared" si="11"/>
        <v>1612.44</v>
      </c>
      <c r="O79" s="98">
        <f t="shared" si="11"/>
        <v>1615.44</v>
      </c>
      <c r="P79" s="98">
        <f t="shared" si="11"/>
        <v>1596.2399999999998</v>
      </c>
      <c r="Q79" s="98">
        <f t="shared" si="11"/>
        <v>1626.2399999999998</v>
      </c>
      <c r="R79" s="98">
        <f t="shared" si="11"/>
        <v>1632.2399999999998</v>
      </c>
      <c r="S79" s="98">
        <f t="shared" si="11"/>
        <v>1610.3400000000001</v>
      </c>
      <c r="T79" s="98">
        <f t="shared" si="11"/>
        <v>1622.04</v>
      </c>
      <c r="U79" s="98">
        <f t="shared" si="11"/>
        <v>1630.04</v>
      </c>
      <c r="V79" s="98">
        <f t="shared" si="11"/>
        <v>1575.1399999999999</v>
      </c>
      <c r="W79" s="98">
        <f t="shared" si="11"/>
        <v>1575.34</v>
      </c>
      <c r="X79" s="98">
        <f t="shared" si="11"/>
        <v>1589.34</v>
      </c>
      <c r="Y79" s="98">
        <f t="shared" si="11"/>
        <v>1696.84</v>
      </c>
      <c r="Z79" s="98">
        <f t="shared" si="11"/>
        <v>1691.94</v>
      </c>
      <c r="AA79" s="98">
        <f t="shared" si="11"/>
        <v>1643.54</v>
      </c>
      <c r="AB79" s="98">
        <f t="shared" si="11"/>
        <v>1642.5400000000002</v>
      </c>
      <c r="AC79" s="98">
        <f t="shared" si="11"/>
        <v>1618.3400000000001</v>
      </c>
      <c r="AD79" s="98">
        <f t="shared" si="11"/>
        <v>1600.3400000000001</v>
      </c>
      <c r="AE79" s="98">
        <f t="shared" si="11"/>
        <v>1561.04</v>
      </c>
      <c r="AF79" s="98">
        <f t="shared" si="11"/>
        <v>1514.74</v>
      </c>
      <c r="AG79" s="101">
        <f t="shared" si="11"/>
        <v>1897.1900000000003</v>
      </c>
      <c r="AH79" s="20">
        <f t="shared" si="9"/>
        <v>1696.84</v>
      </c>
      <c r="AI79" s="19">
        <f t="shared" si="10"/>
        <v>1508.44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9"/>
        <v>0</v>
      </c>
      <c r="AI80" s="19">
        <f t="shared" si="10"/>
        <v>0</v>
      </c>
    </row>
    <row r="81" spans="1:37" ht="15.75" thickBot="1" x14ac:dyDescent="0.3">
      <c r="A81" s="87" t="s">
        <v>158</v>
      </c>
      <c r="B81" s="98">
        <f t="shared" ref="B81:AF81" si="12">B79+B80</f>
        <v>1535.6399999999999</v>
      </c>
      <c r="C81" s="98">
        <f t="shared" si="12"/>
        <v>1523.6399999999999</v>
      </c>
      <c r="D81" s="98">
        <f t="shared" si="12"/>
        <v>1542.84</v>
      </c>
      <c r="E81" s="98">
        <f t="shared" si="12"/>
        <v>1533.24</v>
      </c>
      <c r="F81" s="98">
        <f t="shared" si="12"/>
        <v>1539.44</v>
      </c>
      <c r="G81" s="98">
        <f t="shared" si="12"/>
        <v>1508.44</v>
      </c>
      <c r="H81" s="98">
        <f t="shared" si="12"/>
        <v>1524.04</v>
      </c>
      <c r="I81" s="98">
        <f t="shared" si="12"/>
        <v>1530.04</v>
      </c>
      <c r="J81" s="98">
        <f t="shared" si="12"/>
        <v>1569.54</v>
      </c>
      <c r="K81" s="98">
        <f t="shared" si="12"/>
        <v>1600.44</v>
      </c>
      <c r="L81" s="98">
        <f t="shared" si="12"/>
        <v>1599.54</v>
      </c>
      <c r="M81" s="98">
        <f t="shared" si="12"/>
        <v>1629.44</v>
      </c>
      <c r="N81" s="98">
        <f t="shared" si="12"/>
        <v>1612.44</v>
      </c>
      <c r="O81" s="98">
        <f t="shared" si="12"/>
        <v>1615.44</v>
      </c>
      <c r="P81" s="98">
        <f t="shared" si="12"/>
        <v>1596.2399999999998</v>
      </c>
      <c r="Q81" s="98">
        <f t="shared" si="12"/>
        <v>1626.2399999999998</v>
      </c>
      <c r="R81" s="98">
        <f t="shared" si="12"/>
        <v>1632.2399999999998</v>
      </c>
      <c r="S81" s="98">
        <f t="shared" si="12"/>
        <v>1610.3400000000001</v>
      </c>
      <c r="T81" s="98">
        <f t="shared" si="12"/>
        <v>1622.04</v>
      </c>
      <c r="U81" s="98">
        <f t="shared" si="12"/>
        <v>1630.04</v>
      </c>
      <c r="V81" s="98">
        <f t="shared" si="12"/>
        <v>1575.1399999999999</v>
      </c>
      <c r="W81" s="98">
        <f t="shared" si="12"/>
        <v>1575.34</v>
      </c>
      <c r="X81" s="98">
        <f t="shared" si="12"/>
        <v>1589.34</v>
      </c>
      <c r="Y81" s="98">
        <f t="shared" si="12"/>
        <v>1696.84</v>
      </c>
      <c r="Z81" s="98">
        <f t="shared" si="12"/>
        <v>1691.94</v>
      </c>
      <c r="AA81" s="98">
        <f t="shared" si="12"/>
        <v>1643.54</v>
      </c>
      <c r="AB81" s="98">
        <f t="shared" si="12"/>
        <v>1642.5400000000002</v>
      </c>
      <c r="AC81" s="98">
        <f t="shared" si="12"/>
        <v>1618.3400000000001</v>
      </c>
      <c r="AD81" s="98">
        <f t="shared" si="12"/>
        <v>1600.3400000000001</v>
      </c>
      <c r="AE81" s="98">
        <f t="shared" si="12"/>
        <v>1561.04</v>
      </c>
      <c r="AF81" s="98">
        <f t="shared" si="12"/>
        <v>1514.74</v>
      </c>
      <c r="AG81" s="85">
        <f>AG78+AG74+AG62+AG58+AG40+AG80</f>
        <v>1359.0900000000001</v>
      </c>
      <c r="AH81" s="20">
        <f t="shared" si="9"/>
        <v>1696.84</v>
      </c>
      <c r="AI81" s="19">
        <f t="shared" si="10"/>
        <v>1508.44</v>
      </c>
    </row>
    <row r="82" spans="1:37" ht="15.75" thickBot="1" x14ac:dyDescent="0.3">
      <c r="A82" s="87" t="s">
        <v>157</v>
      </c>
      <c r="B82" s="98">
        <f t="shared" ref="B82:AF82" si="13">B81-B89</f>
        <v>1135.6399999999999</v>
      </c>
      <c r="C82" s="98">
        <f t="shared" si="13"/>
        <v>1109.6399999999999</v>
      </c>
      <c r="D82" s="98">
        <f t="shared" si="13"/>
        <v>1162.8399999999999</v>
      </c>
      <c r="E82" s="98">
        <f t="shared" si="13"/>
        <v>1100.24</v>
      </c>
      <c r="F82" s="98">
        <f t="shared" si="13"/>
        <v>1109.44</v>
      </c>
      <c r="G82" s="98">
        <f t="shared" si="13"/>
        <v>1079.44</v>
      </c>
      <c r="H82" s="98">
        <f t="shared" si="13"/>
        <v>1104.04</v>
      </c>
      <c r="I82" s="98">
        <f t="shared" si="13"/>
        <v>1105.74</v>
      </c>
      <c r="J82" s="98">
        <f t="shared" si="13"/>
        <v>1137.74</v>
      </c>
      <c r="K82" s="98">
        <f t="shared" si="13"/>
        <v>1201.94</v>
      </c>
      <c r="L82" s="98">
        <f t="shared" si="13"/>
        <v>1201.04</v>
      </c>
      <c r="M82" s="98">
        <f t="shared" si="13"/>
        <v>1204.44</v>
      </c>
      <c r="N82" s="98">
        <f t="shared" si="13"/>
        <v>1232.44</v>
      </c>
      <c r="O82" s="98">
        <f t="shared" si="13"/>
        <v>1214.3400000000001</v>
      </c>
      <c r="P82" s="98">
        <f t="shared" si="13"/>
        <v>1216.2399999999998</v>
      </c>
      <c r="Q82" s="98">
        <f t="shared" si="13"/>
        <v>1218.2399999999998</v>
      </c>
      <c r="R82" s="98">
        <f t="shared" si="13"/>
        <v>1252.2399999999998</v>
      </c>
      <c r="S82" s="98">
        <f t="shared" si="13"/>
        <v>1237.3400000000001</v>
      </c>
      <c r="T82" s="98">
        <f t="shared" si="13"/>
        <v>1264.04</v>
      </c>
      <c r="U82" s="98">
        <f t="shared" si="13"/>
        <v>1220.04</v>
      </c>
      <c r="V82" s="98">
        <f t="shared" si="13"/>
        <v>1212.1399999999999</v>
      </c>
      <c r="W82" s="98">
        <f t="shared" si="13"/>
        <v>1234.3399999999999</v>
      </c>
      <c r="X82" s="98">
        <f t="shared" si="13"/>
        <v>1248.3399999999999</v>
      </c>
      <c r="Y82" s="98">
        <f t="shared" si="13"/>
        <v>1429.84</v>
      </c>
      <c r="Z82" s="98">
        <f t="shared" si="13"/>
        <v>1410.3400000000001</v>
      </c>
      <c r="AA82" s="98">
        <f t="shared" si="13"/>
        <v>1355.1399999999999</v>
      </c>
      <c r="AB82" s="98">
        <f t="shared" si="13"/>
        <v>1285.5400000000002</v>
      </c>
      <c r="AC82" s="98">
        <f t="shared" si="13"/>
        <v>1280.3400000000001</v>
      </c>
      <c r="AD82" s="98">
        <f t="shared" si="13"/>
        <v>1241.3400000000001</v>
      </c>
      <c r="AE82" s="98">
        <f t="shared" si="13"/>
        <v>1149.04</v>
      </c>
      <c r="AF82" s="98">
        <f t="shared" si="13"/>
        <v>1129.74</v>
      </c>
      <c r="AG82" s="85"/>
      <c r="AH82" s="20">
        <f t="shared" si="9"/>
        <v>1429.84</v>
      </c>
      <c r="AI82" s="19">
        <f t="shared" si="10"/>
        <v>1079.44</v>
      </c>
    </row>
    <row r="83" spans="1:37" x14ac:dyDescent="0.25">
      <c r="A83" s="97" t="s">
        <v>156</v>
      </c>
      <c r="B83" s="93">
        <f t="shared" ref="B83:AF83" si="14">IF(B66&lt;0,B66*-1,0)</f>
        <v>0</v>
      </c>
      <c r="C83" s="93">
        <f t="shared" si="14"/>
        <v>0</v>
      </c>
      <c r="D83" s="93">
        <f t="shared" si="14"/>
        <v>0</v>
      </c>
      <c r="E83" s="93">
        <f t="shared" si="14"/>
        <v>0</v>
      </c>
      <c r="F83" s="93">
        <f t="shared" si="14"/>
        <v>0</v>
      </c>
      <c r="G83" s="93">
        <f t="shared" si="14"/>
        <v>0</v>
      </c>
      <c r="H83" s="93">
        <f t="shared" si="14"/>
        <v>0</v>
      </c>
      <c r="I83" s="93">
        <f t="shared" si="14"/>
        <v>0</v>
      </c>
      <c r="J83" s="93">
        <f t="shared" si="14"/>
        <v>0</v>
      </c>
      <c r="K83" s="93">
        <f t="shared" si="14"/>
        <v>0</v>
      </c>
      <c r="L83" s="93">
        <f t="shared" si="14"/>
        <v>0</v>
      </c>
      <c r="M83" s="93">
        <f t="shared" si="14"/>
        <v>0</v>
      </c>
      <c r="N83" s="93">
        <f t="shared" si="14"/>
        <v>0</v>
      </c>
      <c r="O83" s="93">
        <f t="shared" si="14"/>
        <v>0</v>
      </c>
      <c r="P83" s="93">
        <f t="shared" si="14"/>
        <v>0</v>
      </c>
      <c r="Q83" s="93">
        <f t="shared" si="14"/>
        <v>0</v>
      </c>
      <c r="R83" s="93">
        <f t="shared" si="14"/>
        <v>0</v>
      </c>
      <c r="S83" s="93">
        <f t="shared" si="14"/>
        <v>0</v>
      </c>
      <c r="T83" s="93">
        <f t="shared" si="14"/>
        <v>0</v>
      </c>
      <c r="U83" s="93">
        <f t="shared" si="14"/>
        <v>0</v>
      </c>
      <c r="V83" s="93">
        <f t="shared" si="14"/>
        <v>0</v>
      </c>
      <c r="W83" s="93">
        <f t="shared" si="14"/>
        <v>0</v>
      </c>
      <c r="X83" s="93">
        <f t="shared" si="14"/>
        <v>0</v>
      </c>
      <c r="Y83" s="93">
        <f t="shared" si="14"/>
        <v>0</v>
      </c>
      <c r="Z83" s="93">
        <f t="shared" si="14"/>
        <v>0</v>
      </c>
      <c r="AA83" s="93">
        <f t="shared" si="14"/>
        <v>0</v>
      </c>
      <c r="AB83" s="93">
        <f t="shared" si="14"/>
        <v>0</v>
      </c>
      <c r="AC83" s="93">
        <f t="shared" si="14"/>
        <v>0</v>
      </c>
      <c r="AD83" s="93">
        <f t="shared" si="14"/>
        <v>0</v>
      </c>
      <c r="AE83" s="93">
        <f t="shared" si="14"/>
        <v>0</v>
      </c>
      <c r="AF83" s="93">
        <f t="shared" si="14"/>
        <v>0</v>
      </c>
      <c r="AG83" s="96"/>
      <c r="AH83" s="20">
        <f t="shared" si="9"/>
        <v>0</v>
      </c>
      <c r="AI83" s="19">
        <f t="shared" si="10"/>
        <v>0</v>
      </c>
    </row>
    <row r="84" spans="1:37" x14ac:dyDescent="0.25">
      <c r="A84" s="95" t="s">
        <v>155</v>
      </c>
      <c r="B84" s="93">
        <f t="shared" ref="B84:AF84" si="15">IF(B64&lt;0,B64*-1,0)</f>
        <v>0</v>
      </c>
      <c r="C84" s="93">
        <f t="shared" si="15"/>
        <v>0</v>
      </c>
      <c r="D84" s="93">
        <f t="shared" si="15"/>
        <v>0</v>
      </c>
      <c r="E84" s="93">
        <f t="shared" si="15"/>
        <v>0</v>
      </c>
      <c r="F84" s="93">
        <f t="shared" si="15"/>
        <v>0</v>
      </c>
      <c r="G84" s="93">
        <f t="shared" si="15"/>
        <v>0</v>
      </c>
      <c r="H84" s="93">
        <f t="shared" si="15"/>
        <v>0</v>
      </c>
      <c r="I84" s="93">
        <f t="shared" si="15"/>
        <v>0</v>
      </c>
      <c r="J84" s="93">
        <f t="shared" si="15"/>
        <v>0</v>
      </c>
      <c r="K84" s="93">
        <f t="shared" si="15"/>
        <v>0</v>
      </c>
      <c r="L84" s="93">
        <f t="shared" si="15"/>
        <v>0</v>
      </c>
      <c r="M84" s="93">
        <f t="shared" si="15"/>
        <v>0</v>
      </c>
      <c r="N84" s="93">
        <f t="shared" si="15"/>
        <v>0</v>
      </c>
      <c r="O84" s="93">
        <f t="shared" si="15"/>
        <v>0</v>
      </c>
      <c r="P84" s="93">
        <f t="shared" si="15"/>
        <v>0</v>
      </c>
      <c r="Q84" s="93">
        <f t="shared" si="15"/>
        <v>0</v>
      </c>
      <c r="R84" s="93">
        <f t="shared" si="15"/>
        <v>0</v>
      </c>
      <c r="S84" s="93">
        <f t="shared" si="15"/>
        <v>0</v>
      </c>
      <c r="T84" s="93">
        <f t="shared" si="15"/>
        <v>0</v>
      </c>
      <c r="U84" s="93">
        <f t="shared" si="15"/>
        <v>0</v>
      </c>
      <c r="V84" s="93">
        <f t="shared" si="15"/>
        <v>0</v>
      </c>
      <c r="W84" s="93">
        <f t="shared" si="15"/>
        <v>0</v>
      </c>
      <c r="X84" s="93">
        <f t="shared" si="15"/>
        <v>0</v>
      </c>
      <c r="Y84" s="93">
        <f t="shared" si="15"/>
        <v>0</v>
      </c>
      <c r="Z84" s="93">
        <f t="shared" si="15"/>
        <v>0</v>
      </c>
      <c r="AA84" s="93">
        <f t="shared" si="15"/>
        <v>0</v>
      </c>
      <c r="AB84" s="93">
        <f t="shared" si="15"/>
        <v>0</v>
      </c>
      <c r="AC84" s="93">
        <f t="shared" si="15"/>
        <v>0</v>
      </c>
      <c r="AD84" s="93">
        <f t="shared" si="15"/>
        <v>0</v>
      </c>
      <c r="AE84" s="93">
        <f t="shared" si="15"/>
        <v>0</v>
      </c>
      <c r="AF84" s="93">
        <f t="shared" si="15"/>
        <v>0</v>
      </c>
      <c r="AG84" s="94"/>
      <c r="AH84" s="20">
        <f t="shared" si="9"/>
        <v>0</v>
      </c>
      <c r="AI84" s="19">
        <f t="shared" si="10"/>
        <v>0</v>
      </c>
    </row>
    <row r="85" spans="1:37" x14ac:dyDescent="0.25">
      <c r="A85" s="91" t="s">
        <v>154</v>
      </c>
      <c r="B85" s="93">
        <f t="shared" ref="B85:AF85" si="16">IF(B67&lt;0,B67*-1,0)</f>
        <v>0</v>
      </c>
      <c r="C85" s="93">
        <f t="shared" si="16"/>
        <v>0</v>
      </c>
      <c r="D85" s="93">
        <f t="shared" si="16"/>
        <v>0</v>
      </c>
      <c r="E85" s="93">
        <f t="shared" si="16"/>
        <v>0</v>
      </c>
      <c r="F85" s="93">
        <f t="shared" si="16"/>
        <v>0</v>
      </c>
      <c r="G85" s="93">
        <f t="shared" si="16"/>
        <v>0</v>
      </c>
      <c r="H85" s="93">
        <f t="shared" si="16"/>
        <v>0</v>
      </c>
      <c r="I85" s="93">
        <f t="shared" si="16"/>
        <v>0</v>
      </c>
      <c r="J85" s="93">
        <f t="shared" si="16"/>
        <v>0</v>
      </c>
      <c r="K85" s="93">
        <f t="shared" si="16"/>
        <v>0</v>
      </c>
      <c r="L85" s="93">
        <f t="shared" si="16"/>
        <v>0</v>
      </c>
      <c r="M85" s="93">
        <f t="shared" si="16"/>
        <v>0</v>
      </c>
      <c r="N85" s="93">
        <f t="shared" si="16"/>
        <v>0</v>
      </c>
      <c r="O85" s="93">
        <f t="shared" si="16"/>
        <v>0</v>
      </c>
      <c r="P85" s="93">
        <f t="shared" si="16"/>
        <v>0</v>
      </c>
      <c r="Q85" s="93">
        <f t="shared" si="16"/>
        <v>0</v>
      </c>
      <c r="R85" s="93">
        <f t="shared" si="16"/>
        <v>0</v>
      </c>
      <c r="S85" s="93">
        <f t="shared" si="16"/>
        <v>0</v>
      </c>
      <c r="T85" s="93">
        <f t="shared" si="16"/>
        <v>0</v>
      </c>
      <c r="U85" s="93">
        <f t="shared" si="16"/>
        <v>0</v>
      </c>
      <c r="V85" s="93">
        <f t="shared" si="16"/>
        <v>0</v>
      </c>
      <c r="W85" s="93">
        <f t="shared" si="16"/>
        <v>0</v>
      </c>
      <c r="X85" s="93">
        <f t="shared" si="16"/>
        <v>0</v>
      </c>
      <c r="Y85" s="93">
        <f t="shared" si="16"/>
        <v>0</v>
      </c>
      <c r="Z85" s="93">
        <f t="shared" si="16"/>
        <v>0</v>
      </c>
      <c r="AA85" s="93">
        <f t="shared" si="16"/>
        <v>0</v>
      </c>
      <c r="AB85" s="93">
        <f t="shared" si="16"/>
        <v>0</v>
      </c>
      <c r="AC85" s="93">
        <f t="shared" si="16"/>
        <v>0</v>
      </c>
      <c r="AD85" s="93">
        <f t="shared" si="16"/>
        <v>0</v>
      </c>
      <c r="AE85" s="93">
        <f t="shared" si="16"/>
        <v>0</v>
      </c>
      <c r="AF85" s="93">
        <f t="shared" si="16"/>
        <v>0</v>
      </c>
      <c r="AG85" s="92"/>
      <c r="AH85" s="20">
        <f t="shared" si="9"/>
        <v>0</v>
      </c>
      <c r="AI85" s="19">
        <f t="shared" si="10"/>
        <v>0</v>
      </c>
    </row>
    <row r="86" spans="1:37" x14ac:dyDescent="0.25">
      <c r="A86" s="91" t="s">
        <v>153</v>
      </c>
      <c r="B86" s="93">
        <f t="shared" ref="B86:AF86" si="17">IF(B65&lt;0,B65*-1,0)</f>
        <v>400</v>
      </c>
      <c r="C86" s="93">
        <f t="shared" si="17"/>
        <v>414</v>
      </c>
      <c r="D86" s="93">
        <f t="shared" si="17"/>
        <v>380</v>
      </c>
      <c r="E86" s="93">
        <f t="shared" si="17"/>
        <v>433</v>
      </c>
      <c r="F86" s="93">
        <f t="shared" si="17"/>
        <v>430</v>
      </c>
      <c r="G86" s="93">
        <f t="shared" si="17"/>
        <v>429</v>
      </c>
      <c r="H86" s="93">
        <f t="shared" si="17"/>
        <v>420</v>
      </c>
      <c r="I86" s="93">
        <f t="shared" si="17"/>
        <v>424.3</v>
      </c>
      <c r="J86" s="93">
        <f t="shared" si="17"/>
        <v>431.8</v>
      </c>
      <c r="K86" s="93">
        <f t="shared" si="17"/>
        <v>398.5</v>
      </c>
      <c r="L86" s="93">
        <f t="shared" si="17"/>
        <v>398.5</v>
      </c>
      <c r="M86" s="93">
        <f t="shared" si="17"/>
        <v>425</v>
      </c>
      <c r="N86" s="93">
        <f t="shared" si="17"/>
        <v>380</v>
      </c>
      <c r="O86" s="93">
        <f t="shared" si="17"/>
        <v>401.1</v>
      </c>
      <c r="P86" s="93">
        <f t="shared" si="17"/>
        <v>380</v>
      </c>
      <c r="Q86" s="93">
        <f t="shared" si="17"/>
        <v>408</v>
      </c>
      <c r="R86" s="93">
        <f t="shared" si="17"/>
        <v>380</v>
      </c>
      <c r="S86" s="93">
        <f t="shared" si="17"/>
        <v>373</v>
      </c>
      <c r="T86" s="93">
        <f t="shared" si="17"/>
        <v>358</v>
      </c>
      <c r="U86" s="93">
        <f t="shared" si="17"/>
        <v>410</v>
      </c>
      <c r="V86" s="93">
        <f t="shared" si="17"/>
        <v>363</v>
      </c>
      <c r="W86" s="93">
        <f t="shared" si="17"/>
        <v>341</v>
      </c>
      <c r="X86" s="93">
        <f t="shared" si="17"/>
        <v>341</v>
      </c>
      <c r="Y86" s="93">
        <f t="shared" si="17"/>
        <v>267</v>
      </c>
      <c r="Z86" s="93">
        <f t="shared" si="17"/>
        <v>281.60000000000002</v>
      </c>
      <c r="AA86" s="93">
        <f t="shared" si="17"/>
        <v>288.39999999999998</v>
      </c>
      <c r="AB86" s="93">
        <f t="shared" si="17"/>
        <v>357</v>
      </c>
      <c r="AC86" s="93">
        <f t="shared" si="17"/>
        <v>338</v>
      </c>
      <c r="AD86" s="93">
        <f t="shared" si="17"/>
        <v>359</v>
      </c>
      <c r="AE86" s="93">
        <f t="shared" si="17"/>
        <v>412</v>
      </c>
      <c r="AF86" s="93">
        <f t="shared" si="17"/>
        <v>385</v>
      </c>
      <c r="AG86" s="92"/>
      <c r="AH86" s="20">
        <f t="shared" si="9"/>
        <v>433</v>
      </c>
      <c r="AI86" s="19">
        <f t="shared" si="10"/>
        <v>267</v>
      </c>
    </row>
    <row r="87" spans="1:37" x14ac:dyDescent="0.25">
      <c r="A87" s="91" t="s">
        <v>152</v>
      </c>
      <c r="B87" s="93">
        <f t="shared" ref="B87:AF87" si="18">IF(B63&lt;0,B63*-1,0)</f>
        <v>0</v>
      </c>
      <c r="C87" s="93">
        <f t="shared" si="18"/>
        <v>0</v>
      </c>
      <c r="D87" s="93">
        <f t="shared" si="18"/>
        <v>0</v>
      </c>
      <c r="E87" s="93">
        <f t="shared" si="18"/>
        <v>0</v>
      </c>
      <c r="F87" s="93">
        <f t="shared" si="18"/>
        <v>0</v>
      </c>
      <c r="G87" s="93">
        <f t="shared" si="18"/>
        <v>0</v>
      </c>
      <c r="H87" s="93">
        <f t="shared" si="18"/>
        <v>0</v>
      </c>
      <c r="I87" s="93">
        <f t="shared" si="18"/>
        <v>0</v>
      </c>
      <c r="J87" s="93">
        <f t="shared" si="18"/>
        <v>0</v>
      </c>
      <c r="K87" s="93">
        <f t="shared" si="18"/>
        <v>0</v>
      </c>
      <c r="L87" s="93">
        <f t="shared" si="18"/>
        <v>0</v>
      </c>
      <c r="M87" s="93">
        <f t="shared" si="18"/>
        <v>0</v>
      </c>
      <c r="N87" s="93">
        <f t="shared" si="18"/>
        <v>0</v>
      </c>
      <c r="O87" s="93">
        <f t="shared" si="18"/>
        <v>0</v>
      </c>
      <c r="P87" s="93">
        <f t="shared" si="18"/>
        <v>0</v>
      </c>
      <c r="Q87" s="93">
        <f t="shared" si="18"/>
        <v>0</v>
      </c>
      <c r="R87" s="93">
        <f t="shared" si="18"/>
        <v>0</v>
      </c>
      <c r="S87" s="93">
        <f t="shared" si="18"/>
        <v>0</v>
      </c>
      <c r="T87" s="93">
        <f t="shared" si="18"/>
        <v>0</v>
      </c>
      <c r="U87" s="93">
        <f t="shared" si="18"/>
        <v>0</v>
      </c>
      <c r="V87" s="93">
        <f t="shared" si="18"/>
        <v>0</v>
      </c>
      <c r="W87" s="93">
        <f t="shared" si="18"/>
        <v>0</v>
      </c>
      <c r="X87" s="93">
        <f t="shared" si="18"/>
        <v>0</v>
      </c>
      <c r="Y87" s="93">
        <f t="shared" si="18"/>
        <v>0</v>
      </c>
      <c r="Z87" s="93">
        <f t="shared" si="18"/>
        <v>0</v>
      </c>
      <c r="AA87" s="93">
        <f t="shared" si="18"/>
        <v>0</v>
      </c>
      <c r="AB87" s="93">
        <f t="shared" si="18"/>
        <v>0</v>
      </c>
      <c r="AC87" s="93">
        <f t="shared" si="18"/>
        <v>0</v>
      </c>
      <c r="AD87" s="93">
        <f t="shared" si="18"/>
        <v>0</v>
      </c>
      <c r="AE87" s="93">
        <f t="shared" si="18"/>
        <v>0</v>
      </c>
      <c r="AF87" s="93">
        <f t="shared" si="18"/>
        <v>0</v>
      </c>
      <c r="AG87" s="92"/>
      <c r="AH87" s="20">
        <f t="shared" si="9"/>
        <v>0</v>
      </c>
      <c r="AI87" s="19">
        <f t="shared" si="10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9"/>
        <v>0</v>
      </c>
      <c r="AI88" s="19">
        <f t="shared" si="10"/>
        <v>0</v>
      </c>
    </row>
    <row r="89" spans="1:37" ht="15.75" thickBot="1" x14ac:dyDescent="0.3">
      <c r="A89" s="88" t="s">
        <v>150</v>
      </c>
      <c r="B89" s="86">
        <f t="shared" ref="B89:AF89" si="19">SUM(B83:B88)</f>
        <v>400</v>
      </c>
      <c r="C89" s="86">
        <f t="shared" si="19"/>
        <v>414</v>
      </c>
      <c r="D89" s="86">
        <f t="shared" si="19"/>
        <v>380</v>
      </c>
      <c r="E89" s="86">
        <f t="shared" si="19"/>
        <v>433</v>
      </c>
      <c r="F89" s="86">
        <f t="shared" si="19"/>
        <v>430</v>
      </c>
      <c r="G89" s="86">
        <f t="shared" si="19"/>
        <v>429</v>
      </c>
      <c r="H89" s="86">
        <f t="shared" si="19"/>
        <v>420</v>
      </c>
      <c r="I89" s="86">
        <f t="shared" si="19"/>
        <v>424.3</v>
      </c>
      <c r="J89" s="86">
        <f t="shared" si="19"/>
        <v>431.8</v>
      </c>
      <c r="K89" s="86">
        <f t="shared" si="19"/>
        <v>398.5</v>
      </c>
      <c r="L89" s="86">
        <f t="shared" si="19"/>
        <v>398.5</v>
      </c>
      <c r="M89" s="86">
        <f t="shared" si="19"/>
        <v>425</v>
      </c>
      <c r="N89" s="86">
        <f t="shared" si="19"/>
        <v>380</v>
      </c>
      <c r="O89" s="86">
        <f t="shared" si="19"/>
        <v>401.1</v>
      </c>
      <c r="P89" s="86">
        <f t="shared" si="19"/>
        <v>380</v>
      </c>
      <c r="Q89" s="86">
        <f t="shared" si="19"/>
        <v>408</v>
      </c>
      <c r="R89" s="86">
        <f t="shared" si="19"/>
        <v>380</v>
      </c>
      <c r="S89" s="86">
        <f t="shared" si="19"/>
        <v>373</v>
      </c>
      <c r="T89" s="86">
        <f t="shared" si="19"/>
        <v>358</v>
      </c>
      <c r="U89" s="86">
        <f t="shared" si="19"/>
        <v>410</v>
      </c>
      <c r="V89" s="86">
        <f t="shared" si="19"/>
        <v>363</v>
      </c>
      <c r="W89" s="86">
        <f t="shared" si="19"/>
        <v>341</v>
      </c>
      <c r="X89" s="86">
        <f t="shared" si="19"/>
        <v>341</v>
      </c>
      <c r="Y89" s="86">
        <f t="shared" si="19"/>
        <v>267</v>
      </c>
      <c r="Z89" s="86">
        <f t="shared" si="19"/>
        <v>281.60000000000002</v>
      </c>
      <c r="AA89" s="86">
        <f t="shared" si="19"/>
        <v>288.39999999999998</v>
      </c>
      <c r="AB89" s="86">
        <f t="shared" si="19"/>
        <v>357</v>
      </c>
      <c r="AC89" s="86">
        <f t="shared" si="19"/>
        <v>338</v>
      </c>
      <c r="AD89" s="86">
        <f t="shared" si="19"/>
        <v>359</v>
      </c>
      <c r="AE89" s="86">
        <f t="shared" si="19"/>
        <v>412</v>
      </c>
      <c r="AF89" s="86">
        <f t="shared" si="19"/>
        <v>385</v>
      </c>
      <c r="AG89" s="85"/>
      <c r="AH89" s="20">
        <f t="shared" si="9"/>
        <v>433</v>
      </c>
      <c r="AI89" s="19">
        <f t="shared" si="10"/>
        <v>267</v>
      </c>
      <c r="AK89" s="41"/>
    </row>
    <row r="90" spans="1:37" ht="15.75" thickBot="1" x14ac:dyDescent="0.3">
      <c r="A90" s="87" t="s">
        <v>149</v>
      </c>
      <c r="B90" s="86">
        <f t="shared" ref="B90:AF90" si="20">B74-B89</f>
        <v>-400</v>
      </c>
      <c r="C90" s="86">
        <f t="shared" si="20"/>
        <v>-414</v>
      </c>
      <c r="D90" s="86">
        <f t="shared" si="20"/>
        <v>-380</v>
      </c>
      <c r="E90" s="86">
        <f t="shared" si="20"/>
        <v>-433</v>
      </c>
      <c r="F90" s="86">
        <f t="shared" si="20"/>
        <v>-430</v>
      </c>
      <c r="G90" s="86">
        <f t="shared" si="20"/>
        <v>-429</v>
      </c>
      <c r="H90" s="86">
        <f t="shared" si="20"/>
        <v>-420</v>
      </c>
      <c r="I90" s="86">
        <f t="shared" si="20"/>
        <v>-424.3</v>
      </c>
      <c r="J90" s="86">
        <f t="shared" si="20"/>
        <v>-431.8</v>
      </c>
      <c r="K90" s="86">
        <f t="shared" si="20"/>
        <v>-398.5</v>
      </c>
      <c r="L90" s="86">
        <f t="shared" si="20"/>
        <v>-398.5</v>
      </c>
      <c r="M90" s="86">
        <f t="shared" si="20"/>
        <v>-425</v>
      </c>
      <c r="N90" s="86">
        <f t="shared" si="20"/>
        <v>-380</v>
      </c>
      <c r="O90" s="86">
        <f t="shared" si="20"/>
        <v>-401.1</v>
      </c>
      <c r="P90" s="86">
        <f t="shared" si="20"/>
        <v>-380</v>
      </c>
      <c r="Q90" s="86">
        <f t="shared" si="20"/>
        <v>-408</v>
      </c>
      <c r="R90" s="86">
        <f t="shared" si="20"/>
        <v>-380</v>
      </c>
      <c r="S90" s="86">
        <f t="shared" si="20"/>
        <v>-373</v>
      </c>
      <c r="T90" s="86">
        <f t="shared" si="20"/>
        <v>-358</v>
      </c>
      <c r="U90" s="86">
        <f t="shared" si="20"/>
        <v>-410</v>
      </c>
      <c r="V90" s="86">
        <f t="shared" si="20"/>
        <v>-363</v>
      </c>
      <c r="W90" s="86">
        <f t="shared" si="20"/>
        <v>-341</v>
      </c>
      <c r="X90" s="86">
        <f t="shared" si="20"/>
        <v>-341</v>
      </c>
      <c r="Y90" s="86">
        <f t="shared" si="20"/>
        <v>-197</v>
      </c>
      <c r="Z90" s="86">
        <f t="shared" si="20"/>
        <v>-233.60000000000002</v>
      </c>
      <c r="AA90" s="86">
        <f t="shared" si="20"/>
        <v>-241.39999999999998</v>
      </c>
      <c r="AB90" s="86">
        <f t="shared" si="20"/>
        <v>-312.8</v>
      </c>
      <c r="AC90" s="86">
        <f t="shared" si="20"/>
        <v>-325</v>
      </c>
      <c r="AD90" s="86">
        <f t="shared" si="20"/>
        <v>-359</v>
      </c>
      <c r="AE90" s="86">
        <f t="shared" si="20"/>
        <v>-412</v>
      </c>
      <c r="AF90" s="86">
        <f t="shared" si="20"/>
        <v>-385</v>
      </c>
      <c r="AG90" s="85"/>
      <c r="AH90" s="20">
        <f t="shared" si="9"/>
        <v>-197</v>
      </c>
      <c r="AI90" s="19">
        <f t="shared" si="10"/>
        <v>-433</v>
      </c>
    </row>
    <row r="91" spans="1:37" x14ac:dyDescent="0.25">
      <c r="A91" s="47" t="s">
        <v>148</v>
      </c>
      <c r="B91" s="84">
        <v>50.015000000000001</v>
      </c>
      <c r="C91" s="84">
        <v>50.003999999999998</v>
      </c>
      <c r="D91" s="84">
        <v>50.048000000000002</v>
      </c>
      <c r="E91" s="84">
        <v>49.976999999999997</v>
      </c>
      <c r="F91" s="84">
        <v>50.015999999999998</v>
      </c>
      <c r="G91" s="84">
        <v>50.04</v>
      </c>
      <c r="H91" s="84">
        <v>50.021999999999998</v>
      </c>
      <c r="I91" s="84">
        <v>50.008000000000003</v>
      </c>
      <c r="J91" s="84">
        <v>49.976999999999997</v>
      </c>
      <c r="K91" s="84">
        <v>50.027000000000001</v>
      </c>
      <c r="L91" s="84">
        <v>50.027000000000001</v>
      </c>
      <c r="M91" s="84">
        <v>50.094000000000001</v>
      </c>
      <c r="N91" s="84">
        <v>50.112000000000002</v>
      </c>
      <c r="O91" s="84">
        <v>50.027999999999999</v>
      </c>
      <c r="P91" s="84">
        <v>50.064999999999998</v>
      </c>
      <c r="Q91" s="84">
        <v>50.033999999999999</v>
      </c>
      <c r="R91" s="84">
        <v>50.003</v>
      </c>
      <c r="S91" s="84">
        <v>50.003</v>
      </c>
      <c r="T91" s="84">
        <v>50.029000000000003</v>
      </c>
      <c r="U91" s="84">
        <v>50.021999999999998</v>
      </c>
      <c r="V91" s="84">
        <v>50.021999999999998</v>
      </c>
      <c r="W91" s="84">
        <v>50.024999999999999</v>
      </c>
      <c r="X91" s="84">
        <v>49.908999999999999</v>
      </c>
      <c r="Y91" s="84">
        <v>49.899000000000001</v>
      </c>
      <c r="Z91" s="84">
        <v>49.896000000000001</v>
      </c>
      <c r="AA91" s="84">
        <v>50.011000000000003</v>
      </c>
      <c r="AB91" s="84">
        <v>49.99</v>
      </c>
      <c r="AC91" s="84">
        <v>49.96</v>
      </c>
      <c r="AD91" s="84">
        <v>50.018000000000001</v>
      </c>
      <c r="AE91" s="84">
        <v>50.036000000000001</v>
      </c>
      <c r="AF91" s="84">
        <v>50</v>
      </c>
      <c r="AG91" s="83"/>
      <c r="AH91" s="20">
        <f t="shared" si="9"/>
        <v>50.112000000000002</v>
      </c>
      <c r="AI91" s="19">
        <f t="shared" si="10"/>
        <v>49.896000000000001</v>
      </c>
    </row>
    <row r="92" spans="1:37" x14ac:dyDescent="0.25">
      <c r="A92" s="44" t="s">
        <v>147</v>
      </c>
      <c r="B92" s="80">
        <v>126</v>
      </c>
      <c r="C92" s="80">
        <v>126.3</v>
      </c>
      <c r="D92" s="80">
        <v>126.2</v>
      </c>
      <c r="E92" s="80">
        <v>126.4</v>
      </c>
      <c r="F92" s="80">
        <v>127.1</v>
      </c>
      <c r="G92" s="80">
        <v>126.4</v>
      </c>
      <c r="H92" s="80">
        <v>126.2</v>
      </c>
      <c r="I92" s="80">
        <v>127</v>
      </c>
      <c r="J92" s="80">
        <v>123.4</v>
      </c>
      <c r="K92" s="80">
        <v>124.1</v>
      </c>
      <c r="L92" s="80">
        <v>124.1</v>
      </c>
      <c r="M92" s="80">
        <v>123.77</v>
      </c>
      <c r="N92" s="80">
        <v>123.2</v>
      </c>
      <c r="O92" s="80">
        <v>124.3</v>
      </c>
      <c r="P92" s="80">
        <v>125.3</v>
      </c>
      <c r="Q92" s="80">
        <v>124.8</v>
      </c>
      <c r="R92" s="80">
        <v>124.4</v>
      </c>
      <c r="S92" s="80">
        <v>124.4</v>
      </c>
      <c r="T92" s="80">
        <v>123.6</v>
      </c>
      <c r="U92" s="80">
        <v>123.9</v>
      </c>
      <c r="V92" s="80">
        <v>123.9</v>
      </c>
      <c r="W92" s="80">
        <v>124</v>
      </c>
      <c r="X92" s="80">
        <v>124</v>
      </c>
      <c r="Y92" s="80">
        <v>124</v>
      </c>
      <c r="Z92" s="80">
        <v>125.9</v>
      </c>
      <c r="AA92" s="80">
        <v>125.6</v>
      </c>
      <c r="AB92" s="80">
        <v>125.4</v>
      </c>
      <c r="AC92" s="80">
        <v>124.6</v>
      </c>
      <c r="AD92" s="80">
        <v>124.6</v>
      </c>
      <c r="AE92" s="80">
        <v>124.6</v>
      </c>
      <c r="AF92" s="80">
        <v>126</v>
      </c>
      <c r="AG92" s="79"/>
      <c r="AH92" s="20">
        <f t="shared" si="9"/>
        <v>127.1</v>
      </c>
      <c r="AI92" s="19">
        <f t="shared" si="10"/>
        <v>123.2</v>
      </c>
    </row>
    <row r="93" spans="1:37" x14ac:dyDescent="0.25">
      <c r="A93" s="44" t="s">
        <v>146</v>
      </c>
      <c r="B93" s="80">
        <v>130.80000000000001</v>
      </c>
      <c r="C93" s="80">
        <v>131.30000000000001</v>
      </c>
      <c r="D93" s="80">
        <v>131.4</v>
      </c>
      <c r="E93" s="80">
        <v>131.30000000000001</v>
      </c>
      <c r="F93" s="80">
        <v>131.6</v>
      </c>
      <c r="G93" s="80">
        <v>131.1</v>
      </c>
      <c r="H93" s="80">
        <v>130.6</v>
      </c>
      <c r="I93" s="80">
        <v>130.69999999999999</v>
      </c>
      <c r="J93" s="80">
        <v>127.5</v>
      </c>
      <c r="K93" s="80">
        <v>127.8</v>
      </c>
      <c r="L93" s="80">
        <v>127.8</v>
      </c>
      <c r="M93" s="80">
        <v>127.3</v>
      </c>
      <c r="N93" s="80">
        <v>127.2</v>
      </c>
      <c r="O93" s="80">
        <v>128</v>
      </c>
      <c r="P93" s="80">
        <v>128.69999999999999</v>
      </c>
      <c r="Q93" s="80">
        <v>128.4</v>
      </c>
      <c r="R93" s="80">
        <v>128.1</v>
      </c>
      <c r="S93" s="80">
        <v>128.1</v>
      </c>
      <c r="T93" s="80">
        <v>127.4</v>
      </c>
      <c r="U93" s="80">
        <v>127.6</v>
      </c>
      <c r="V93" s="80">
        <v>127.6</v>
      </c>
      <c r="W93" s="80">
        <v>128</v>
      </c>
      <c r="X93" s="80">
        <v>128</v>
      </c>
      <c r="Y93" s="80">
        <v>128</v>
      </c>
      <c r="Z93" s="80">
        <v>129.1</v>
      </c>
      <c r="AA93" s="80">
        <v>129.19999999999999</v>
      </c>
      <c r="AB93" s="80">
        <v>129.4</v>
      </c>
      <c r="AC93" s="80">
        <v>129.4</v>
      </c>
      <c r="AD93" s="80">
        <v>129</v>
      </c>
      <c r="AE93" s="80">
        <v>129</v>
      </c>
      <c r="AF93" s="80">
        <v>130</v>
      </c>
      <c r="AG93" s="79"/>
      <c r="AH93" s="20">
        <f t="shared" si="9"/>
        <v>131.6</v>
      </c>
      <c r="AI93" s="19">
        <f t="shared" si="10"/>
        <v>127.2</v>
      </c>
    </row>
    <row r="94" spans="1:37" x14ac:dyDescent="0.25">
      <c r="A94" s="44" t="s">
        <v>145</v>
      </c>
      <c r="B94" s="80">
        <v>129.4</v>
      </c>
      <c r="C94" s="80">
        <v>129</v>
      </c>
      <c r="D94" s="80">
        <v>130</v>
      </c>
      <c r="E94" s="80">
        <v>129.80000000000001</v>
      </c>
      <c r="F94" s="80">
        <v>130.69999999999999</v>
      </c>
      <c r="G94" s="80">
        <v>129</v>
      </c>
      <c r="H94" s="80">
        <v>128.80000000000001</v>
      </c>
      <c r="I94" s="80">
        <v>128.9</v>
      </c>
      <c r="J94" s="80">
        <v>127.7</v>
      </c>
      <c r="K94" s="80">
        <v>127.1</v>
      </c>
      <c r="L94" s="80">
        <v>127.1</v>
      </c>
      <c r="M94" s="80">
        <v>127.3</v>
      </c>
      <c r="N94" s="80">
        <v>127.9</v>
      </c>
      <c r="O94" s="80">
        <v>128.1</v>
      </c>
      <c r="P94" s="80">
        <v>128.30000000000001</v>
      </c>
      <c r="Q94" s="80">
        <v>130.1</v>
      </c>
      <c r="R94" s="80">
        <v>127.7</v>
      </c>
      <c r="S94" s="80">
        <v>127.7</v>
      </c>
      <c r="T94" s="80">
        <v>126.7</v>
      </c>
      <c r="U94" s="80">
        <v>127.8</v>
      </c>
      <c r="V94" s="80">
        <v>127.8</v>
      </c>
      <c r="W94" s="80">
        <v>130</v>
      </c>
      <c r="X94" s="80">
        <v>130</v>
      </c>
      <c r="Y94" s="80">
        <v>130</v>
      </c>
      <c r="Z94" s="80">
        <v>130.19999999999999</v>
      </c>
      <c r="AA94" s="80">
        <v>128.69999999999999</v>
      </c>
      <c r="AB94" s="80">
        <v>129.9</v>
      </c>
      <c r="AC94" s="80">
        <v>130.5</v>
      </c>
      <c r="AD94" s="80">
        <v>128.69999999999999</v>
      </c>
      <c r="AE94" s="80">
        <v>128.69999999999999</v>
      </c>
      <c r="AF94" s="80">
        <v>127</v>
      </c>
      <c r="AG94" s="79"/>
      <c r="AH94" s="20">
        <f t="shared" si="9"/>
        <v>130.69999999999999</v>
      </c>
      <c r="AI94" s="19">
        <f t="shared" si="10"/>
        <v>126.7</v>
      </c>
    </row>
    <row r="95" spans="1:37" x14ac:dyDescent="0.25">
      <c r="A95" s="82" t="s">
        <v>144</v>
      </c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79"/>
      <c r="AH95" s="20">
        <f t="shared" si="9"/>
        <v>0</v>
      </c>
      <c r="AI95" s="19">
        <f t="shared" si="10"/>
        <v>0</v>
      </c>
    </row>
    <row r="96" spans="1:37" x14ac:dyDescent="0.25">
      <c r="A96" s="82" t="s">
        <v>143</v>
      </c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>
        <v>132</v>
      </c>
      <c r="T96" s="66">
        <v>131</v>
      </c>
      <c r="U96" s="66">
        <v>129.80000000000001</v>
      </c>
      <c r="V96" s="66">
        <v>129.80000000000001</v>
      </c>
      <c r="W96" s="66">
        <v>129.80000000000001</v>
      </c>
      <c r="X96" s="66">
        <v>129.80000000000001</v>
      </c>
      <c r="Y96" s="66">
        <v>129.80000000000001</v>
      </c>
      <c r="Z96" s="66">
        <v>132.30000000000001</v>
      </c>
      <c r="AA96" s="66">
        <v>133</v>
      </c>
      <c r="AB96" s="66"/>
      <c r="AC96" s="66"/>
      <c r="AD96" s="66"/>
      <c r="AE96" s="66"/>
      <c r="AF96" s="66"/>
      <c r="AG96" s="81"/>
      <c r="AH96" s="20">
        <f t="shared" si="9"/>
        <v>133</v>
      </c>
      <c r="AI96" s="19">
        <f t="shared" si="10"/>
        <v>129.80000000000001</v>
      </c>
    </row>
    <row r="97" spans="1:37" x14ac:dyDescent="0.25">
      <c r="A97" s="44" t="s">
        <v>142</v>
      </c>
      <c r="B97" s="80">
        <v>129</v>
      </c>
      <c r="C97" s="80">
        <v>131.1</v>
      </c>
      <c r="D97" s="80">
        <v>134.30000000000001</v>
      </c>
      <c r="E97" s="80">
        <v>130.4</v>
      </c>
      <c r="F97" s="80">
        <v>133</v>
      </c>
      <c r="G97" s="80">
        <v>135.19999999999999</v>
      </c>
      <c r="H97" s="80">
        <v>127.6</v>
      </c>
      <c r="I97" s="80">
        <v>134.1</v>
      </c>
      <c r="J97" s="80">
        <v>128.19999999999999</v>
      </c>
      <c r="K97" s="80">
        <v>131.69999999999999</v>
      </c>
      <c r="L97" s="80">
        <v>131.69999999999999</v>
      </c>
      <c r="M97" s="80">
        <v>129.9</v>
      </c>
      <c r="N97" s="80">
        <v>130</v>
      </c>
      <c r="O97" s="80">
        <v>131.5</v>
      </c>
      <c r="P97" s="80">
        <v>131.80000000000001</v>
      </c>
      <c r="Q97" s="80">
        <v>133.4</v>
      </c>
      <c r="R97" s="80">
        <v>130.5</v>
      </c>
      <c r="S97" s="80">
        <v>130.5</v>
      </c>
      <c r="T97" s="80">
        <v>125.6</v>
      </c>
      <c r="U97" s="80">
        <v>124.6</v>
      </c>
      <c r="V97" s="80">
        <v>124.6</v>
      </c>
      <c r="W97" s="80">
        <v>124.6</v>
      </c>
      <c r="X97" s="80">
        <v>124.6</v>
      </c>
      <c r="Y97" s="80">
        <v>124.6</v>
      </c>
      <c r="Z97" s="80">
        <v>130.5</v>
      </c>
      <c r="AA97" s="80">
        <v>134.5</v>
      </c>
      <c r="AB97" s="80">
        <v>132.6</v>
      </c>
      <c r="AC97" s="80">
        <v>128.6</v>
      </c>
      <c r="AD97" s="80">
        <v>134</v>
      </c>
      <c r="AE97" s="80">
        <v>134</v>
      </c>
      <c r="AF97" s="80">
        <v>126</v>
      </c>
      <c r="AG97" s="79"/>
      <c r="AH97" s="20">
        <f t="shared" si="9"/>
        <v>135.19999999999999</v>
      </c>
      <c r="AI97" s="19">
        <f t="shared" si="10"/>
        <v>124.6</v>
      </c>
    </row>
    <row r="98" spans="1:37" ht="15.75" thickBot="1" x14ac:dyDescent="0.3">
      <c r="A98" s="44" t="s">
        <v>141</v>
      </c>
      <c r="B98" s="77">
        <v>66</v>
      </c>
      <c r="C98" s="77">
        <v>66.3</v>
      </c>
      <c r="D98" s="77">
        <v>66.2</v>
      </c>
      <c r="E98" s="77">
        <v>66.3</v>
      </c>
      <c r="F98" s="77">
        <v>66.5</v>
      </c>
      <c r="G98" s="77">
        <v>66</v>
      </c>
      <c r="H98" s="77">
        <v>65.8</v>
      </c>
      <c r="I98" s="77">
        <v>65.900000000000006</v>
      </c>
      <c r="J98" s="77">
        <v>64</v>
      </c>
      <c r="K98" s="77">
        <v>64.5</v>
      </c>
      <c r="L98" s="77">
        <v>64.5</v>
      </c>
      <c r="M98" s="77">
        <v>63.8</v>
      </c>
      <c r="N98" s="77">
        <v>64.2</v>
      </c>
      <c r="O98" s="77">
        <v>64.5</v>
      </c>
      <c r="P98" s="77">
        <v>64.900000000000006</v>
      </c>
      <c r="Q98" s="77">
        <v>64.7</v>
      </c>
      <c r="R98" s="77">
        <v>64</v>
      </c>
      <c r="S98" s="77">
        <v>64</v>
      </c>
      <c r="T98" s="77">
        <v>64</v>
      </c>
      <c r="U98" s="77">
        <v>64.3</v>
      </c>
      <c r="V98" s="77">
        <v>64.3</v>
      </c>
      <c r="W98" s="77">
        <v>64.3</v>
      </c>
      <c r="X98" s="77">
        <v>64.3</v>
      </c>
      <c r="Y98" s="77">
        <v>64.3</v>
      </c>
      <c r="Z98" s="77">
        <v>65.099999999999994</v>
      </c>
      <c r="AA98" s="77">
        <v>65.2</v>
      </c>
      <c r="AB98" s="77">
        <v>65.400000000000006</v>
      </c>
      <c r="AC98" s="77">
        <v>65.599999999999994</v>
      </c>
      <c r="AD98" s="77">
        <v>65.5</v>
      </c>
      <c r="AE98" s="77">
        <v>65.5</v>
      </c>
      <c r="AF98" s="77">
        <v>65.8</v>
      </c>
      <c r="AG98" s="76"/>
      <c r="AH98" s="20">
        <f t="shared" si="9"/>
        <v>66.5</v>
      </c>
      <c r="AI98" s="19">
        <f t="shared" si="10"/>
        <v>63.8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9"/>
        <v>0</v>
      </c>
      <c r="AI99" s="19">
        <f t="shared" si="10"/>
        <v>0</v>
      </c>
    </row>
    <row r="100" spans="1:37" ht="15.75" thickBot="1" x14ac:dyDescent="0.3">
      <c r="A100" s="75" t="s">
        <v>140</v>
      </c>
      <c r="B100" s="74">
        <f t="shared" ref="B100:AF100" si="21">SUM(B15,B20,B22:B23,B48,B50:B51,B53,B55,B101:B105,B127,B133,B139,B148,B150,B162,B169,B172:B173,B180,B182,B184,B188:B190,B192:B194,B199,B205:B206,B208:B210,B218,B223)</f>
        <v>36.09999999999998</v>
      </c>
      <c r="C100" s="74">
        <f t="shared" si="21"/>
        <v>39.540000000000006</v>
      </c>
      <c r="D100" s="74">
        <f t="shared" si="21"/>
        <v>34.239999999999988</v>
      </c>
      <c r="E100" s="74">
        <f t="shared" si="21"/>
        <v>33.339999999999996</v>
      </c>
      <c r="F100" s="74">
        <f t="shared" si="21"/>
        <v>31.540000000000013</v>
      </c>
      <c r="G100" s="74">
        <f t="shared" si="21"/>
        <v>58.039999999999992</v>
      </c>
      <c r="H100" s="74">
        <f t="shared" si="21"/>
        <v>63.639999999999993</v>
      </c>
      <c r="I100" s="74">
        <f t="shared" si="21"/>
        <v>92.64</v>
      </c>
      <c r="J100" s="74">
        <f t="shared" si="21"/>
        <v>121.03999999999999</v>
      </c>
      <c r="K100" s="74">
        <f t="shared" si="21"/>
        <v>147.94</v>
      </c>
      <c r="L100" s="74">
        <f t="shared" si="21"/>
        <v>134.84</v>
      </c>
      <c r="M100" s="74">
        <f t="shared" si="21"/>
        <v>198.13999999999996</v>
      </c>
      <c r="N100" s="74">
        <f t="shared" si="21"/>
        <v>195.74</v>
      </c>
      <c r="O100" s="74">
        <f t="shared" si="21"/>
        <v>184.84</v>
      </c>
      <c r="P100" s="74">
        <f t="shared" si="21"/>
        <v>170.44</v>
      </c>
      <c r="Q100" s="74">
        <f t="shared" si="21"/>
        <v>155.09999999999997</v>
      </c>
      <c r="R100" s="74">
        <f t="shared" si="21"/>
        <v>149.29999999999995</v>
      </c>
      <c r="S100" s="74">
        <f t="shared" si="21"/>
        <v>163.29999999999995</v>
      </c>
      <c r="T100" s="74">
        <f t="shared" si="21"/>
        <v>172.4</v>
      </c>
      <c r="U100" s="74">
        <f t="shared" si="21"/>
        <v>177.19999999999996</v>
      </c>
      <c r="V100" s="74">
        <f t="shared" si="21"/>
        <v>178.79999999999998</v>
      </c>
      <c r="W100" s="74">
        <f t="shared" si="21"/>
        <v>204.7</v>
      </c>
      <c r="X100" s="74">
        <f t="shared" si="21"/>
        <v>276.7</v>
      </c>
      <c r="Y100" s="74">
        <f t="shared" si="21"/>
        <v>278.7</v>
      </c>
      <c r="Z100" s="74">
        <f t="shared" si="21"/>
        <v>224.99999999999997</v>
      </c>
      <c r="AA100" s="74">
        <f t="shared" si="21"/>
        <v>224.69999999999996</v>
      </c>
      <c r="AB100" s="74">
        <f t="shared" si="21"/>
        <v>196.4</v>
      </c>
      <c r="AC100" s="74">
        <f t="shared" si="21"/>
        <v>174.79999999999995</v>
      </c>
      <c r="AD100" s="74">
        <f t="shared" si="21"/>
        <v>160.19999999999999</v>
      </c>
      <c r="AE100" s="74">
        <f t="shared" si="21"/>
        <v>91.8</v>
      </c>
      <c r="AF100" s="74">
        <f t="shared" si="21"/>
        <v>61.800000000000011</v>
      </c>
      <c r="AG100" s="73"/>
      <c r="AH100" s="20">
        <f t="shared" si="9"/>
        <v>278.7</v>
      </c>
      <c r="AI100" s="19">
        <f t="shared" si="10"/>
        <v>31.540000000000013</v>
      </c>
    </row>
    <row r="101" spans="1:37" x14ac:dyDescent="0.25">
      <c r="A101" s="47" t="s">
        <v>139</v>
      </c>
      <c r="B101" s="72">
        <v>7.1</v>
      </c>
      <c r="C101" s="72">
        <v>12.2</v>
      </c>
      <c r="D101" s="72">
        <v>10.3</v>
      </c>
      <c r="E101" s="72">
        <v>9.6</v>
      </c>
      <c r="F101" s="72">
        <v>10.5</v>
      </c>
      <c r="G101" s="72">
        <v>18.8</v>
      </c>
      <c r="H101" s="72">
        <v>13</v>
      </c>
      <c r="I101" s="72">
        <v>15.1</v>
      </c>
      <c r="J101" s="72">
        <v>20.3</v>
      </c>
      <c r="K101" s="72">
        <v>11.8</v>
      </c>
      <c r="L101" s="72"/>
      <c r="M101" s="72">
        <v>32.6</v>
      </c>
      <c r="N101" s="72">
        <v>24</v>
      </c>
      <c r="O101" s="72">
        <v>27.1</v>
      </c>
      <c r="P101" s="72">
        <v>19.7</v>
      </c>
      <c r="Q101" s="72">
        <v>20.399999999999999</v>
      </c>
      <c r="R101" s="72">
        <v>20.7</v>
      </c>
      <c r="S101" s="72">
        <v>20.7</v>
      </c>
      <c r="T101" s="72">
        <v>17.3</v>
      </c>
      <c r="U101" s="72">
        <v>21</v>
      </c>
      <c r="V101" s="72">
        <v>23</v>
      </c>
      <c r="W101" s="72">
        <v>28</v>
      </c>
      <c r="X101" s="72">
        <v>22</v>
      </c>
      <c r="Y101" s="72">
        <v>31</v>
      </c>
      <c r="Z101" s="72">
        <v>28.3</v>
      </c>
      <c r="AA101" s="72">
        <v>30.5</v>
      </c>
      <c r="AB101" s="72">
        <v>40.1</v>
      </c>
      <c r="AC101" s="72">
        <v>31.6</v>
      </c>
      <c r="AD101" s="72">
        <v>32.5</v>
      </c>
      <c r="AE101" s="72">
        <v>19.899999999999999</v>
      </c>
      <c r="AF101" s="72">
        <v>10.6</v>
      </c>
      <c r="AG101" s="70">
        <v>75</v>
      </c>
      <c r="AH101" s="20">
        <f t="shared" si="9"/>
        <v>40.1</v>
      </c>
      <c r="AI101" s="19">
        <f t="shared" si="10"/>
        <v>7.1</v>
      </c>
    </row>
    <row r="102" spans="1:37" x14ac:dyDescent="0.25">
      <c r="A102" s="44" t="s">
        <v>138</v>
      </c>
      <c r="B102" s="71">
        <v>23.6</v>
      </c>
      <c r="C102" s="71">
        <v>29.5</v>
      </c>
      <c r="D102" s="71">
        <v>26.7</v>
      </c>
      <c r="E102" s="71">
        <v>26.2</v>
      </c>
      <c r="F102" s="71">
        <v>27</v>
      </c>
      <c r="G102" s="71">
        <v>36.1</v>
      </c>
      <c r="H102" s="71">
        <v>25.3</v>
      </c>
      <c r="I102" s="71">
        <v>28.6</v>
      </c>
      <c r="J102" s="71">
        <v>33.799999999999997</v>
      </c>
      <c r="K102" s="71">
        <v>23</v>
      </c>
      <c r="L102" s="71"/>
      <c r="M102" s="71">
        <v>49.3</v>
      </c>
      <c r="N102" s="71">
        <v>37.9</v>
      </c>
      <c r="O102" s="71">
        <v>43.3</v>
      </c>
      <c r="P102" s="71">
        <v>32.700000000000003</v>
      </c>
      <c r="Q102" s="71">
        <v>36</v>
      </c>
      <c r="R102" s="71">
        <v>38.1</v>
      </c>
      <c r="S102" s="71">
        <v>38.1</v>
      </c>
      <c r="T102" s="71">
        <v>33.299999999999997</v>
      </c>
      <c r="U102" s="71">
        <v>37.6</v>
      </c>
      <c r="V102" s="71">
        <v>40</v>
      </c>
      <c r="W102" s="71">
        <v>45</v>
      </c>
      <c r="X102" s="71">
        <v>36</v>
      </c>
      <c r="Y102" s="71">
        <v>49</v>
      </c>
      <c r="Z102" s="71">
        <v>45.2</v>
      </c>
      <c r="AA102" s="71">
        <v>49.2</v>
      </c>
      <c r="AB102" s="71">
        <v>63.4</v>
      </c>
      <c r="AC102" s="71">
        <v>53.6</v>
      </c>
      <c r="AD102" s="71">
        <v>56.9</v>
      </c>
      <c r="AE102" s="71">
        <v>37.200000000000003</v>
      </c>
      <c r="AF102" s="71">
        <v>26.5</v>
      </c>
      <c r="AG102" s="70">
        <v>240</v>
      </c>
      <c r="AH102" s="20">
        <f t="shared" si="9"/>
        <v>63.4</v>
      </c>
      <c r="AI102" s="19">
        <f t="shared" si="10"/>
        <v>23</v>
      </c>
    </row>
    <row r="103" spans="1:37" x14ac:dyDescent="0.25">
      <c r="A103" s="44" t="s">
        <v>137</v>
      </c>
      <c r="B103" s="71">
        <f>-61.4-64</f>
        <v>-125.4</v>
      </c>
      <c r="C103" s="71">
        <f>-61.4-65</f>
        <v>-126.4</v>
      </c>
      <c r="D103" s="71">
        <f>-63-65.4</f>
        <v>-128.4</v>
      </c>
      <c r="E103" s="71">
        <f>-61.7-65.7</f>
        <v>-127.4</v>
      </c>
      <c r="F103" s="71">
        <f>-62.6-67.2</f>
        <v>-129.80000000000001</v>
      </c>
      <c r="G103" s="71">
        <f>-60-63.7</f>
        <v>-123.7</v>
      </c>
      <c r="H103" s="71">
        <f>-43.1-47.1</f>
        <v>-90.2</v>
      </c>
      <c r="I103" s="71">
        <f>-41.7-44.9</f>
        <v>-86.6</v>
      </c>
      <c r="J103" s="71">
        <f>-37.6-40.1</f>
        <v>-77.7</v>
      </c>
      <c r="K103" s="71">
        <f>-41.7-43.2</f>
        <v>-84.9</v>
      </c>
      <c r="L103" s="71"/>
      <c r="M103" s="71">
        <f>-42-46</f>
        <v>-88</v>
      </c>
      <c r="N103" s="71">
        <f>-41-44</f>
        <v>-85</v>
      </c>
      <c r="O103" s="71">
        <f>-41-45</f>
        <v>-86</v>
      </c>
      <c r="P103" s="71">
        <f>-41-44</f>
        <v>-85</v>
      </c>
      <c r="Q103" s="71">
        <f>-48-52</f>
        <v>-100</v>
      </c>
      <c r="R103" s="71">
        <f>-49-52</f>
        <v>-101</v>
      </c>
      <c r="S103" s="71">
        <f>-49-52</f>
        <v>-101</v>
      </c>
      <c r="T103" s="71">
        <v>-98</v>
      </c>
      <c r="U103" s="71">
        <v>-91</v>
      </c>
      <c r="V103" s="71">
        <v>-92</v>
      </c>
      <c r="W103" s="71">
        <v>-83</v>
      </c>
      <c r="X103" s="71">
        <v>-60</v>
      </c>
      <c r="Y103" s="71">
        <v>-60</v>
      </c>
      <c r="Z103" s="71">
        <v>-91</v>
      </c>
      <c r="AA103" s="71">
        <v>-85</v>
      </c>
      <c r="AB103" s="71">
        <f>-54.5-52.7</f>
        <v>-107.2</v>
      </c>
      <c r="AC103" s="71">
        <f>-54-58.1</f>
        <v>-112.1</v>
      </c>
      <c r="AD103" s="71">
        <v>-121</v>
      </c>
      <c r="AE103" s="71">
        <v>-120</v>
      </c>
      <c r="AF103" s="71">
        <v>-97</v>
      </c>
      <c r="AG103" s="70">
        <v>240</v>
      </c>
      <c r="AH103" s="20">
        <f t="shared" si="9"/>
        <v>-60</v>
      </c>
      <c r="AI103" s="19">
        <f t="shared" si="10"/>
        <v>-129.80000000000001</v>
      </c>
    </row>
    <row r="104" spans="1:37" x14ac:dyDescent="0.25">
      <c r="A104" s="44" t="s">
        <v>136</v>
      </c>
      <c r="B104" s="71">
        <v>-2.2999999999999998</v>
      </c>
      <c r="C104" s="71">
        <v>-2.8</v>
      </c>
      <c r="D104" s="71">
        <v>-1.4</v>
      </c>
      <c r="E104" s="71">
        <v>-2.1</v>
      </c>
      <c r="F104" s="71">
        <v>-3.2</v>
      </c>
      <c r="G104" s="71">
        <v>-0.2</v>
      </c>
      <c r="H104" s="71">
        <v>3.9</v>
      </c>
      <c r="I104" s="71">
        <v>7.7</v>
      </c>
      <c r="J104" s="71">
        <v>9.8000000000000007</v>
      </c>
      <c r="K104" s="71">
        <v>10.199999999999999</v>
      </c>
      <c r="L104" s="71"/>
      <c r="M104" s="71">
        <v>12.5</v>
      </c>
      <c r="N104" s="71">
        <v>12.8</v>
      </c>
      <c r="O104" s="71">
        <v>11.5</v>
      </c>
      <c r="P104" s="71">
        <v>13</v>
      </c>
      <c r="Q104" s="71">
        <v>10.1</v>
      </c>
      <c r="R104" s="71">
        <v>8.3000000000000007</v>
      </c>
      <c r="S104" s="71">
        <v>8.3000000000000007</v>
      </c>
      <c r="T104" s="71">
        <v>7</v>
      </c>
      <c r="U104" s="71">
        <v>9.6</v>
      </c>
      <c r="V104" s="71">
        <v>10.6</v>
      </c>
      <c r="W104" s="71">
        <v>14</v>
      </c>
      <c r="X104" s="71">
        <v>37</v>
      </c>
      <c r="Y104" s="71">
        <v>36</v>
      </c>
      <c r="Z104" s="71">
        <v>33</v>
      </c>
      <c r="AA104" s="71">
        <v>14.2</v>
      </c>
      <c r="AB104" s="71">
        <v>10.8</v>
      </c>
      <c r="AC104" s="71">
        <v>8.6999999999999993</v>
      </c>
      <c r="AD104" s="71">
        <v>7</v>
      </c>
      <c r="AE104" s="71">
        <v>6.3</v>
      </c>
      <c r="AF104" s="71">
        <v>4</v>
      </c>
      <c r="AG104" s="70">
        <v>60</v>
      </c>
      <c r="AH104" s="20">
        <f t="shared" si="9"/>
        <v>37</v>
      </c>
      <c r="AI104" s="19">
        <f t="shared" si="10"/>
        <v>-3.2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53</v>
      </c>
      <c r="L105" s="68"/>
      <c r="M105" s="68">
        <v>48.6</v>
      </c>
      <c r="N105" s="68">
        <v>59.2</v>
      </c>
      <c r="O105" s="68">
        <v>57.1</v>
      </c>
      <c r="P105" s="68">
        <v>61.2</v>
      </c>
      <c r="Q105" s="68">
        <v>42.7</v>
      </c>
      <c r="R105" s="68">
        <v>37.299999999999997</v>
      </c>
      <c r="S105" s="68">
        <v>37.299999999999997</v>
      </c>
      <c r="T105" s="68">
        <v>52.9</v>
      </c>
      <c r="U105" s="68">
        <v>48.1</v>
      </c>
      <c r="V105" s="68">
        <v>40</v>
      </c>
      <c r="W105" s="68">
        <v>47</v>
      </c>
      <c r="X105" s="68">
        <v>78</v>
      </c>
      <c r="Y105" s="68">
        <v>59</v>
      </c>
      <c r="Z105" s="68">
        <v>45.6</v>
      </c>
      <c r="AA105" s="68">
        <v>51.9</v>
      </c>
      <c r="AB105" s="68">
        <v>25.4</v>
      </c>
      <c r="AC105" s="68">
        <v>29.1</v>
      </c>
      <c r="AD105" s="68">
        <v>20.9</v>
      </c>
      <c r="AE105" s="68">
        <v>0</v>
      </c>
      <c r="AF105" s="68">
        <v>0</v>
      </c>
      <c r="AG105" s="69">
        <v>120</v>
      </c>
      <c r="AH105" s="20">
        <f t="shared" si="9"/>
        <v>78</v>
      </c>
      <c r="AI105" s="19">
        <f t="shared" si="10"/>
        <v>0</v>
      </c>
    </row>
    <row r="106" spans="1:37" x14ac:dyDescent="0.25">
      <c r="A106" s="40" t="s">
        <v>134</v>
      </c>
      <c r="B106" s="68">
        <v>36.200000000000003</v>
      </c>
      <c r="C106" s="68">
        <v>27</v>
      </c>
      <c r="D106" s="68">
        <v>29.5</v>
      </c>
      <c r="E106" s="68">
        <v>28.6</v>
      </c>
      <c r="F106" s="68">
        <v>20.100000000000001</v>
      </c>
      <c r="G106" s="68">
        <v>23.4</v>
      </c>
      <c r="H106" s="68">
        <v>30</v>
      </c>
      <c r="I106" s="68">
        <v>42.2</v>
      </c>
      <c r="J106" s="68">
        <v>54.1</v>
      </c>
      <c r="K106" s="68">
        <v>50</v>
      </c>
      <c r="L106" s="68"/>
      <c r="M106" s="68">
        <v>44.6</v>
      </c>
      <c r="N106" s="68">
        <v>51.3</v>
      </c>
      <c r="O106" s="68">
        <v>44.5</v>
      </c>
      <c r="P106" s="68">
        <v>50.6</v>
      </c>
      <c r="Q106" s="68">
        <v>45</v>
      </c>
      <c r="R106" s="68">
        <v>37.6</v>
      </c>
      <c r="S106" s="68">
        <v>37.6</v>
      </c>
      <c r="T106" s="68">
        <v>50.5</v>
      </c>
      <c r="U106" s="68">
        <v>46.5</v>
      </c>
      <c r="V106" s="68">
        <v>40</v>
      </c>
      <c r="W106" s="68">
        <v>41</v>
      </c>
      <c r="X106" s="68">
        <v>65</v>
      </c>
      <c r="Y106" s="68">
        <v>51</v>
      </c>
      <c r="Z106" s="68">
        <v>39.299999999999997</v>
      </c>
      <c r="AA106" s="68">
        <v>46.3</v>
      </c>
      <c r="AB106" s="68">
        <v>24.9</v>
      </c>
      <c r="AC106" s="68">
        <v>35</v>
      </c>
      <c r="AD106" s="68">
        <v>31.8</v>
      </c>
      <c r="AE106" s="68">
        <v>26.2</v>
      </c>
      <c r="AF106" s="68">
        <v>50.6</v>
      </c>
      <c r="AG106" s="69"/>
      <c r="AH106" s="20">
        <f t="shared" si="9"/>
        <v>65</v>
      </c>
      <c r="AI106" s="19">
        <f t="shared" si="10"/>
        <v>20.100000000000001</v>
      </c>
    </row>
    <row r="107" spans="1:37" x14ac:dyDescent="0.25">
      <c r="A107" s="40" t="s">
        <v>133</v>
      </c>
      <c r="B107" s="68">
        <v>52.4</v>
      </c>
      <c r="C107" s="68">
        <v>38.200000000000003</v>
      </c>
      <c r="D107" s="68">
        <v>36.1</v>
      </c>
      <c r="E107" s="68">
        <v>37</v>
      </c>
      <c r="F107" s="68">
        <v>42.9</v>
      </c>
      <c r="G107" s="68">
        <v>17.7</v>
      </c>
      <c r="H107" s="68">
        <v>46.9</v>
      </c>
      <c r="I107" s="68">
        <v>46.1</v>
      </c>
      <c r="J107" s="68">
        <v>27</v>
      </c>
      <c r="K107" s="68">
        <v>46.9</v>
      </c>
      <c r="L107" s="68"/>
      <c r="M107" s="68">
        <v>19.600000000000001</v>
      </c>
      <c r="N107" s="68">
        <v>32.5</v>
      </c>
      <c r="O107" s="68">
        <v>35.200000000000003</v>
      </c>
      <c r="P107" s="68">
        <v>45.5</v>
      </c>
      <c r="Q107" s="68">
        <v>41.3</v>
      </c>
      <c r="R107" s="68">
        <v>41.9</v>
      </c>
      <c r="S107" s="68">
        <v>41.9</v>
      </c>
      <c r="T107" s="68">
        <v>51.9</v>
      </c>
      <c r="U107" s="68">
        <v>51.2</v>
      </c>
      <c r="V107" s="68">
        <v>47</v>
      </c>
      <c r="W107" s="68">
        <v>40</v>
      </c>
      <c r="X107" s="68">
        <v>56</v>
      </c>
      <c r="Y107" s="68">
        <v>34</v>
      </c>
      <c r="Z107" s="68">
        <v>42.6</v>
      </c>
      <c r="AA107" s="68">
        <v>33.1</v>
      </c>
      <c r="AB107" s="68">
        <v>13.8</v>
      </c>
      <c r="AC107" s="68">
        <v>41.4</v>
      </c>
      <c r="AD107" s="68">
        <v>39.299999999999997</v>
      </c>
      <c r="AE107" s="68">
        <v>21.7</v>
      </c>
      <c r="AF107" s="68">
        <v>43</v>
      </c>
      <c r="AG107" s="48"/>
      <c r="AH107" s="20">
        <f t="shared" si="9"/>
        <v>56</v>
      </c>
      <c r="AI107" s="19">
        <f t="shared" si="10"/>
        <v>13.8</v>
      </c>
    </row>
    <row r="108" spans="1:37" x14ac:dyDescent="0.25">
      <c r="A108" s="67" t="s">
        <v>132</v>
      </c>
      <c r="B108" s="66">
        <v>117.2</v>
      </c>
      <c r="C108" s="66">
        <v>118.2</v>
      </c>
      <c r="D108" s="66">
        <v>73.599999999999994</v>
      </c>
      <c r="E108" s="66">
        <v>107.8</v>
      </c>
      <c r="F108" s="66">
        <v>111.1</v>
      </c>
      <c r="G108" s="66">
        <v>111.1</v>
      </c>
      <c r="H108" s="66">
        <v>108.6</v>
      </c>
      <c r="I108" s="66">
        <v>106.1</v>
      </c>
      <c r="J108" s="66">
        <v>114.5</v>
      </c>
      <c r="K108" s="66">
        <v>116.9</v>
      </c>
      <c r="L108" s="66"/>
      <c r="M108" s="66">
        <v>115.7</v>
      </c>
      <c r="N108" s="66">
        <v>115.6</v>
      </c>
      <c r="O108" s="66">
        <v>117</v>
      </c>
      <c r="P108" s="66">
        <v>108.6</v>
      </c>
      <c r="Q108" s="66">
        <v>102.1</v>
      </c>
      <c r="R108" s="66">
        <v>104.2</v>
      </c>
      <c r="S108" s="66">
        <v>104.2</v>
      </c>
      <c r="T108" s="66">
        <v>101.8</v>
      </c>
      <c r="U108" s="66">
        <v>113.3</v>
      </c>
      <c r="V108" s="66">
        <v>111</v>
      </c>
      <c r="W108" s="66">
        <v>101</v>
      </c>
      <c r="X108" s="66">
        <v>96</v>
      </c>
      <c r="Y108" s="66">
        <v>95</v>
      </c>
      <c r="Z108" s="66">
        <v>101.6</v>
      </c>
      <c r="AA108" s="66">
        <v>103.8</v>
      </c>
      <c r="AB108" s="66">
        <v>108.5</v>
      </c>
      <c r="AC108" s="66">
        <v>41.4</v>
      </c>
      <c r="AD108" s="66">
        <v>114.9</v>
      </c>
      <c r="AE108" s="66">
        <v>112.5</v>
      </c>
      <c r="AF108" s="66">
        <v>112</v>
      </c>
      <c r="AG108" s="48"/>
      <c r="AH108" s="20">
        <f t="shared" si="9"/>
        <v>118.2</v>
      </c>
      <c r="AI108" s="19">
        <f t="shared" si="10"/>
        <v>41.4</v>
      </c>
    </row>
    <row r="109" spans="1:37" ht="15.75" thickBot="1" x14ac:dyDescent="0.3">
      <c r="A109" s="67" t="s">
        <v>131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>
        <v>55</v>
      </c>
      <c r="T109" s="66">
        <v>55</v>
      </c>
      <c r="U109" s="66">
        <v>54.5</v>
      </c>
      <c r="V109" s="66">
        <v>58</v>
      </c>
      <c r="W109" s="66">
        <v>52</v>
      </c>
      <c r="X109" s="66">
        <v>41</v>
      </c>
      <c r="Y109" s="66">
        <v>53</v>
      </c>
      <c r="Z109" s="66">
        <v>55</v>
      </c>
      <c r="AA109" s="66">
        <v>54.1</v>
      </c>
      <c r="AB109" s="66">
        <v>74.7</v>
      </c>
      <c r="AC109" s="66">
        <v>74.8</v>
      </c>
      <c r="AD109" s="66">
        <v>82.7</v>
      </c>
      <c r="AE109" s="66">
        <v>83.7</v>
      </c>
      <c r="AF109" s="66">
        <v>60.2</v>
      </c>
      <c r="AG109" s="48"/>
      <c r="AH109" s="20">
        <f t="shared" si="9"/>
        <v>83.7</v>
      </c>
      <c r="AI109" s="19">
        <f t="shared" si="10"/>
        <v>41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2">SUM(B111:B215)</f>
        <v>0</v>
      </c>
      <c r="C216" s="36">
        <f t="shared" si="22"/>
        <v>0</v>
      </c>
      <c r="D216" s="36">
        <f t="shared" si="22"/>
        <v>0</v>
      </c>
      <c r="E216" s="36">
        <f t="shared" si="22"/>
        <v>0</v>
      </c>
      <c r="F216" s="36">
        <f t="shared" si="22"/>
        <v>0</v>
      </c>
      <c r="G216" s="36">
        <f t="shared" si="22"/>
        <v>0</v>
      </c>
      <c r="H216" s="36">
        <f t="shared" si="22"/>
        <v>0</v>
      </c>
      <c r="I216" s="36">
        <f t="shared" si="22"/>
        <v>0</v>
      </c>
      <c r="J216" s="36">
        <f t="shared" si="22"/>
        <v>0</v>
      </c>
      <c r="K216" s="36">
        <f t="shared" si="22"/>
        <v>0</v>
      </c>
      <c r="L216" s="36">
        <f t="shared" si="22"/>
        <v>0</v>
      </c>
      <c r="M216" s="36">
        <f t="shared" si="22"/>
        <v>0</v>
      </c>
      <c r="N216" s="36">
        <f t="shared" si="22"/>
        <v>0</v>
      </c>
      <c r="O216" s="36">
        <f t="shared" si="22"/>
        <v>0</v>
      </c>
      <c r="P216" s="36">
        <f t="shared" si="22"/>
        <v>0</v>
      </c>
      <c r="Q216" s="36">
        <f t="shared" si="22"/>
        <v>0</v>
      </c>
      <c r="R216" s="36">
        <f t="shared" si="22"/>
        <v>0</v>
      </c>
      <c r="S216" s="36">
        <f t="shared" si="22"/>
        <v>0</v>
      </c>
      <c r="T216" s="36">
        <f t="shared" si="22"/>
        <v>0</v>
      </c>
      <c r="U216" s="36">
        <f t="shared" si="22"/>
        <v>0</v>
      </c>
      <c r="V216" s="36">
        <f t="shared" si="22"/>
        <v>0</v>
      </c>
      <c r="W216" s="36">
        <f t="shared" si="22"/>
        <v>0</v>
      </c>
      <c r="X216" s="36">
        <f t="shared" si="22"/>
        <v>0</v>
      </c>
      <c r="Y216" s="36">
        <f t="shared" si="22"/>
        <v>0</v>
      </c>
      <c r="Z216" s="36">
        <f t="shared" si="22"/>
        <v>0</v>
      </c>
      <c r="AA216" s="36">
        <f t="shared" si="22"/>
        <v>0</v>
      </c>
      <c r="AB216" s="36">
        <f t="shared" si="22"/>
        <v>0</v>
      </c>
      <c r="AC216" s="36">
        <f t="shared" si="22"/>
        <v>0</v>
      </c>
      <c r="AD216" s="36">
        <f t="shared" si="22"/>
        <v>0</v>
      </c>
      <c r="AE216" s="36">
        <f t="shared" si="22"/>
        <v>0</v>
      </c>
      <c r="AF216" s="51">
        <f t="shared" si="22"/>
        <v>0</v>
      </c>
      <c r="AG216" s="50">
        <f t="shared" si="22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3">AF218</f>
        <v>0</v>
      </c>
      <c r="C218" s="46">
        <v>0.3</v>
      </c>
      <c r="D218" s="46">
        <f t="shared" ref="D218:P223" si="24">C218</f>
        <v>0.3</v>
      </c>
      <c r="E218" s="46">
        <f t="shared" si="24"/>
        <v>0.3</v>
      </c>
      <c r="F218" s="46">
        <f t="shared" si="24"/>
        <v>0.3</v>
      </c>
      <c r="G218" s="46">
        <f t="shared" si="24"/>
        <v>0.3</v>
      </c>
      <c r="H218" s="46">
        <f t="shared" si="24"/>
        <v>0.3</v>
      </c>
      <c r="I218" s="46">
        <f t="shared" si="24"/>
        <v>0.3</v>
      </c>
      <c r="J218" s="46">
        <f t="shared" si="24"/>
        <v>0.3</v>
      </c>
      <c r="K218" s="46">
        <f t="shared" si="24"/>
        <v>0.3</v>
      </c>
      <c r="L218" s="46">
        <f t="shared" si="24"/>
        <v>0.3</v>
      </c>
      <c r="M218" s="46">
        <f t="shared" si="24"/>
        <v>0.3</v>
      </c>
      <c r="N218" s="46">
        <f t="shared" si="24"/>
        <v>0.3</v>
      </c>
      <c r="O218" s="46">
        <f t="shared" si="24"/>
        <v>0.3</v>
      </c>
      <c r="P218" s="46">
        <f t="shared" si="24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3"/>
        <v>0</v>
      </c>
      <c r="C219" s="43">
        <v>0.4</v>
      </c>
      <c r="D219" s="43">
        <f t="shared" si="24"/>
        <v>0.4</v>
      </c>
      <c r="E219" s="43">
        <f t="shared" si="24"/>
        <v>0.4</v>
      </c>
      <c r="F219" s="43">
        <f t="shared" si="24"/>
        <v>0.4</v>
      </c>
      <c r="G219" s="43">
        <f t="shared" si="24"/>
        <v>0.4</v>
      </c>
      <c r="H219" s="43">
        <f t="shared" si="24"/>
        <v>0.4</v>
      </c>
      <c r="I219" s="43">
        <f t="shared" si="24"/>
        <v>0.4</v>
      </c>
      <c r="J219" s="43">
        <f t="shared" si="24"/>
        <v>0.4</v>
      </c>
      <c r="K219" s="43">
        <f t="shared" si="24"/>
        <v>0.4</v>
      </c>
      <c r="L219" s="43">
        <f t="shared" si="24"/>
        <v>0.4</v>
      </c>
      <c r="M219" s="43">
        <f t="shared" si="24"/>
        <v>0.4</v>
      </c>
      <c r="N219" s="43">
        <f t="shared" si="24"/>
        <v>0.4</v>
      </c>
      <c r="O219" s="43">
        <f t="shared" si="24"/>
        <v>0.4</v>
      </c>
      <c r="P219" s="43">
        <f t="shared" si="24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3"/>
        <v>0</v>
      </c>
      <c r="C220" s="43">
        <v>1.5</v>
      </c>
      <c r="D220" s="43">
        <f t="shared" si="24"/>
        <v>1.5</v>
      </c>
      <c r="E220" s="43">
        <f t="shared" si="24"/>
        <v>1.5</v>
      </c>
      <c r="F220" s="43">
        <f t="shared" si="24"/>
        <v>1.5</v>
      </c>
      <c r="G220" s="43">
        <f t="shared" si="24"/>
        <v>1.5</v>
      </c>
      <c r="H220" s="43">
        <f t="shared" si="24"/>
        <v>1.5</v>
      </c>
      <c r="I220" s="43">
        <f t="shared" si="24"/>
        <v>1.5</v>
      </c>
      <c r="J220" s="43">
        <f t="shared" si="24"/>
        <v>1.5</v>
      </c>
      <c r="K220" s="43">
        <f t="shared" si="24"/>
        <v>1.5</v>
      </c>
      <c r="L220" s="43">
        <f t="shared" si="24"/>
        <v>1.5</v>
      </c>
      <c r="M220" s="43">
        <f t="shared" si="24"/>
        <v>1.5</v>
      </c>
      <c r="N220" s="43">
        <f t="shared" si="24"/>
        <v>1.5</v>
      </c>
      <c r="O220" s="43">
        <f t="shared" si="24"/>
        <v>1.5</v>
      </c>
      <c r="P220" s="43">
        <f t="shared" si="24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3"/>
        <v>0</v>
      </c>
      <c r="C221" s="43">
        <v>0.3</v>
      </c>
      <c r="D221" s="43">
        <f t="shared" si="24"/>
        <v>0.3</v>
      </c>
      <c r="E221" s="43">
        <f t="shared" si="24"/>
        <v>0.3</v>
      </c>
      <c r="F221" s="43">
        <f t="shared" si="24"/>
        <v>0.3</v>
      </c>
      <c r="G221" s="43">
        <f t="shared" si="24"/>
        <v>0.3</v>
      </c>
      <c r="H221" s="43">
        <f t="shared" si="24"/>
        <v>0.3</v>
      </c>
      <c r="I221" s="43">
        <f t="shared" si="24"/>
        <v>0.3</v>
      </c>
      <c r="J221" s="43">
        <f t="shared" si="24"/>
        <v>0.3</v>
      </c>
      <c r="K221" s="43">
        <f t="shared" si="24"/>
        <v>0.3</v>
      </c>
      <c r="L221" s="43">
        <f t="shared" si="24"/>
        <v>0.3</v>
      </c>
      <c r="M221" s="43">
        <f t="shared" si="24"/>
        <v>0.3</v>
      </c>
      <c r="N221" s="43">
        <f t="shared" si="24"/>
        <v>0.3</v>
      </c>
      <c r="O221" s="43">
        <f t="shared" si="24"/>
        <v>0.3</v>
      </c>
      <c r="P221" s="43">
        <f t="shared" si="24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3"/>
        <v>0</v>
      </c>
      <c r="C222" s="43">
        <v>0.4</v>
      </c>
      <c r="D222" s="43">
        <f t="shared" si="24"/>
        <v>0.4</v>
      </c>
      <c r="E222" s="43">
        <f t="shared" si="24"/>
        <v>0.4</v>
      </c>
      <c r="F222" s="43">
        <f t="shared" si="24"/>
        <v>0.4</v>
      </c>
      <c r="G222" s="43">
        <f t="shared" si="24"/>
        <v>0.4</v>
      </c>
      <c r="H222" s="43">
        <f t="shared" si="24"/>
        <v>0.4</v>
      </c>
      <c r="I222" s="43">
        <f t="shared" si="24"/>
        <v>0.4</v>
      </c>
      <c r="J222" s="43">
        <f t="shared" si="24"/>
        <v>0.4</v>
      </c>
      <c r="K222" s="43">
        <f t="shared" si="24"/>
        <v>0.4</v>
      </c>
      <c r="L222" s="43">
        <f t="shared" si="24"/>
        <v>0.4</v>
      </c>
      <c r="M222" s="43">
        <f t="shared" si="24"/>
        <v>0.4</v>
      </c>
      <c r="N222" s="43">
        <f t="shared" si="24"/>
        <v>0.4</v>
      </c>
      <c r="O222" s="43">
        <f t="shared" si="24"/>
        <v>0.4</v>
      </c>
      <c r="P222" s="43">
        <f t="shared" si="24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3"/>
        <v>0</v>
      </c>
      <c r="C223" s="39">
        <v>0.64</v>
      </c>
      <c r="D223" s="39">
        <f t="shared" si="24"/>
        <v>0.64</v>
      </c>
      <c r="E223" s="39">
        <f t="shared" si="24"/>
        <v>0.64</v>
      </c>
      <c r="F223" s="39">
        <f t="shared" si="24"/>
        <v>0.64</v>
      </c>
      <c r="G223" s="39">
        <f t="shared" si="24"/>
        <v>0.64</v>
      </c>
      <c r="H223" s="39">
        <f t="shared" si="24"/>
        <v>0.64</v>
      </c>
      <c r="I223" s="39">
        <f t="shared" si="24"/>
        <v>0.64</v>
      </c>
      <c r="J223" s="39">
        <f t="shared" si="24"/>
        <v>0.64</v>
      </c>
      <c r="K223" s="39">
        <f t="shared" si="24"/>
        <v>0.64</v>
      </c>
      <c r="L223" s="39">
        <f t="shared" si="24"/>
        <v>0.64</v>
      </c>
      <c r="M223" s="39">
        <f t="shared" si="24"/>
        <v>0.64</v>
      </c>
      <c r="N223" s="39">
        <f t="shared" si="24"/>
        <v>0.64</v>
      </c>
      <c r="O223" s="39">
        <f t="shared" si="24"/>
        <v>0.64</v>
      </c>
      <c r="P223" s="39">
        <f t="shared" si="24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5">SUM(B218:B223)</f>
        <v>0</v>
      </c>
      <c r="C224" s="36">
        <f t="shared" si="25"/>
        <v>3.54</v>
      </c>
      <c r="D224" s="36">
        <f t="shared" si="25"/>
        <v>3.54</v>
      </c>
      <c r="E224" s="36">
        <f t="shared" si="25"/>
        <v>3.54</v>
      </c>
      <c r="F224" s="36">
        <f t="shared" si="25"/>
        <v>3.54</v>
      </c>
      <c r="G224" s="36">
        <f t="shared" si="25"/>
        <v>3.54</v>
      </c>
      <c r="H224" s="36">
        <f t="shared" si="25"/>
        <v>3.54</v>
      </c>
      <c r="I224" s="36">
        <f t="shared" si="25"/>
        <v>3.54</v>
      </c>
      <c r="J224" s="36">
        <f t="shared" si="25"/>
        <v>3.54</v>
      </c>
      <c r="K224" s="36">
        <f t="shared" si="25"/>
        <v>3.54</v>
      </c>
      <c r="L224" s="36">
        <f t="shared" si="25"/>
        <v>3.54</v>
      </c>
      <c r="M224" s="36">
        <f t="shared" si="25"/>
        <v>3.54</v>
      </c>
      <c r="N224" s="36">
        <f t="shared" si="25"/>
        <v>3.54</v>
      </c>
      <c r="O224" s="36">
        <f t="shared" si="25"/>
        <v>3.54</v>
      </c>
      <c r="P224" s="36">
        <f t="shared" si="25"/>
        <v>3.54</v>
      </c>
      <c r="Q224" s="36">
        <f t="shared" si="25"/>
        <v>0</v>
      </c>
      <c r="R224" s="36">
        <f t="shared" si="25"/>
        <v>0</v>
      </c>
      <c r="S224" s="36">
        <f t="shared" si="25"/>
        <v>0</v>
      </c>
      <c r="T224" s="36">
        <f t="shared" si="25"/>
        <v>0</v>
      </c>
      <c r="U224" s="36">
        <f t="shared" si="25"/>
        <v>0</v>
      </c>
      <c r="V224" s="36">
        <f t="shared" si="25"/>
        <v>0</v>
      </c>
      <c r="W224" s="36">
        <f t="shared" si="25"/>
        <v>0</v>
      </c>
      <c r="X224" s="36">
        <f t="shared" si="25"/>
        <v>0</v>
      </c>
      <c r="Y224" s="36">
        <f t="shared" si="25"/>
        <v>0</v>
      </c>
      <c r="Z224" s="36">
        <f t="shared" si="25"/>
        <v>0</v>
      </c>
      <c r="AA224" s="36">
        <f t="shared" si="25"/>
        <v>0</v>
      </c>
      <c r="AB224" s="36">
        <f t="shared" si="25"/>
        <v>0</v>
      </c>
      <c r="AC224" s="36">
        <f t="shared" si="25"/>
        <v>0</v>
      </c>
      <c r="AD224" s="36">
        <f t="shared" si="25"/>
        <v>0</v>
      </c>
      <c r="AE224" s="36">
        <f t="shared" si="25"/>
        <v>0</v>
      </c>
      <c r="AF224" s="36">
        <f t="shared" si="25"/>
        <v>0</v>
      </c>
      <c r="AG224" s="35">
        <f t="shared" si="25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1629.44</v>
      </c>
      <c r="C233" s="16">
        <f>INDEX(G9:N9,1,MATCH(MAX(G81:N81),G81:N81,0))</f>
        <v>0.33333333333333331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28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2079/06/28)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2079/06/28)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6">B81</f>
        <v>1535.6399999999999</v>
      </c>
      <c r="U238" s="9">
        <f t="shared" si="26"/>
        <v>1523.6399999999999</v>
      </c>
      <c r="V238" s="9">
        <f t="shared" si="26"/>
        <v>1542.84</v>
      </c>
      <c r="W238" s="9">
        <f t="shared" si="26"/>
        <v>1533.24</v>
      </c>
      <c r="X238" s="9">
        <f t="shared" si="26"/>
        <v>1539.44</v>
      </c>
      <c r="Y238" s="9">
        <f t="shared" si="26"/>
        <v>1508.44</v>
      </c>
      <c r="Z238" s="9">
        <f t="shared" si="26"/>
        <v>1524.04</v>
      </c>
      <c r="AA238" s="9">
        <f t="shared" si="26"/>
        <v>1530.04</v>
      </c>
      <c r="AB238" s="9">
        <f t="shared" si="26"/>
        <v>1569.54</v>
      </c>
      <c r="AC238" s="9">
        <f t="shared" si="26"/>
        <v>1600.44</v>
      </c>
      <c r="AD238" s="9">
        <f t="shared" si="26"/>
        <v>1599.54</v>
      </c>
      <c r="AE238" s="9">
        <f t="shared" si="26"/>
        <v>1629.44</v>
      </c>
      <c r="AF238" s="9">
        <f t="shared" si="26"/>
        <v>1612.44</v>
      </c>
      <c r="AG238" s="9">
        <f t="shared" si="26"/>
        <v>1615.44</v>
      </c>
      <c r="AH238" s="9">
        <f t="shared" si="26"/>
        <v>1596.2399999999998</v>
      </c>
      <c r="AI238" s="9">
        <f t="shared" si="26"/>
        <v>1626.2399999999998</v>
      </c>
      <c r="AJ238" s="9">
        <f t="shared" si="26"/>
        <v>1632.2399999999998</v>
      </c>
      <c r="AK238" s="9">
        <f t="shared" si="26"/>
        <v>1610.3400000000001</v>
      </c>
      <c r="AL238" s="9">
        <f t="shared" si="26"/>
        <v>1622.04</v>
      </c>
      <c r="AM238" s="9">
        <f t="shared" si="26"/>
        <v>1630.04</v>
      </c>
      <c r="AN238" s="9">
        <f t="shared" si="26"/>
        <v>1575.1399999999999</v>
      </c>
      <c r="AO238" s="9">
        <f t="shared" si="26"/>
        <v>1575.34</v>
      </c>
      <c r="AP238" s="9">
        <f t="shared" si="26"/>
        <v>1589.34</v>
      </c>
      <c r="AQ238" s="9">
        <f t="shared" si="26"/>
        <v>1696.84</v>
      </c>
      <c r="AR238" s="9">
        <f t="shared" si="26"/>
        <v>1691.94</v>
      </c>
      <c r="AS238" s="9">
        <f t="shared" si="26"/>
        <v>1643.54</v>
      </c>
      <c r="AT238" s="9">
        <f t="shared" si="26"/>
        <v>1642.5400000000002</v>
      </c>
      <c r="AU238" s="9">
        <f t="shared" si="26"/>
        <v>1618.3400000000001</v>
      </c>
      <c r="AV238" s="9">
        <f t="shared" si="26"/>
        <v>1600.3400000000001</v>
      </c>
      <c r="AW238" s="9">
        <f t="shared" si="26"/>
        <v>1561.04</v>
      </c>
      <c r="AX238" s="9">
        <f t="shared" si="26"/>
        <v>1514.74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7">C223</f>
        <v>0.64</v>
      </c>
      <c r="C259" s="4">
        <f t="shared" si="27"/>
        <v>0.64</v>
      </c>
      <c r="D259" s="4">
        <f t="shared" si="27"/>
        <v>0.64</v>
      </c>
      <c r="E259" s="4">
        <f t="shared" si="27"/>
        <v>0.64</v>
      </c>
      <c r="F259" s="4">
        <f t="shared" si="27"/>
        <v>0.64</v>
      </c>
      <c r="G259" s="4">
        <f t="shared" si="27"/>
        <v>0.64</v>
      </c>
      <c r="H259" s="4">
        <f t="shared" si="27"/>
        <v>0.64</v>
      </c>
      <c r="I259" s="4">
        <f t="shared" si="27"/>
        <v>0.64</v>
      </c>
      <c r="J259" s="4">
        <f t="shared" si="27"/>
        <v>0.64</v>
      </c>
      <c r="K259" s="4">
        <f t="shared" si="27"/>
        <v>0.64</v>
      </c>
      <c r="L259" s="4">
        <f t="shared" si="27"/>
        <v>0.64</v>
      </c>
      <c r="M259" s="4">
        <f t="shared" si="27"/>
        <v>0.64</v>
      </c>
      <c r="N259" s="4">
        <f t="shared" si="27"/>
        <v>0.64</v>
      </c>
      <c r="O259" s="4">
        <f t="shared" si="27"/>
        <v>0.64</v>
      </c>
      <c r="P259" s="4">
        <f t="shared" si="27"/>
        <v>0</v>
      </c>
      <c r="Q259" s="4">
        <f t="shared" si="27"/>
        <v>0</v>
      </c>
      <c r="R259" s="4">
        <f t="shared" si="27"/>
        <v>0</v>
      </c>
      <c r="S259" s="4">
        <f t="shared" si="27"/>
        <v>0</v>
      </c>
      <c r="T259" s="4">
        <f t="shared" si="27"/>
        <v>0</v>
      </c>
      <c r="U259" s="4">
        <f t="shared" si="27"/>
        <v>0</v>
      </c>
      <c r="V259" s="4">
        <f t="shared" si="27"/>
        <v>0</v>
      </c>
      <c r="W259" s="4">
        <f t="shared" si="27"/>
        <v>0</v>
      </c>
      <c r="X259" s="4">
        <f t="shared" si="27"/>
        <v>0</v>
      </c>
      <c r="Y259" s="4">
        <f t="shared" si="27"/>
        <v>0</v>
      </c>
      <c r="Z259" s="4">
        <f t="shared" si="27"/>
        <v>0</v>
      </c>
      <c r="AA259" s="4">
        <f t="shared" si="27"/>
        <v>0</v>
      </c>
      <c r="AB259" s="4">
        <f t="shared" si="27"/>
        <v>0</v>
      </c>
      <c r="AC259" s="4">
        <f t="shared" si="27"/>
        <v>0</v>
      </c>
      <c r="AD259" s="4">
        <f t="shared" si="27"/>
        <v>0</v>
      </c>
      <c r="AE259" s="4">
        <f t="shared" si="27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28">IF(B227&lt;100,"",B227-520)</f>
        <v/>
      </c>
      <c r="C260" s="3" t="str">
        <f t="shared" si="28"/>
        <v/>
      </c>
      <c r="D260" s="3" t="str">
        <f t="shared" si="28"/>
        <v/>
      </c>
      <c r="E260" s="3" t="str">
        <f t="shared" si="28"/>
        <v/>
      </c>
      <c r="F260" s="3" t="str">
        <f t="shared" si="28"/>
        <v/>
      </c>
      <c r="G260" s="3" t="str">
        <f t="shared" si="28"/>
        <v/>
      </c>
      <c r="H260" s="3" t="str">
        <f t="shared" si="28"/>
        <v/>
      </c>
      <c r="I260" s="3" t="str">
        <f t="shared" si="28"/>
        <v/>
      </c>
      <c r="J260" s="3" t="str">
        <f t="shared" si="28"/>
        <v/>
      </c>
      <c r="K260" s="3" t="str">
        <f t="shared" si="28"/>
        <v/>
      </c>
      <c r="L260" s="3" t="str">
        <f t="shared" si="28"/>
        <v/>
      </c>
      <c r="M260" s="3" t="str">
        <f t="shared" si="28"/>
        <v/>
      </c>
      <c r="N260" s="3" t="str">
        <f t="shared" si="28"/>
        <v/>
      </c>
      <c r="O260" s="3" t="str">
        <f t="shared" si="28"/>
        <v/>
      </c>
      <c r="P260" s="3" t="str">
        <f t="shared" si="28"/>
        <v/>
      </c>
      <c r="Q260" s="3" t="str">
        <f t="shared" si="28"/>
        <v/>
      </c>
      <c r="R260" s="3" t="str">
        <f t="shared" si="28"/>
        <v/>
      </c>
      <c r="S260" s="3" t="str">
        <f t="shared" si="28"/>
        <v/>
      </c>
      <c r="T260" s="3" t="str">
        <f t="shared" si="28"/>
        <v/>
      </c>
      <c r="U260" s="3" t="str">
        <f t="shared" si="28"/>
        <v/>
      </c>
      <c r="V260" s="3" t="str">
        <f t="shared" si="28"/>
        <v/>
      </c>
      <c r="W260" s="3" t="str">
        <f t="shared" si="28"/>
        <v/>
      </c>
      <c r="X260" s="3" t="str">
        <f t="shared" si="28"/>
        <v/>
      </c>
      <c r="Y260" s="3" t="str">
        <f t="shared" si="28"/>
        <v/>
      </c>
      <c r="Z260" s="3" t="str">
        <f t="shared" si="28"/>
        <v/>
      </c>
      <c r="AA260" s="3" t="str">
        <f t="shared" si="28"/>
        <v/>
      </c>
      <c r="AB260" s="3" t="str">
        <f t="shared" si="28"/>
        <v/>
      </c>
      <c r="AC260" s="3" t="str">
        <f t="shared" si="28"/>
        <v/>
      </c>
      <c r="AD260" s="3" t="str">
        <f t="shared" si="28"/>
        <v/>
      </c>
      <c r="AE260" s="3" t="str">
        <f t="shared" si="28"/>
        <v/>
      </c>
      <c r="AF260" s="3" t="str">
        <f t="shared" si="28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29">IF(B228&lt;100,"",B228-620)</f>
        <v/>
      </c>
      <c r="C261" s="3" t="str">
        <f t="shared" si="29"/>
        <v/>
      </c>
      <c r="D261" s="3" t="str">
        <f t="shared" si="29"/>
        <v/>
      </c>
      <c r="E261" s="3" t="str">
        <f t="shared" si="29"/>
        <v/>
      </c>
      <c r="F261" s="3" t="str">
        <f t="shared" si="29"/>
        <v/>
      </c>
      <c r="G261" s="3" t="str">
        <f t="shared" si="29"/>
        <v/>
      </c>
      <c r="H261" s="3" t="str">
        <f t="shared" si="29"/>
        <v/>
      </c>
      <c r="I261" s="3" t="str">
        <f t="shared" si="29"/>
        <v/>
      </c>
      <c r="J261" s="3" t="str">
        <f t="shared" si="29"/>
        <v/>
      </c>
      <c r="K261" s="3" t="str">
        <f t="shared" si="29"/>
        <v/>
      </c>
      <c r="L261" s="3" t="str">
        <f t="shared" si="29"/>
        <v/>
      </c>
      <c r="M261" s="3" t="str">
        <f t="shared" si="29"/>
        <v/>
      </c>
      <c r="N261" s="3" t="str">
        <f t="shared" si="29"/>
        <v/>
      </c>
      <c r="O261" s="3" t="str">
        <f t="shared" si="29"/>
        <v/>
      </c>
      <c r="P261" s="3" t="str">
        <f t="shared" si="29"/>
        <v/>
      </c>
      <c r="Q261" s="3" t="str">
        <f t="shared" si="29"/>
        <v/>
      </c>
      <c r="R261" s="3" t="str">
        <f t="shared" si="29"/>
        <v/>
      </c>
      <c r="S261" s="3" t="str">
        <f t="shared" si="29"/>
        <v/>
      </c>
      <c r="T261" s="3" t="str">
        <f t="shared" si="29"/>
        <v/>
      </c>
      <c r="U261" s="3" t="str">
        <f t="shared" si="29"/>
        <v/>
      </c>
      <c r="V261" s="3" t="str">
        <f t="shared" si="29"/>
        <v/>
      </c>
      <c r="W261" s="3" t="str">
        <f t="shared" si="29"/>
        <v/>
      </c>
      <c r="X261" s="3" t="str">
        <f t="shared" si="29"/>
        <v/>
      </c>
      <c r="Y261" s="3" t="str">
        <f t="shared" si="29"/>
        <v/>
      </c>
      <c r="Z261" s="3" t="str">
        <f t="shared" si="29"/>
        <v/>
      </c>
      <c r="AA261" s="3" t="str">
        <f t="shared" si="29"/>
        <v/>
      </c>
      <c r="AB261" s="3" t="str">
        <f t="shared" si="29"/>
        <v/>
      </c>
      <c r="AC261" s="3" t="str">
        <f t="shared" si="29"/>
        <v/>
      </c>
      <c r="AD261" s="3" t="str">
        <f t="shared" si="29"/>
        <v/>
      </c>
      <c r="AE261" s="3" t="str">
        <f t="shared" si="29"/>
        <v/>
      </c>
      <c r="AF261" s="3" t="str">
        <f t="shared" si="29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0">IF(B229&lt;100,"",B229-330)</f>
        <v/>
      </c>
      <c r="C262" s="3" t="str">
        <f t="shared" si="30"/>
        <v/>
      </c>
      <c r="D262" s="3" t="str">
        <f t="shared" si="30"/>
        <v/>
      </c>
      <c r="E262" s="3" t="str">
        <f t="shared" si="30"/>
        <v/>
      </c>
      <c r="F262" s="3" t="str">
        <f t="shared" si="30"/>
        <v/>
      </c>
      <c r="G262" s="3" t="str">
        <f t="shared" si="30"/>
        <v/>
      </c>
      <c r="H262" s="3" t="str">
        <f t="shared" si="30"/>
        <v/>
      </c>
      <c r="I262" s="3" t="str">
        <f t="shared" si="30"/>
        <v/>
      </c>
      <c r="J262" s="3" t="str">
        <f t="shared" si="30"/>
        <v/>
      </c>
      <c r="K262" s="3" t="str">
        <f t="shared" si="30"/>
        <v/>
      </c>
      <c r="L262" s="3" t="str">
        <f t="shared" si="30"/>
        <v/>
      </c>
      <c r="M262" s="3" t="str">
        <f t="shared" si="30"/>
        <v/>
      </c>
      <c r="N262" s="3" t="str">
        <f t="shared" si="30"/>
        <v/>
      </c>
      <c r="O262" s="3" t="str">
        <f t="shared" si="30"/>
        <v/>
      </c>
      <c r="P262" s="3" t="str">
        <f t="shared" si="30"/>
        <v/>
      </c>
      <c r="Q262" s="3" t="str">
        <f t="shared" si="30"/>
        <v/>
      </c>
      <c r="R262" s="3" t="str">
        <f t="shared" si="30"/>
        <v/>
      </c>
      <c r="S262" s="3" t="str">
        <f t="shared" si="30"/>
        <v/>
      </c>
      <c r="T262" s="3" t="str">
        <f t="shared" si="30"/>
        <v/>
      </c>
      <c r="U262" s="3" t="str">
        <f t="shared" si="30"/>
        <v/>
      </c>
      <c r="V262" s="3" t="str">
        <f t="shared" si="30"/>
        <v/>
      </c>
      <c r="W262" s="3" t="str">
        <f t="shared" si="30"/>
        <v/>
      </c>
      <c r="X262" s="3" t="str">
        <f t="shared" si="30"/>
        <v/>
      </c>
      <c r="Y262" s="3" t="str">
        <f t="shared" si="30"/>
        <v/>
      </c>
      <c r="Z262" s="3" t="str">
        <f t="shared" si="30"/>
        <v/>
      </c>
      <c r="AA262" s="3" t="str">
        <f t="shared" si="30"/>
        <v/>
      </c>
      <c r="AB262" s="3" t="str">
        <f t="shared" si="30"/>
        <v/>
      </c>
      <c r="AC262" s="3" t="str">
        <f t="shared" si="30"/>
        <v/>
      </c>
      <c r="AD262" s="3" t="str">
        <f t="shared" si="30"/>
        <v/>
      </c>
      <c r="AE262" s="3" t="str">
        <f t="shared" si="30"/>
        <v/>
      </c>
      <c r="AF262" s="3" t="str">
        <f t="shared" si="30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1">IF(B230&lt;100,"",B230-1500)</f>
        <v/>
      </c>
      <c r="C263" s="3" t="str">
        <f t="shared" si="31"/>
        <v/>
      </c>
      <c r="D263" s="3" t="str">
        <f t="shared" si="31"/>
        <v/>
      </c>
      <c r="E263" s="3" t="str">
        <f t="shared" si="31"/>
        <v/>
      </c>
      <c r="F263" s="3" t="str">
        <f t="shared" si="31"/>
        <v/>
      </c>
      <c r="G263" s="3" t="str">
        <f t="shared" si="31"/>
        <v/>
      </c>
      <c r="H263" s="3" t="str">
        <f t="shared" si="31"/>
        <v/>
      </c>
      <c r="I263" s="3" t="str">
        <f t="shared" si="31"/>
        <v/>
      </c>
      <c r="J263" s="3" t="str">
        <f t="shared" si="31"/>
        <v/>
      </c>
      <c r="K263" s="3" t="str">
        <f t="shared" si="31"/>
        <v/>
      </c>
      <c r="L263" s="3" t="str">
        <f t="shared" si="31"/>
        <v/>
      </c>
      <c r="M263" s="3" t="str">
        <f t="shared" si="31"/>
        <v/>
      </c>
      <c r="N263" s="3" t="str">
        <f t="shared" si="31"/>
        <v/>
      </c>
      <c r="O263" s="3" t="str">
        <f t="shared" si="31"/>
        <v/>
      </c>
      <c r="P263" s="3" t="str">
        <f t="shared" si="31"/>
        <v/>
      </c>
      <c r="Q263" s="3" t="str">
        <f t="shared" si="31"/>
        <v/>
      </c>
      <c r="R263" s="3" t="str">
        <f t="shared" si="31"/>
        <v/>
      </c>
      <c r="S263" s="3" t="str">
        <f t="shared" si="31"/>
        <v/>
      </c>
      <c r="T263" s="3" t="str">
        <f t="shared" si="31"/>
        <v/>
      </c>
      <c r="U263" s="3" t="str">
        <f t="shared" si="31"/>
        <v/>
      </c>
      <c r="V263" s="3" t="str">
        <f t="shared" si="31"/>
        <v/>
      </c>
      <c r="W263" s="3" t="str">
        <f t="shared" si="31"/>
        <v/>
      </c>
      <c r="X263" s="3" t="str">
        <f t="shared" si="31"/>
        <v/>
      </c>
      <c r="Y263" s="3" t="str">
        <f t="shared" si="31"/>
        <v/>
      </c>
      <c r="Z263" s="3" t="str">
        <f t="shared" si="31"/>
        <v/>
      </c>
      <c r="AA263" s="3" t="str">
        <f t="shared" si="31"/>
        <v/>
      </c>
      <c r="AB263" s="3" t="str">
        <f t="shared" si="31"/>
        <v/>
      </c>
      <c r="AC263" s="3" t="str">
        <f t="shared" si="31"/>
        <v/>
      </c>
      <c r="AD263" s="3" t="str">
        <f t="shared" si="31"/>
        <v/>
      </c>
      <c r="AE263" s="3" t="str">
        <f t="shared" si="31"/>
        <v/>
      </c>
      <c r="AF263" s="3" t="str">
        <f t="shared" si="31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AE11:AF11 C101:AF101 C103:AF108 B16:AF16 B20:AF23">
    <cfRule type="expression" dxfId="2396" priority="239">
      <formula>B$9&gt;=20/24</formula>
    </cfRule>
    <cfRule type="expression" dxfId="2395" priority="240">
      <formula>AND(B$9&gt;=14/24,B$9&lt;20/24)</formula>
    </cfRule>
    <cfRule type="expression" dxfId="2394" priority="241">
      <formula>AND(B$9&gt;=8/24,B$9&lt;14/24)</formula>
    </cfRule>
    <cfRule type="expression" dxfId="2393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T39:AF39">
    <cfRule type="expression" dxfId="2392" priority="234">
      <formula>T$9&gt;=20/24</formula>
    </cfRule>
    <cfRule type="expression" dxfId="2391" priority="235">
      <formula>AND(T$9&gt;=14/24,T$9&lt;20/24)</formula>
    </cfRule>
    <cfRule type="expression" dxfId="2390" priority="236">
      <formula>AND(T$9&gt;=8/24,T$9&lt;14/24)</formula>
    </cfRule>
    <cfRule type="expression" dxfId="2389" priority="237">
      <formula>T$9&lt;8/24</formula>
    </cfRule>
  </conditionalFormatting>
  <conditionalFormatting sqref="AG57 AE11:AF16 B18:AF18 B12:AD16 B20:AF23 T39:AF39 B37:AF37">
    <cfRule type="expression" dxfId="2388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2387" priority="232">
      <formula>$AH11=0</formula>
    </cfRule>
  </conditionalFormatting>
  <conditionalFormatting sqref="A106">
    <cfRule type="expression" dxfId="2386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385" priority="229">
      <formula>$AH37=0</formula>
    </cfRule>
  </conditionalFormatting>
  <conditionalFormatting sqref="A90">
    <cfRule type="expression" dxfId="2384" priority="228">
      <formula>$AH90=0</formula>
    </cfRule>
  </conditionalFormatting>
  <conditionalFormatting sqref="A15">
    <cfRule type="expression" dxfId="2383" priority="227">
      <formula>$AH15=0</formula>
    </cfRule>
  </conditionalFormatting>
  <conditionalFormatting sqref="A188:A193">
    <cfRule type="expression" dxfId="2382" priority="226">
      <formula>$AH188=0</formula>
    </cfRule>
  </conditionalFormatting>
  <conditionalFormatting sqref="A182:A187">
    <cfRule type="expression" dxfId="2381" priority="225">
      <formula>$AH182=0</formula>
    </cfRule>
  </conditionalFormatting>
  <conditionalFormatting sqref="A50">
    <cfRule type="expression" dxfId="2380" priority="224">
      <formula>$AH50=0</formula>
    </cfRule>
  </conditionalFormatting>
  <conditionalFormatting sqref="A86">
    <cfRule type="expression" dxfId="2379" priority="223">
      <formula>$AH86=0</formula>
    </cfRule>
  </conditionalFormatting>
  <conditionalFormatting sqref="C91:AF91">
    <cfRule type="expression" dxfId="2378" priority="219">
      <formula>C$9&gt;=20/24</formula>
    </cfRule>
    <cfRule type="expression" dxfId="2377" priority="220">
      <formula>AND(C$9&gt;=14/24,C$9&lt;20/24)</formula>
    </cfRule>
    <cfRule type="expression" dxfId="2376" priority="221">
      <formula>AND(C$9&gt;=8/24,C$9&lt;14/24)</formula>
    </cfRule>
    <cfRule type="expression" dxfId="2375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374" priority="245">
      <formula>C$9&gt;=20/24</formula>
    </cfRule>
    <cfRule type="expression" dxfId="2373" priority="246">
      <formula>AND(C$9&gt;=14/24,C$9&lt;20/24)</formula>
    </cfRule>
    <cfRule type="expression" dxfId="2372" priority="247">
      <formula>AND(C$9&gt;=8/24,C$9&lt;14/24)</formula>
    </cfRule>
    <cfRule type="expression" dxfId="2371" priority="248">
      <formula>C$9&lt;8/24</formula>
    </cfRule>
  </conditionalFormatting>
  <conditionalFormatting sqref="A225">
    <cfRule type="expression" dxfId="2370" priority="249">
      <formula>$AH225=0</formula>
    </cfRule>
  </conditionalFormatting>
  <conditionalFormatting sqref="AG237">
    <cfRule type="expression" dxfId="2369" priority="250">
      <formula>B$9&gt;=20/24</formula>
    </cfRule>
    <cfRule type="expression" dxfId="2368" priority="251">
      <formula>AND(B$9&gt;=14/24,B$9&lt;20/24)</formula>
    </cfRule>
    <cfRule type="expression" dxfId="2367" priority="252">
      <formula>AND(B$9&gt;=8/24,B$9&lt;14/24)</formula>
    </cfRule>
    <cfRule type="expression" dxfId="2366" priority="253">
      <formula>B$9&lt;8/24</formula>
    </cfRule>
  </conditionalFormatting>
  <conditionalFormatting sqref="S8">
    <cfRule type="expression" dxfId="2365" priority="214">
      <formula>U$9&gt;=20/24</formula>
    </cfRule>
    <cfRule type="expression" dxfId="2364" priority="215">
      <formula>AND(U$9&gt;=14/24,U$9&lt;20/24)</formula>
    </cfRule>
    <cfRule type="expression" dxfId="2363" priority="216">
      <formula>AND(U$9&gt;=8/24,U$9&lt;14/24)</formula>
    </cfRule>
    <cfRule type="expression" dxfId="2362" priority="217">
      <formula>U$9&lt;8/24</formula>
    </cfRule>
  </conditionalFormatting>
  <conditionalFormatting sqref="AB8">
    <cfRule type="expression" dxfId="2361" priority="210">
      <formula>AD$9&gt;=20/24</formula>
    </cfRule>
    <cfRule type="expression" dxfId="2360" priority="211">
      <formula>AND(AD$9&gt;=14/24,AD$9&lt;20/24)</formula>
    </cfRule>
    <cfRule type="expression" dxfId="2359" priority="212">
      <formula>AND(AD$9&gt;=8/24,AD$9&lt;14/24)</formula>
    </cfRule>
    <cfRule type="expression" dxfId="2358" priority="213">
      <formula>AD$9&lt;8/24</formula>
    </cfRule>
  </conditionalFormatting>
  <conditionalFormatting sqref="AH237:AX237">
    <cfRule type="expression" dxfId="2357" priority="254">
      <formula>AG$9&gt;=20/24</formula>
    </cfRule>
    <cfRule type="expression" dxfId="2356" priority="255">
      <formula>AND(AG$9&gt;=14/24,AG$9&lt;20/24)</formula>
    </cfRule>
    <cfRule type="expression" dxfId="2355" priority="256">
      <formula>AND(AG$9&gt;=8/24,AG$9&lt;14/24)</formula>
    </cfRule>
    <cfRule type="expression" dxfId="2354" priority="257">
      <formula>AG$9&lt;8/24</formula>
    </cfRule>
  </conditionalFormatting>
  <conditionalFormatting sqref="T237">
    <cfRule type="expression" dxfId="2353" priority="258">
      <formula>AX$9&gt;=20/24</formula>
    </cfRule>
    <cfRule type="expression" dxfId="2352" priority="259">
      <formula>AND(AX$9&gt;=14/24,AX$9&lt;20/24)</formula>
    </cfRule>
    <cfRule type="expression" dxfId="2351" priority="260">
      <formula>AND(AX$9&gt;=8/24,AX$9&lt;14/24)</formula>
    </cfRule>
    <cfRule type="expression" dxfId="2350" priority="261">
      <formula>AX$9&lt;8/24</formula>
    </cfRule>
  </conditionalFormatting>
  <conditionalFormatting sqref="A107:A108">
    <cfRule type="expression" dxfId="2349" priority="209">
      <formula>$AH107=0</formula>
    </cfRule>
  </conditionalFormatting>
  <conditionalFormatting sqref="AF38 E46:N47 V46:AF47 E63:AF63">
    <cfRule type="expression" dxfId="2348" priority="205">
      <formula>E$9&gt;=20/24</formula>
    </cfRule>
    <cfRule type="expression" dxfId="2347" priority="206">
      <formula>AND(E$9&gt;=14/24,E$9&lt;20/24)</formula>
    </cfRule>
    <cfRule type="expression" dxfId="2346" priority="207">
      <formula>AND(E$9&gt;=8/24,E$9&lt;14/24)</formula>
    </cfRule>
    <cfRule type="expression" dxfId="2345" priority="208">
      <formula>E$9&lt;8/24</formula>
    </cfRule>
  </conditionalFormatting>
  <conditionalFormatting sqref="E45:N45 V45:AF45">
    <cfRule type="expression" dxfId="2344" priority="201">
      <formula>E$9&gt;=20/24</formula>
    </cfRule>
    <cfRule type="expression" dxfId="2343" priority="202">
      <formula>AND(E$9&gt;=14/24,E$9&lt;20/24)</formula>
    </cfRule>
    <cfRule type="expression" dxfId="2342" priority="203">
      <formula>AND(E$9&gt;=8/24,E$9&lt;14/24)</formula>
    </cfRule>
    <cfRule type="expression" dxfId="2341" priority="204">
      <formula>E$9&lt;8/24</formula>
    </cfRule>
  </conditionalFormatting>
  <conditionalFormatting sqref="AF38 E45:N47 V45:AF47">
    <cfRule type="expression" dxfId="2340" priority="200">
      <formula>E38&gt;$AG38</formula>
    </cfRule>
  </conditionalFormatting>
  <conditionalFormatting sqref="C88:AF88 AF25:AF27 AF29 AE12:AF14 AE18:AF18 AF31:AF34 E64:S65 L39:S39 C75:AF78 T38:AE38 T64:AF73 D92:AF98 S59:AF61">
    <cfRule type="expression" dxfId="2339" priority="196">
      <formula>C$9&gt;=20/24</formula>
    </cfRule>
    <cfRule type="expression" dxfId="2338" priority="197">
      <formula>AND(C$9&gt;=14/24,C$9&lt;20/24)</formula>
    </cfRule>
    <cfRule type="expression" dxfId="2337" priority="198">
      <formula>AND(C$9&gt;=8/24,C$9&lt;14/24)</formula>
    </cfRule>
    <cfRule type="expression" dxfId="2336" priority="199">
      <formula>C$9&lt;8/24</formula>
    </cfRule>
  </conditionalFormatting>
  <conditionalFormatting sqref="AF35">
    <cfRule type="expression" dxfId="2335" priority="192">
      <formula>AF$9&gt;=20/24</formula>
    </cfRule>
    <cfRule type="expression" dxfId="2334" priority="193">
      <formula>AND(AF$9&gt;=14/24,AF$9&lt;20/24)</formula>
    </cfRule>
    <cfRule type="expression" dxfId="2333" priority="194">
      <formula>AND(AF$9&gt;=8/24,AF$9&lt;14/24)</formula>
    </cfRule>
    <cfRule type="expression" dxfId="2332" priority="195">
      <formula>AF$9&lt;8/24</formula>
    </cfRule>
  </conditionalFormatting>
  <conditionalFormatting sqref="AE48:AF48 C57:AF57 AF25:AF29 AF31:AF35 L39:S39 T38:AE38 S59:AF61">
    <cfRule type="expression" dxfId="2331" priority="191">
      <formula>C25&gt;$AG25</formula>
    </cfRule>
  </conditionalFormatting>
  <conditionalFormatting sqref="AF37">
    <cfRule type="expression" dxfId="2330" priority="187">
      <formula>AF$9&gt;=20/24</formula>
    </cfRule>
    <cfRule type="expression" dxfId="2329" priority="188">
      <formula>AND(AF$9&gt;=14/24,AF$9&lt;20/24)</formula>
    </cfRule>
    <cfRule type="expression" dxfId="2328" priority="189">
      <formula>AND(AF$9&gt;=8/24,AF$9&lt;14/24)</formula>
    </cfRule>
    <cfRule type="expression" dxfId="2327" priority="190">
      <formula>AF$9&lt;8/24</formula>
    </cfRule>
  </conditionalFormatting>
  <conditionalFormatting sqref="AE15:AF15">
    <cfRule type="expression" dxfId="2326" priority="183">
      <formula>AE$9&gt;=20/24</formula>
    </cfRule>
    <cfRule type="expression" dxfId="2325" priority="184">
      <formula>AND(AE$9&gt;=14/24,AE$9&lt;20/24)</formula>
    </cfRule>
    <cfRule type="expression" dxfId="2324" priority="185">
      <formula>AND(AE$9&gt;=8/24,AE$9&lt;14/24)</formula>
    </cfRule>
    <cfRule type="expression" dxfId="2323" priority="186">
      <formula>AE$9&lt;8/24</formula>
    </cfRule>
  </conditionalFormatting>
  <conditionalFormatting sqref="AF36">
    <cfRule type="expression" dxfId="2322" priority="179">
      <formula>AF$9&gt;=20/24</formula>
    </cfRule>
    <cfRule type="expression" dxfId="2321" priority="180">
      <formula>AND(AF$9&gt;=14/24,AF$9&lt;20/24)</formula>
    </cfRule>
    <cfRule type="expression" dxfId="2320" priority="181">
      <formula>AND(AF$9&gt;=8/24,AF$9&lt;14/24)</formula>
    </cfRule>
    <cfRule type="expression" dxfId="2319" priority="182">
      <formula>AF$9&lt;8/24</formula>
    </cfRule>
  </conditionalFormatting>
  <conditionalFormatting sqref="AF36">
    <cfRule type="expression" dxfId="2318" priority="178">
      <formula>AF36&gt;$AG36</formula>
    </cfRule>
  </conditionalFormatting>
  <conditionalFormatting sqref="V48:AD49 AE49:AF49">
    <cfRule type="expression" dxfId="2317" priority="174">
      <formula>V$9&gt;=20/24</formula>
    </cfRule>
    <cfRule type="expression" dxfId="2316" priority="175">
      <formula>AND(V$9&gt;=14/24,V$9&lt;20/24)</formula>
    </cfRule>
    <cfRule type="expression" dxfId="2315" priority="176">
      <formula>AND(V$9&gt;=8/24,V$9&lt;14/24)</formula>
    </cfRule>
    <cfRule type="expression" dxfId="2314" priority="177">
      <formula>V$9&lt;8/24</formula>
    </cfRule>
  </conditionalFormatting>
  <conditionalFormatting sqref="V48:AD49 AE49:AF49">
    <cfRule type="expression" dxfId="2313" priority="173">
      <formula>V48&gt;$AG48</formula>
    </cfRule>
  </conditionalFormatting>
  <conditionalFormatting sqref="O45:U48 V50:AF50">
    <cfRule type="expression" dxfId="2312" priority="169">
      <formula>O$9&gt;=20/24</formula>
    </cfRule>
    <cfRule type="expression" dxfId="2311" priority="170">
      <formula>AND(O$9&gt;=14/24,O$9&lt;20/24)</formula>
    </cfRule>
    <cfRule type="expression" dxfId="2310" priority="171">
      <formula>AND(O$9&gt;=8/24,O$9&lt;14/24)</formula>
    </cfRule>
    <cfRule type="expression" dxfId="2309" priority="172">
      <formula>O$9&lt;8/24</formula>
    </cfRule>
  </conditionalFormatting>
  <conditionalFormatting sqref="O45:U48 V50:AF50">
    <cfRule type="expression" dxfId="2308" priority="168">
      <formula>O45&gt;$AG45</formula>
    </cfRule>
  </conditionalFormatting>
  <conditionalFormatting sqref="AF28">
    <cfRule type="expression" dxfId="2307" priority="164">
      <formula>AF$9&gt;=20/24</formula>
    </cfRule>
    <cfRule type="expression" dxfId="2306" priority="165">
      <formula>AND(AF$9&gt;=14/24,AF$9&lt;20/24)</formula>
    </cfRule>
    <cfRule type="expression" dxfId="2305" priority="166">
      <formula>AND(AF$9&gt;=8/24,AF$9&lt;14/24)</formula>
    </cfRule>
    <cfRule type="expression" dxfId="2304" priority="167">
      <formula>AF$9&lt;8/24</formula>
    </cfRule>
  </conditionalFormatting>
  <conditionalFormatting sqref="AE19:AF19 AF24">
    <cfRule type="expression" dxfId="2303" priority="160">
      <formula>AE$9&gt;=20/24</formula>
    </cfRule>
    <cfRule type="expression" dxfId="2302" priority="161">
      <formula>AND(AE$9&gt;=14/24,AE$9&lt;20/24)</formula>
    </cfRule>
    <cfRule type="expression" dxfId="2301" priority="162">
      <formula>AND(AE$9&gt;=8/24,AE$9&lt;14/24)</formula>
    </cfRule>
    <cfRule type="expression" dxfId="2300" priority="163">
      <formula>AE$9&lt;8/24</formula>
    </cfRule>
  </conditionalFormatting>
  <conditionalFormatting sqref="AE19:AF19 AF24">
    <cfRule type="expression" dxfId="2299" priority="159">
      <formula>AE19&gt;$AG19</formula>
    </cfRule>
  </conditionalFormatting>
  <conditionalFormatting sqref="B101 B80:AF80 B89:AF89 B103:B108 B11:AD11">
    <cfRule type="expression" dxfId="2298" priority="141">
      <formula>B$9&gt;=20/24</formula>
    </cfRule>
    <cfRule type="expression" dxfId="2297" priority="142">
      <formula>AND(B$9&gt;=14/24,B$9&lt;20/24)</formula>
    </cfRule>
    <cfRule type="expression" dxfId="2296" priority="143">
      <formula>AND(B$9&gt;=8/24,B$9&lt;14/24)</formula>
    </cfRule>
    <cfRule type="expression" dxfId="2295" priority="144">
      <formula>B$9&lt;8/24</formula>
    </cfRule>
  </conditionalFormatting>
  <conditionalFormatting sqref="B39:K39">
    <cfRule type="expression" dxfId="2294" priority="137">
      <formula>B$9&gt;=20/24</formula>
    </cfRule>
    <cfRule type="expression" dxfId="2293" priority="138">
      <formula>AND(B$9&gt;=14/24,B$9&lt;20/24)</formula>
    </cfRule>
    <cfRule type="expression" dxfId="2292" priority="139">
      <formula>AND(B$9&gt;=8/24,B$9&lt;14/24)</formula>
    </cfRule>
    <cfRule type="expression" dxfId="2291" priority="140">
      <formula>B$9&lt;8/24</formula>
    </cfRule>
  </conditionalFormatting>
  <conditionalFormatting sqref="B39:K39 B11:AD11">
    <cfRule type="expression" dxfId="2290" priority="136">
      <formula>B11&gt;$AG11</formula>
    </cfRule>
  </conditionalFormatting>
  <conditionalFormatting sqref="B91">
    <cfRule type="expression" dxfId="2289" priority="132">
      <formula>B$9&gt;=20/24</formula>
    </cfRule>
    <cfRule type="expression" dxfId="2288" priority="133">
      <formula>AND(B$9&gt;=14/24,B$9&lt;20/24)</formula>
    </cfRule>
    <cfRule type="expression" dxfId="2287" priority="134">
      <formula>AND(B$9&gt;=8/24,B$9&lt;14/24)</formula>
    </cfRule>
    <cfRule type="expression" dxfId="2286" priority="135">
      <formula>B$9&lt;8/24</formula>
    </cfRule>
  </conditionalFormatting>
  <conditionalFormatting sqref="B46:D47 B63:D63 B38:S38">
    <cfRule type="expression" dxfId="2285" priority="128">
      <formula>B$9&gt;=20/24</formula>
    </cfRule>
    <cfRule type="expression" dxfId="2284" priority="129">
      <formula>AND(B$9&gt;=14/24,B$9&lt;20/24)</formula>
    </cfRule>
    <cfRule type="expression" dxfId="2283" priority="130">
      <formula>AND(B$9&gt;=8/24,B$9&lt;14/24)</formula>
    </cfRule>
    <cfRule type="expression" dxfId="2282" priority="131">
      <formula>B$9&lt;8/24</formula>
    </cfRule>
  </conditionalFormatting>
  <conditionalFormatting sqref="B45:D45">
    <cfRule type="expression" dxfId="2281" priority="124">
      <formula>B$9&gt;=20/24</formula>
    </cfRule>
    <cfRule type="expression" dxfId="2280" priority="125">
      <formula>AND(B$9&gt;=14/24,B$9&lt;20/24)</formula>
    </cfRule>
    <cfRule type="expression" dxfId="2279" priority="126">
      <formula>AND(B$9&gt;=8/24,B$9&lt;14/24)</formula>
    </cfRule>
    <cfRule type="expression" dxfId="2278" priority="127">
      <formula>B$9&lt;8/24</formula>
    </cfRule>
  </conditionalFormatting>
  <conditionalFormatting sqref="B45:D47 B38:S38">
    <cfRule type="expression" dxfId="2277" priority="123">
      <formula>B38&gt;$AG38</formula>
    </cfRule>
  </conditionalFormatting>
  <conditionalFormatting sqref="B59:B62 B75:B79 B81:AF81 B88 C62:AG62 C79:AG79 B90:AF90 B92:C98 C59:R61 B64:D73 E66:S73 B18:AD18 B12:AD14 B25:AE27 B29:AE29 B31:AE34">
    <cfRule type="expression" dxfId="2276" priority="119">
      <formula>B$9&gt;=20/24</formula>
    </cfRule>
    <cfRule type="expression" dxfId="2275" priority="120">
      <formula>AND(B$9&gt;=14/24,B$9&lt;20/24)</formula>
    </cfRule>
    <cfRule type="expression" dxfId="2274" priority="121">
      <formula>AND(B$9&gt;=8/24,B$9&lt;14/24)</formula>
    </cfRule>
    <cfRule type="expression" dxfId="2273" priority="122">
      <formula>B$9&lt;8/24</formula>
    </cfRule>
  </conditionalFormatting>
  <conditionalFormatting sqref="B35:AE35">
    <cfRule type="expression" dxfId="2272" priority="115">
      <formula>B$9&gt;=20/24</formula>
    </cfRule>
    <cfRule type="expression" dxfId="2271" priority="116">
      <formula>AND(B$9&gt;=14/24,B$9&lt;20/24)</formula>
    </cfRule>
    <cfRule type="expression" dxfId="2270" priority="117">
      <formula>AND(B$9&gt;=8/24,B$9&lt;14/24)</formula>
    </cfRule>
    <cfRule type="expression" dxfId="2269" priority="118">
      <formula>B$9&lt;8/24</formula>
    </cfRule>
  </conditionalFormatting>
  <conditionalFormatting sqref="B57:B62 B40:AG40 C58:AG58 C62:AG62 C59:R61 B48:N49 O49:U49 B25:AE29 B31:AE35">
    <cfRule type="expression" dxfId="2268" priority="114">
      <formula>B25&gt;$AG25</formula>
    </cfRule>
  </conditionalFormatting>
  <conditionalFormatting sqref="B37:AE37">
    <cfRule type="expression" dxfId="2267" priority="110">
      <formula>B$9&gt;=20/24</formula>
    </cfRule>
    <cfRule type="expression" dxfId="2266" priority="111">
      <formula>AND(B$9&gt;=14/24,B$9&lt;20/24)</formula>
    </cfRule>
    <cfRule type="expression" dxfId="2265" priority="112">
      <formula>AND(B$9&gt;=8/24,B$9&lt;14/24)</formula>
    </cfRule>
    <cfRule type="expression" dxfId="2264" priority="113">
      <formula>B$9&lt;8/24</formula>
    </cfRule>
  </conditionalFormatting>
  <conditionalFormatting sqref="B15:AD15">
    <cfRule type="expression" dxfId="2263" priority="106">
      <formula>B$9&gt;=20/24</formula>
    </cfRule>
    <cfRule type="expression" dxfId="2262" priority="107">
      <formula>AND(B$9&gt;=14/24,B$9&lt;20/24)</formula>
    </cfRule>
    <cfRule type="expression" dxfId="2261" priority="108">
      <formula>AND(B$9&gt;=8/24,B$9&lt;14/24)</formula>
    </cfRule>
    <cfRule type="expression" dxfId="2260" priority="109">
      <formula>B$9&lt;8/24</formula>
    </cfRule>
  </conditionalFormatting>
  <conditionalFormatting sqref="B36:AE36">
    <cfRule type="expression" dxfId="2259" priority="102">
      <formula>B$9&gt;=20/24</formula>
    </cfRule>
    <cfRule type="expression" dxfId="2258" priority="103">
      <formula>AND(B$9&gt;=14/24,B$9&lt;20/24)</formula>
    </cfRule>
    <cfRule type="expression" dxfId="2257" priority="104">
      <formula>AND(B$9&gt;=8/24,B$9&lt;14/24)</formula>
    </cfRule>
    <cfRule type="expression" dxfId="2256" priority="105">
      <formula>B$9&lt;8/24</formula>
    </cfRule>
  </conditionalFormatting>
  <conditionalFormatting sqref="B36:AE36">
    <cfRule type="expression" dxfId="2255" priority="101">
      <formula>B36&gt;$AG36</formula>
    </cfRule>
  </conditionalFormatting>
  <conditionalFormatting sqref="B50:U56 V51:AF56">
    <cfRule type="expression" dxfId="2254" priority="97">
      <formula>B$9&gt;=20/24</formula>
    </cfRule>
    <cfRule type="expression" dxfId="2253" priority="98">
      <formula>AND(B$9&gt;=14/24,B$9&lt;20/24)</formula>
    </cfRule>
    <cfRule type="expression" dxfId="2252" priority="99">
      <formula>AND(B$9&gt;=8/24,B$9&lt;14/24)</formula>
    </cfRule>
    <cfRule type="expression" dxfId="2251" priority="100">
      <formula>B$9&lt;8/24</formula>
    </cfRule>
  </conditionalFormatting>
  <conditionalFormatting sqref="B50:U56 V51:AF56">
    <cfRule type="expression" dxfId="2250" priority="96">
      <formula>B50&gt;$AG50</formula>
    </cfRule>
  </conditionalFormatting>
  <conditionalFormatting sqref="B28:AE28">
    <cfRule type="expression" dxfId="2249" priority="92">
      <formula>B$9&gt;=20/24</formula>
    </cfRule>
    <cfRule type="expression" dxfId="2248" priority="93">
      <formula>AND(B$9&gt;=14/24,B$9&lt;20/24)</formula>
    </cfRule>
    <cfRule type="expression" dxfId="2247" priority="94">
      <formula>AND(B$9&gt;=8/24,B$9&lt;14/24)</formula>
    </cfRule>
    <cfRule type="expression" dxfId="2246" priority="95">
      <formula>B$9&lt;8/24</formula>
    </cfRule>
  </conditionalFormatting>
  <conditionalFormatting sqref="B19:AD19 B24:AE24">
    <cfRule type="expression" dxfId="2245" priority="88">
      <formula>B$9&gt;=20/24</formula>
    </cfRule>
    <cfRule type="expression" dxfId="2244" priority="89">
      <formula>AND(B$9&gt;=14/24,B$9&lt;20/24)</formula>
    </cfRule>
    <cfRule type="expression" dxfId="2243" priority="90">
      <formula>AND(B$9&gt;=8/24,B$9&lt;14/24)</formula>
    </cfRule>
    <cfRule type="expression" dxfId="2242" priority="91">
      <formula>B$9&lt;8/24</formula>
    </cfRule>
  </conditionalFormatting>
  <conditionalFormatting sqref="B19:AD19 B24:AE24">
    <cfRule type="expression" dxfId="2241" priority="87">
      <formula>B19&gt;$AG19</formula>
    </cfRule>
  </conditionalFormatting>
  <conditionalFormatting sqref="A36">
    <cfRule type="expression" dxfId="2240" priority="86">
      <formula>$AH36=0</formula>
    </cfRule>
  </conditionalFormatting>
  <conditionalFormatting sqref="B74:AF74">
    <cfRule type="expression" dxfId="2239" priority="82">
      <formula>B$9&gt;=20/24</formula>
    </cfRule>
    <cfRule type="expression" dxfId="2238" priority="83">
      <formula>AND(B$9&gt;=14/24,B$9&lt;20/24)</formula>
    </cfRule>
    <cfRule type="expression" dxfId="2237" priority="84">
      <formula>AND(B$9&gt;=8/24,B$9&lt;14/24)</formula>
    </cfRule>
    <cfRule type="expression" dxfId="2236" priority="85">
      <formula>B$9&lt;8/24</formula>
    </cfRule>
  </conditionalFormatting>
  <conditionalFormatting sqref="B83:AF87">
    <cfRule type="expression" dxfId="2235" priority="78">
      <formula>B$9&gt;=20/24</formula>
    </cfRule>
    <cfRule type="expression" dxfId="2234" priority="79">
      <formula>AND(B$9&gt;=14/24,B$9&lt;20/24)</formula>
    </cfRule>
    <cfRule type="expression" dxfId="2233" priority="80">
      <formula>AND(B$9&gt;=8/24,B$9&lt;14/24)</formula>
    </cfRule>
    <cfRule type="expression" dxfId="2232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D41:H41 D43:G43 G42 H42:H43 I41:AF43">
    <cfRule type="expression" dxfId="2231" priority="74">
      <formula>D$9&gt;=20/24</formula>
    </cfRule>
    <cfRule type="expression" dxfId="2230" priority="75">
      <formula>AND(D$9&gt;=14/24,D$9&lt;20/24)</formula>
    </cfRule>
    <cfRule type="expression" dxfId="2229" priority="76">
      <formula>AND(D$9&gt;=8/24,D$9&lt;14/24)</formula>
    </cfRule>
    <cfRule type="expression" dxfId="2228" priority="77">
      <formula>D$9&lt;8/24</formula>
    </cfRule>
  </conditionalFormatting>
  <conditionalFormatting sqref="D41:H41 D43:G43 G42 H42:H43 I41:AF43">
    <cfRule type="expression" dxfId="2227" priority="73">
      <formula>D41&gt;$AG41</formula>
    </cfRule>
  </conditionalFormatting>
  <conditionalFormatting sqref="B41:B44 C44:AG44 C41 C43 C42:F42">
    <cfRule type="expression" dxfId="2226" priority="69">
      <formula>B$9&gt;=20/24</formula>
    </cfRule>
    <cfRule type="expression" dxfId="2225" priority="70">
      <formula>AND(B$9&gt;=14/24,B$9&lt;20/24)</formula>
    </cfRule>
    <cfRule type="expression" dxfId="2224" priority="71">
      <formula>AND(B$9&gt;=8/24,B$9&lt;14/24)</formula>
    </cfRule>
    <cfRule type="expression" dxfId="2223" priority="72">
      <formula>B$9&lt;8/24</formula>
    </cfRule>
  </conditionalFormatting>
  <conditionalFormatting sqref="B41:B44 C44:AG44 C41 C43 C42:F42">
    <cfRule type="expression" dxfId="2222" priority="68">
      <formula>B41&gt;$AG41</formula>
    </cfRule>
  </conditionalFormatting>
  <conditionalFormatting sqref="C99:AF99">
    <cfRule type="expression" dxfId="2221" priority="64">
      <formula>C$9&gt;=20/24</formula>
    </cfRule>
    <cfRule type="expression" dxfId="2220" priority="65">
      <formula>AND(C$9&gt;=14/24,C$9&lt;20/24)</formula>
    </cfRule>
    <cfRule type="expression" dxfId="2219" priority="66">
      <formula>AND(C$9&gt;=8/24,C$9&lt;14/24)</formula>
    </cfRule>
    <cfRule type="expression" dxfId="2218" priority="67">
      <formula>C$9&lt;8/24</formula>
    </cfRule>
  </conditionalFormatting>
  <conditionalFormatting sqref="B99">
    <cfRule type="expression" dxfId="2217" priority="60">
      <formula>B$9&gt;=20/24</formula>
    </cfRule>
    <cfRule type="expression" dxfId="2216" priority="61">
      <formula>AND(B$9&gt;=14/24,B$9&lt;20/24)</formula>
    </cfRule>
    <cfRule type="expression" dxfId="2215" priority="62">
      <formula>AND(B$9&gt;=8/24,B$9&lt;14/24)</formula>
    </cfRule>
    <cfRule type="expression" dxfId="2214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2213" priority="54">
      <formula>$AH33=0</formula>
    </cfRule>
  </conditionalFormatting>
  <conditionalFormatting sqref="A82">
    <cfRule type="expression" dxfId="2212" priority="52">
      <formula>$AH82=0</formula>
    </cfRule>
  </conditionalFormatting>
  <conditionalFormatting sqref="A79">
    <cfRule type="expression" dxfId="2211" priority="53">
      <formula>$AH79=0</formula>
    </cfRule>
  </conditionalFormatting>
  <conditionalFormatting sqref="A109">
    <cfRule type="expression" dxfId="2210" priority="43">
      <formula>$AH109=0</formula>
    </cfRule>
  </conditionalFormatting>
  <conditionalFormatting sqref="C102:AF102">
    <cfRule type="expression" dxfId="2209" priority="39">
      <formula>C$9&gt;=20/24</formula>
    </cfRule>
    <cfRule type="expression" dxfId="2208" priority="40">
      <formula>AND(C$9&gt;=14/24,C$9&lt;20/24)</formula>
    </cfRule>
    <cfRule type="expression" dxfId="2207" priority="41">
      <formula>AND(C$9&gt;=8/24,C$9&lt;14/24)</formula>
    </cfRule>
    <cfRule type="expression" dxfId="2206" priority="42">
      <formula>C$9&lt;8/24</formula>
    </cfRule>
  </conditionalFormatting>
  <conditionalFormatting sqref="A102">
    <cfRule type="expression" dxfId="2205" priority="38">
      <formula>$AH102=0</formula>
    </cfRule>
  </conditionalFormatting>
  <conditionalFormatting sqref="B102">
    <cfRule type="expression" dxfId="2204" priority="34">
      <formula>B$9&gt;=20/24</formula>
    </cfRule>
    <cfRule type="expression" dxfId="2203" priority="35">
      <formula>AND(B$9&gt;=14/24,B$9&lt;20/24)</formula>
    </cfRule>
    <cfRule type="expression" dxfId="2202" priority="36">
      <formula>AND(B$9&gt;=8/24,B$9&lt;14/24)</formula>
    </cfRule>
    <cfRule type="expression" dxfId="2201" priority="37">
      <formula>B$9&lt;8/24</formula>
    </cfRule>
  </conditionalFormatting>
  <conditionalFormatting sqref="B17:AF17">
    <cfRule type="expression" dxfId="2200" priority="27">
      <formula>B17&gt;$AG17</formula>
    </cfRule>
  </conditionalFormatting>
  <conditionalFormatting sqref="A17">
    <cfRule type="expression" dxfId="2199" priority="26">
      <formula>$AH17=0</formula>
    </cfRule>
  </conditionalFormatting>
  <conditionalFormatting sqref="AE17:AF17">
    <cfRule type="expression" dxfId="2198" priority="22">
      <formula>AE$9&gt;=20/24</formula>
    </cfRule>
    <cfRule type="expression" dxfId="2197" priority="23">
      <formula>AND(AE$9&gt;=14/24,AE$9&lt;20/24)</formula>
    </cfRule>
    <cfRule type="expression" dxfId="2196" priority="24">
      <formula>AND(AE$9&gt;=8/24,AE$9&lt;14/24)</formula>
    </cfRule>
    <cfRule type="expression" dxfId="2195" priority="25">
      <formula>AE$9&lt;8/24</formula>
    </cfRule>
  </conditionalFormatting>
  <conditionalFormatting sqref="B17:AD17">
    <cfRule type="expression" dxfId="2194" priority="18">
      <formula>B$9&gt;=20/24</formula>
    </cfRule>
    <cfRule type="expression" dxfId="2193" priority="19">
      <formula>AND(B$9&gt;=14/24,B$9&lt;20/24)</formula>
    </cfRule>
    <cfRule type="expression" dxfId="2192" priority="20">
      <formula>AND(B$9&gt;=8/24,B$9&lt;14/24)</formula>
    </cfRule>
    <cfRule type="expression" dxfId="2191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2190" priority="16">
      <formula>$AH30=0</formula>
    </cfRule>
  </conditionalFormatting>
  <conditionalFormatting sqref="AF30">
    <cfRule type="expression" dxfId="2189" priority="12">
      <formula>AF$9&gt;=20/24</formula>
    </cfRule>
    <cfRule type="expression" dxfId="2188" priority="13">
      <formula>AND(AF$9&gt;=14/24,AF$9&lt;20/24)</formula>
    </cfRule>
    <cfRule type="expression" dxfId="2187" priority="14">
      <formula>AND(AF$9&gt;=8/24,AF$9&lt;14/24)</formula>
    </cfRule>
    <cfRule type="expression" dxfId="2186" priority="15">
      <formula>AF$9&lt;8/24</formula>
    </cfRule>
  </conditionalFormatting>
  <conditionalFormatting sqref="AF30">
    <cfRule type="expression" dxfId="2185" priority="11">
      <formula>AF30&gt;$AG30</formula>
    </cfRule>
  </conditionalFormatting>
  <conditionalFormatting sqref="B30:AE30">
    <cfRule type="expression" dxfId="2184" priority="2">
      <formula>B$9&gt;=20/24</formula>
    </cfRule>
    <cfRule type="expression" dxfId="2183" priority="3">
      <formula>AND(B$9&gt;=14/24,B$9&lt;20/24)</formula>
    </cfRule>
    <cfRule type="expression" dxfId="2182" priority="4">
      <formula>AND(B$9&gt;=8/24,B$9&lt;14/24)</formula>
    </cfRule>
    <cfRule type="expression" dxfId="2181" priority="5">
      <formula>B$9&lt;8/24</formula>
    </cfRule>
  </conditionalFormatting>
  <conditionalFormatting sqref="B30:AE30">
    <cfRule type="expression" dxfId="2180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10F4EFA0-4609-424D-AB46-ADA057E30F21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EC807DDC-1963-4B9F-B696-C01FFDCAFEFB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8E8683C8-82A7-41B1-8665-5A43C37056B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68B81CF9-2E0C-4EDC-B017-32E16E5FE5F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E2038499-80D9-4955-8F2F-F9C54E5F8A1B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4CDEB8AD-11AE-4964-851B-AA03833C5C2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A8731341-D090-4E5C-B41A-1F37D2C128B9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6E3C3000-48E0-47C4-B6E5-DF5C06B817DD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0226C565-ECBD-4C9A-9626-5DBF4698D1F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53E39FA3-85F0-4B19-96FC-45A4ECBD3317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E8608347-DB11-480F-93BF-DCB486AACAB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40D9CA41-6D1D-4885-83C9-D92F886F8D4B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X55" sqref="X55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6" width="27" style="1" bestFit="1" customWidth="1"/>
    <col min="37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2079/06/29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10.3</v>
      </c>
      <c r="W5" s="148">
        <f t="shared" si="0"/>
        <v>54.8</v>
      </c>
      <c r="X5" s="148">
        <f t="shared" si="0"/>
        <v>64.2</v>
      </c>
      <c r="Y5" s="148">
        <f t="shared" si="0"/>
        <v>49.1</v>
      </c>
      <c r="Z5" s="148">
        <f t="shared" si="0"/>
        <v>17.100000000000001</v>
      </c>
      <c r="AA5" s="148">
        <f t="shared" si="0"/>
        <v>0</v>
      </c>
      <c r="AB5" s="148">
        <f t="shared" si="0"/>
        <v>0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B74</f>
        <v>0</v>
      </c>
      <c r="AG5" s="141"/>
      <c r="AH5" s="147"/>
      <c r="AI5" s="139"/>
      <c r="AJ5" s="137">
        <f>1875-48-23-20-15-45</f>
        <v>1724</v>
      </c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1558MW at 8:00hr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Load=1397</v>
      </c>
      <c r="B7" s="137">
        <f t="shared" ref="B7:AF7" si="1">B81</f>
        <v>1541.94</v>
      </c>
      <c r="C7" s="137">
        <f t="shared" si="1"/>
        <v>1526.94</v>
      </c>
      <c r="D7" s="137">
        <f t="shared" si="1"/>
        <v>1527.24</v>
      </c>
      <c r="E7" s="137">
        <f t="shared" si="1"/>
        <v>1517.24</v>
      </c>
      <c r="F7" s="137">
        <f t="shared" si="1"/>
        <v>1411.2399999999998</v>
      </c>
      <c r="G7" s="137">
        <f t="shared" si="1"/>
        <v>1487.2399999999998</v>
      </c>
      <c r="H7" s="137">
        <f t="shared" si="1"/>
        <v>1497.24</v>
      </c>
      <c r="I7" s="137">
        <f t="shared" si="1"/>
        <v>1497.24</v>
      </c>
      <c r="J7" s="137">
        <f t="shared" si="1"/>
        <v>1462.24</v>
      </c>
      <c r="K7" s="137">
        <f t="shared" si="1"/>
        <v>1527.24</v>
      </c>
      <c r="L7" s="137">
        <f t="shared" si="1"/>
        <v>1550.24</v>
      </c>
      <c r="M7" s="137">
        <f t="shared" si="1"/>
        <v>1557.64</v>
      </c>
      <c r="N7" s="137">
        <f t="shared" si="1"/>
        <v>1540.54</v>
      </c>
      <c r="O7" s="137">
        <f t="shared" si="1"/>
        <v>1532.74</v>
      </c>
      <c r="P7" s="137">
        <f t="shared" si="1"/>
        <v>1530.14</v>
      </c>
      <c r="Q7" s="137">
        <f t="shared" si="1"/>
        <v>1516.0400000000002</v>
      </c>
      <c r="R7" s="137">
        <f t="shared" si="1"/>
        <v>1506.0400000000002</v>
      </c>
      <c r="S7" s="137">
        <f t="shared" si="1"/>
        <v>1533.14</v>
      </c>
      <c r="T7" s="137">
        <f t="shared" si="1"/>
        <v>1485.14</v>
      </c>
      <c r="U7" s="137">
        <f t="shared" si="1"/>
        <v>1534.44</v>
      </c>
      <c r="V7" s="137">
        <f t="shared" si="1"/>
        <v>1534.44</v>
      </c>
      <c r="W7" s="137">
        <f t="shared" si="1"/>
        <v>1563.84</v>
      </c>
      <c r="X7" s="137">
        <f t="shared" si="1"/>
        <v>1705.44</v>
      </c>
      <c r="Y7" s="137">
        <f t="shared" si="1"/>
        <v>1714.8400000000001</v>
      </c>
      <c r="Z7" s="137">
        <f t="shared" si="1"/>
        <v>1699.74</v>
      </c>
      <c r="AA7" s="137">
        <f t="shared" si="1"/>
        <v>1667.74</v>
      </c>
      <c r="AB7" s="137">
        <f t="shared" si="1"/>
        <v>1693.74</v>
      </c>
      <c r="AC7" s="137">
        <f t="shared" si="1"/>
        <v>1643.44</v>
      </c>
      <c r="AD7" s="137">
        <f t="shared" si="1"/>
        <v>1618.2400000000002</v>
      </c>
      <c r="AE7" s="137">
        <f t="shared" si="1"/>
        <v>1489.1399999999999</v>
      </c>
      <c r="AF7" s="137">
        <f t="shared" si="1"/>
        <v>1396.84</v>
      </c>
      <c r="AG7" s="136"/>
      <c r="AI7" s="135"/>
      <c r="AJ7" s="137">
        <f>(1715*24-(B7+C7+D7+E7+F7+G7+I7+K7+M7+N7+O7+P7+Q7+R7+S7+T7+U7+V7+X7+Z7+AB7+AD7+AE7+AF7))</f>
        <v>4250.2400000000052</v>
      </c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40</v>
      </c>
      <c r="C11" s="105">
        <v>40.9</v>
      </c>
      <c r="D11" s="105">
        <v>40.9</v>
      </c>
      <c r="E11" s="105">
        <v>40.9</v>
      </c>
      <c r="F11" s="105">
        <v>40.9</v>
      </c>
      <c r="G11" s="105">
        <v>40.9</v>
      </c>
      <c r="H11" s="105">
        <v>40.9</v>
      </c>
      <c r="I11" s="105">
        <v>40.9</v>
      </c>
      <c r="J11" s="105">
        <v>40.9</v>
      </c>
      <c r="K11" s="105">
        <v>40.9</v>
      </c>
      <c r="L11" s="105">
        <v>40.9</v>
      </c>
      <c r="M11" s="105">
        <v>0</v>
      </c>
      <c r="N11" s="105">
        <v>53</v>
      </c>
      <c r="O11" s="105">
        <v>53</v>
      </c>
      <c r="P11" s="105">
        <v>51</v>
      </c>
      <c r="Q11" s="105">
        <v>40.4</v>
      </c>
      <c r="R11" s="105">
        <v>40.4</v>
      </c>
      <c r="S11" s="105">
        <v>40.4</v>
      </c>
      <c r="T11" s="105">
        <v>40.4</v>
      </c>
      <c r="U11" s="105">
        <v>40.4</v>
      </c>
      <c r="V11" s="105">
        <v>40.4</v>
      </c>
      <c r="W11" s="105">
        <v>53</v>
      </c>
      <c r="X11" s="105">
        <v>53</v>
      </c>
      <c r="Y11" s="128">
        <v>53</v>
      </c>
      <c r="Z11" s="128">
        <v>53</v>
      </c>
      <c r="AA11" s="128">
        <v>53</v>
      </c>
      <c r="AB11" s="128">
        <v>53</v>
      </c>
      <c r="AC11" s="128">
        <v>53.6</v>
      </c>
      <c r="AD11" s="128">
        <v>53.6</v>
      </c>
      <c r="AE11" s="128">
        <v>40.6</v>
      </c>
      <c r="AF11" s="128">
        <v>52.1</v>
      </c>
      <c r="AG11" s="127">
        <v>52.4</v>
      </c>
      <c r="AH11" s="20">
        <f>MAX(B11:AF11)</f>
        <v>53.6</v>
      </c>
      <c r="AI11" s="19">
        <f>MIN(B11:AF11)</f>
        <v>0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50.4</v>
      </c>
      <c r="C12" s="105">
        <v>50.4</v>
      </c>
      <c r="D12" s="105">
        <v>50.4</v>
      </c>
      <c r="E12" s="105">
        <v>50.4</v>
      </c>
      <c r="F12" s="105">
        <v>50.4</v>
      </c>
      <c r="G12" s="105">
        <v>50.4</v>
      </c>
      <c r="H12" s="105">
        <v>50.4</v>
      </c>
      <c r="I12" s="105">
        <v>50.4</v>
      </c>
      <c r="J12" s="105">
        <v>50.4</v>
      </c>
      <c r="K12" s="105">
        <v>50.4</v>
      </c>
      <c r="L12" s="105">
        <v>50.4</v>
      </c>
      <c r="M12" s="105">
        <v>50.5</v>
      </c>
      <c r="N12" s="105">
        <v>50.5</v>
      </c>
      <c r="O12" s="105">
        <v>50.5</v>
      </c>
      <c r="P12" s="105">
        <v>50.4</v>
      </c>
      <c r="Q12" s="105">
        <v>50.4</v>
      </c>
      <c r="R12" s="105">
        <v>50.4</v>
      </c>
      <c r="S12" s="105">
        <v>50.4</v>
      </c>
      <c r="T12" s="105">
        <v>50.4</v>
      </c>
      <c r="U12" s="105">
        <v>50.4</v>
      </c>
      <c r="V12" s="105">
        <v>50.4</v>
      </c>
      <c r="W12" s="105">
        <v>50.4</v>
      </c>
      <c r="X12" s="105">
        <v>50.4</v>
      </c>
      <c r="Y12" s="105">
        <v>50.4</v>
      </c>
      <c r="Z12" s="105">
        <v>50.4</v>
      </c>
      <c r="AA12" s="105">
        <v>50.4</v>
      </c>
      <c r="AB12" s="105">
        <v>50.4</v>
      </c>
      <c r="AC12" s="105">
        <v>50.4</v>
      </c>
      <c r="AD12" s="105">
        <v>50.4</v>
      </c>
      <c r="AE12" s="105">
        <v>50.5</v>
      </c>
      <c r="AF12" s="105">
        <v>50.5</v>
      </c>
      <c r="AG12" s="126">
        <v>50</v>
      </c>
      <c r="AH12" s="20">
        <f t="shared" ref="AH12:AH75" si="2">MAX(B12:AF12)</f>
        <v>50.5</v>
      </c>
      <c r="AI12" s="19">
        <f t="shared" ref="AI12:AI75" si="3">MIN(B12:AF12)</f>
        <v>50.4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37</v>
      </c>
      <c r="C13" s="105">
        <v>37</v>
      </c>
      <c r="D13" s="105">
        <v>37</v>
      </c>
      <c r="E13" s="105">
        <v>37</v>
      </c>
      <c r="F13" s="105">
        <v>37</v>
      </c>
      <c r="G13" s="105">
        <v>37</v>
      </c>
      <c r="H13" s="105">
        <v>37</v>
      </c>
      <c r="I13" s="105">
        <v>37</v>
      </c>
      <c r="J13" s="105">
        <v>37</v>
      </c>
      <c r="K13" s="105">
        <v>37</v>
      </c>
      <c r="L13" s="105">
        <v>37</v>
      </c>
      <c r="M13" s="105">
        <v>45.4</v>
      </c>
      <c r="N13" s="105">
        <v>45.4</v>
      </c>
      <c r="O13" s="105">
        <v>45.4</v>
      </c>
      <c r="P13" s="105">
        <v>46</v>
      </c>
      <c r="Q13" s="105">
        <v>46</v>
      </c>
      <c r="R13" s="105">
        <v>46</v>
      </c>
      <c r="S13" s="105">
        <v>46</v>
      </c>
      <c r="T13" s="105">
        <v>46</v>
      </c>
      <c r="U13" s="105">
        <v>46</v>
      </c>
      <c r="V13" s="105">
        <v>46</v>
      </c>
      <c r="W13" s="105">
        <v>46</v>
      </c>
      <c r="X13" s="105">
        <v>46</v>
      </c>
      <c r="Y13" s="105">
        <v>46</v>
      </c>
      <c r="Z13" s="105">
        <v>46</v>
      </c>
      <c r="AA13" s="105">
        <v>46</v>
      </c>
      <c r="AB13" s="105">
        <v>46</v>
      </c>
      <c r="AC13" s="105">
        <v>46.2</v>
      </c>
      <c r="AD13" s="105">
        <v>46.2</v>
      </c>
      <c r="AE13" s="105">
        <v>37.1</v>
      </c>
      <c r="AF13" s="105">
        <v>37.1</v>
      </c>
      <c r="AG13" s="126">
        <v>45</v>
      </c>
      <c r="AH13" s="20">
        <f t="shared" si="2"/>
        <v>46.2</v>
      </c>
      <c r="AI13" s="19">
        <f t="shared" si="3"/>
        <v>37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24</v>
      </c>
      <c r="C14" s="105">
        <v>24</v>
      </c>
      <c r="D14" s="105">
        <v>24</v>
      </c>
      <c r="E14" s="105">
        <v>24</v>
      </c>
      <c r="F14" s="105">
        <v>24</v>
      </c>
      <c r="G14" s="105">
        <v>24</v>
      </c>
      <c r="H14" s="105">
        <v>24</v>
      </c>
      <c r="I14" s="105">
        <v>24</v>
      </c>
      <c r="J14" s="105">
        <v>24</v>
      </c>
      <c r="K14" s="105">
        <v>24</v>
      </c>
      <c r="L14" s="105">
        <v>24</v>
      </c>
      <c r="M14" s="105">
        <v>28</v>
      </c>
      <c r="N14" s="105">
        <v>26</v>
      </c>
      <c r="O14" s="105">
        <v>28</v>
      </c>
      <c r="P14" s="105">
        <v>24</v>
      </c>
      <c r="Q14" s="105">
        <v>20.5</v>
      </c>
      <c r="R14" s="105">
        <v>20.5</v>
      </c>
      <c r="S14" s="105">
        <v>20.5</v>
      </c>
      <c r="T14" s="105">
        <v>20.5</v>
      </c>
      <c r="U14" s="105">
        <v>20.5</v>
      </c>
      <c r="V14" s="105">
        <v>20.5</v>
      </c>
      <c r="W14" s="105">
        <v>28</v>
      </c>
      <c r="X14" s="105">
        <v>40</v>
      </c>
      <c r="Y14" s="105">
        <v>40</v>
      </c>
      <c r="Z14" s="105">
        <v>40</v>
      </c>
      <c r="AA14" s="105">
        <v>40</v>
      </c>
      <c r="AB14" s="105">
        <v>40</v>
      </c>
      <c r="AC14" s="105">
        <v>20</v>
      </c>
      <c r="AD14" s="105">
        <v>20</v>
      </c>
      <c r="AE14" s="105">
        <v>20</v>
      </c>
      <c r="AF14" s="105">
        <v>0</v>
      </c>
      <c r="AG14" s="126">
        <v>42</v>
      </c>
      <c r="AH14" s="20">
        <f t="shared" si="2"/>
        <v>40</v>
      </c>
      <c r="AI14" s="19">
        <f t="shared" si="3"/>
        <v>0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15</v>
      </c>
      <c r="L15" s="105">
        <v>22</v>
      </c>
      <c r="M15" s="105">
        <v>29.5</v>
      </c>
      <c r="N15" s="105">
        <v>0</v>
      </c>
      <c r="O15" s="105">
        <v>0</v>
      </c>
      <c r="P15" s="105">
        <v>0</v>
      </c>
      <c r="Q15" s="105">
        <v>0</v>
      </c>
      <c r="R15" s="105">
        <v>0</v>
      </c>
      <c r="S15" s="105">
        <v>20</v>
      </c>
      <c r="T15" s="105">
        <v>0</v>
      </c>
      <c r="U15" s="105">
        <v>0</v>
      </c>
      <c r="V15" s="105">
        <v>0</v>
      </c>
      <c r="W15" s="105">
        <v>0</v>
      </c>
      <c r="X15" s="105">
        <v>30</v>
      </c>
      <c r="Y15" s="105">
        <v>30</v>
      </c>
      <c r="Z15" s="105">
        <v>30</v>
      </c>
      <c r="AA15" s="105">
        <v>30</v>
      </c>
      <c r="AB15" s="105">
        <v>30</v>
      </c>
      <c r="AC15" s="105">
        <v>20</v>
      </c>
      <c r="AD15" s="105">
        <v>20</v>
      </c>
      <c r="AE15" s="105">
        <v>0</v>
      </c>
      <c r="AF15" s="105">
        <v>0</v>
      </c>
      <c r="AG15" s="96">
        <v>30</v>
      </c>
      <c r="AH15" s="20">
        <f t="shared" si="2"/>
        <v>30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14</v>
      </c>
      <c r="C16" s="105">
        <v>14</v>
      </c>
      <c r="D16" s="105">
        <v>18.5</v>
      </c>
      <c r="E16" s="105">
        <v>18.5</v>
      </c>
      <c r="F16" s="105">
        <v>18.5</v>
      </c>
      <c r="G16" s="105">
        <v>18.5</v>
      </c>
      <c r="H16" s="105">
        <v>18.5</v>
      </c>
      <c r="I16" s="105">
        <v>18.5</v>
      </c>
      <c r="J16" s="105">
        <v>18.5</v>
      </c>
      <c r="K16" s="105">
        <v>18.5</v>
      </c>
      <c r="L16" s="105">
        <v>18.5</v>
      </c>
      <c r="M16" s="105">
        <v>25</v>
      </c>
      <c r="N16" s="105">
        <v>25</v>
      </c>
      <c r="O16" s="105">
        <v>22.9</v>
      </c>
      <c r="P16" s="105">
        <v>16</v>
      </c>
      <c r="Q16" s="105">
        <v>16</v>
      </c>
      <c r="R16" s="105">
        <v>16</v>
      </c>
      <c r="S16" s="105">
        <v>16</v>
      </c>
      <c r="T16" s="105">
        <v>16</v>
      </c>
      <c r="U16" s="105">
        <v>16</v>
      </c>
      <c r="V16" s="105">
        <v>16</v>
      </c>
      <c r="W16" s="105">
        <v>15</v>
      </c>
      <c r="X16" s="105">
        <v>33.299999999999997</v>
      </c>
      <c r="Y16" s="105">
        <v>33.299999999999997</v>
      </c>
      <c r="Z16" s="105">
        <v>33.299999999999997</v>
      </c>
      <c r="AA16" s="105">
        <v>33.299999999999997</v>
      </c>
      <c r="AB16" s="105">
        <v>33.299999999999997</v>
      </c>
      <c r="AC16" s="105">
        <v>33.200000000000003</v>
      </c>
      <c r="AD16" s="105">
        <v>26</v>
      </c>
      <c r="AE16" s="105">
        <v>26.1</v>
      </c>
      <c r="AF16" s="105">
        <v>26.1</v>
      </c>
      <c r="AG16" s="126">
        <v>24.2</v>
      </c>
      <c r="AH16" s="20">
        <f t="shared" si="2"/>
        <v>33.299999999999997</v>
      </c>
      <c r="AI16" s="19">
        <f t="shared" si="3"/>
        <v>14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0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0</v>
      </c>
      <c r="M17" s="105">
        <v>18</v>
      </c>
      <c r="N17" s="105">
        <v>0</v>
      </c>
      <c r="O17" s="105">
        <v>0</v>
      </c>
      <c r="P17" s="105">
        <v>0</v>
      </c>
      <c r="Q17" s="105">
        <v>0</v>
      </c>
      <c r="R17" s="105">
        <v>0</v>
      </c>
      <c r="S17" s="105">
        <v>18</v>
      </c>
      <c r="T17" s="105">
        <v>5</v>
      </c>
      <c r="U17" s="105">
        <v>5</v>
      </c>
      <c r="V17" s="105">
        <v>5</v>
      </c>
      <c r="W17" s="105">
        <v>5</v>
      </c>
      <c r="X17" s="105">
        <v>27</v>
      </c>
      <c r="Y17" s="105">
        <v>27</v>
      </c>
      <c r="Z17" s="105">
        <v>27</v>
      </c>
      <c r="AA17" s="105">
        <v>27</v>
      </c>
      <c r="AB17" s="105">
        <v>27</v>
      </c>
      <c r="AC17" s="105">
        <v>18</v>
      </c>
      <c r="AD17" s="105">
        <v>10</v>
      </c>
      <c r="AE17" s="105">
        <v>0</v>
      </c>
      <c r="AF17" s="105">
        <v>0</v>
      </c>
      <c r="AG17" s="96">
        <v>30</v>
      </c>
      <c r="AH17" s="20">
        <f t="shared" si="2"/>
        <v>27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25</v>
      </c>
      <c r="C18" s="105">
        <v>25</v>
      </c>
      <c r="D18" s="105">
        <v>25</v>
      </c>
      <c r="E18" s="105">
        <v>25</v>
      </c>
      <c r="F18" s="105">
        <v>15</v>
      </c>
      <c r="G18" s="105">
        <v>15</v>
      </c>
      <c r="H18" s="105">
        <v>15</v>
      </c>
      <c r="I18" s="105">
        <v>15</v>
      </c>
      <c r="J18" s="105">
        <v>15</v>
      </c>
      <c r="K18" s="105">
        <v>15</v>
      </c>
      <c r="L18" s="105">
        <v>15</v>
      </c>
      <c r="M18" s="105">
        <v>15</v>
      </c>
      <c r="N18" s="105">
        <v>21</v>
      </c>
      <c r="O18" s="105">
        <v>21.1</v>
      </c>
      <c r="P18" s="105">
        <v>20.9</v>
      </c>
      <c r="Q18" s="105">
        <v>20.9</v>
      </c>
      <c r="R18" s="105">
        <v>20.9</v>
      </c>
      <c r="S18" s="105">
        <v>25</v>
      </c>
      <c r="T18" s="105">
        <v>25</v>
      </c>
      <c r="U18" s="105">
        <v>25</v>
      </c>
      <c r="V18" s="105">
        <v>25</v>
      </c>
      <c r="W18" s="105">
        <v>25</v>
      </c>
      <c r="X18" s="105">
        <v>26.2</v>
      </c>
      <c r="Y18" s="105">
        <v>26.2</v>
      </c>
      <c r="Z18" s="105">
        <v>26.2</v>
      </c>
      <c r="AA18" s="105">
        <v>26.2</v>
      </c>
      <c r="AB18" s="105">
        <v>26.2</v>
      </c>
      <c r="AC18" s="105">
        <v>25.2</v>
      </c>
      <c r="AD18" s="105">
        <v>25.2</v>
      </c>
      <c r="AE18" s="105">
        <v>20.8</v>
      </c>
      <c r="AF18" s="105">
        <v>20.8</v>
      </c>
      <c r="AG18" s="126">
        <v>25</v>
      </c>
      <c r="AH18" s="20">
        <f t="shared" si="2"/>
        <v>26.2</v>
      </c>
      <c r="AI18" s="19">
        <f t="shared" si="3"/>
        <v>15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22</v>
      </c>
      <c r="C19" s="105">
        <v>22</v>
      </c>
      <c r="D19" s="105">
        <v>22</v>
      </c>
      <c r="E19" s="105">
        <v>22</v>
      </c>
      <c r="F19" s="105">
        <v>22</v>
      </c>
      <c r="G19" s="105">
        <v>22</v>
      </c>
      <c r="H19" s="105">
        <v>22</v>
      </c>
      <c r="I19" s="105">
        <v>22</v>
      </c>
      <c r="J19" s="105">
        <v>22</v>
      </c>
      <c r="K19" s="105">
        <v>22</v>
      </c>
      <c r="L19" s="105">
        <v>22</v>
      </c>
      <c r="M19" s="105">
        <v>22</v>
      </c>
      <c r="N19" s="105">
        <v>22</v>
      </c>
      <c r="O19" s="105">
        <v>22</v>
      </c>
      <c r="P19" s="105">
        <v>22</v>
      </c>
      <c r="Q19" s="105">
        <v>22</v>
      </c>
      <c r="R19" s="105">
        <v>22</v>
      </c>
      <c r="S19" s="105">
        <v>22</v>
      </c>
      <c r="T19" s="105">
        <v>22</v>
      </c>
      <c r="U19" s="105">
        <v>22</v>
      </c>
      <c r="V19" s="105">
        <v>22</v>
      </c>
      <c r="W19" s="105">
        <v>22</v>
      </c>
      <c r="X19" s="105">
        <v>25</v>
      </c>
      <c r="Y19" s="105">
        <v>25</v>
      </c>
      <c r="Z19" s="105">
        <v>25</v>
      </c>
      <c r="AA19" s="105">
        <v>25</v>
      </c>
      <c r="AB19" s="105">
        <v>22</v>
      </c>
      <c r="AC19" s="105">
        <v>22</v>
      </c>
      <c r="AD19" s="105">
        <v>22</v>
      </c>
      <c r="AE19" s="105">
        <v>22</v>
      </c>
      <c r="AF19" s="105">
        <v>22</v>
      </c>
      <c r="AG19" s="126">
        <v>25</v>
      </c>
      <c r="AH19" s="20">
        <f t="shared" si="2"/>
        <v>25</v>
      </c>
      <c r="AI19" s="19">
        <f t="shared" si="3"/>
        <v>22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20</v>
      </c>
      <c r="C20" s="105">
        <v>20</v>
      </c>
      <c r="D20" s="105">
        <v>20</v>
      </c>
      <c r="E20" s="105">
        <v>20</v>
      </c>
      <c r="F20" s="105">
        <v>20</v>
      </c>
      <c r="G20" s="105">
        <v>20</v>
      </c>
      <c r="H20" s="105">
        <v>20</v>
      </c>
      <c r="I20" s="105">
        <v>20</v>
      </c>
      <c r="J20" s="105">
        <v>20</v>
      </c>
      <c r="K20" s="105">
        <v>20</v>
      </c>
      <c r="L20" s="105">
        <v>20</v>
      </c>
      <c r="M20" s="105">
        <v>25</v>
      </c>
      <c r="N20" s="105">
        <v>24</v>
      </c>
      <c r="O20" s="105">
        <v>20</v>
      </c>
      <c r="P20" s="105">
        <v>20</v>
      </c>
      <c r="Q20" s="105">
        <v>20</v>
      </c>
      <c r="R20" s="105">
        <v>20</v>
      </c>
      <c r="S20" s="105">
        <v>20</v>
      </c>
      <c r="T20" s="105">
        <v>20</v>
      </c>
      <c r="U20" s="105">
        <v>20</v>
      </c>
      <c r="V20" s="105">
        <v>20</v>
      </c>
      <c r="W20" s="105">
        <v>20</v>
      </c>
      <c r="X20" s="105">
        <v>25</v>
      </c>
      <c r="Y20" s="105">
        <v>25</v>
      </c>
      <c r="Z20" s="105">
        <v>25</v>
      </c>
      <c r="AA20" s="105">
        <v>25</v>
      </c>
      <c r="AB20" s="105">
        <v>25</v>
      </c>
      <c r="AC20" s="105">
        <v>25</v>
      </c>
      <c r="AD20" s="105">
        <v>25</v>
      </c>
      <c r="AE20" s="105">
        <v>20</v>
      </c>
      <c r="AF20" s="105">
        <v>20</v>
      </c>
      <c r="AG20" s="126">
        <v>25</v>
      </c>
      <c r="AH20" s="20">
        <f t="shared" si="2"/>
        <v>25</v>
      </c>
      <c r="AI20" s="19">
        <f t="shared" si="3"/>
        <v>20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18</v>
      </c>
      <c r="C21" s="105">
        <v>18</v>
      </c>
      <c r="D21" s="105">
        <v>18</v>
      </c>
      <c r="E21" s="105">
        <v>18</v>
      </c>
      <c r="F21" s="105">
        <v>18</v>
      </c>
      <c r="G21" s="105">
        <v>18</v>
      </c>
      <c r="H21" s="105">
        <v>18</v>
      </c>
      <c r="I21" s="105">
        <v>18</v>
      </c>
      <c r="J21" s="105">
        <v>18</v>
      </c>
      <c r="K21" s="105">
        <v>18</v>
      </c>
      <c r="L21" s="105">
        <v>18</v>
      </c>
      <c r="M21" s="105">
        <v>18</v>
      </c>
      <c r="N21" s="105">
        <v>18</v>
      </c>
      <c r="O21" s="105">
        <v>18</v>
      </c>
      <c r="P21" s="105">
        <v>18</v>
      </c>
      <c r="Q21" s="105">
        <v>18</v>
      </c>
      <c r="R21" s="105">
        <v>18</v>
      </c>
      <c r="S21" s="105">
        <v>18</v>
      </c>
      <c r="T21" s="105">
        <v>18</v>
      </c>
      <c r="U21" s="105">
        <v>18</v>
      </c>
      <c r="V21" s="105">
        <v>18</v>
      </c>
      <c r="W21" s="105">
        <v>18</v>
      </c>
      <c r="X21" s="105">
        <v>18</v>
      </c>
      <c r="Y21" s="105">
        <v>18</v>
      </c>
      <c r="Z21" s="105">
        <v>18</v>
      </c>
      <c r="AA21" s="105">
        <v>18</v>
      </c>
      <c r="AB21" s="105">
        <v>18</v>
      </c>
      <c r="AC21" s="105">
        <v>23.9</v>
      </c>
      <c r="AD21" s="105">
        <v>23.9</v>
      </c>
      <c r="AE21" s="105">
        <v>18.399999999999999</v>
      </c>
      <c r="AF21" s="105">
        <v>18.399999999999999</v>
      </c>
      <c r="AG21" s="126">
        <v>23.5</v>
      </c>
      <c r="AH21" s="20">
        <f t="shared" si="2"/>
        <v>23.9</v>
      </c>
      <c r="AI21" s="19">
        <f t="shared" si="3"/>
        <v>18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22</v>
      </c>
      <c r="C22" s="105">
        <v>22</v>
      </c>
      <c r="D22" s="105">
        <v>18</v>
      </c>
      <c r="E22" s="105">
        <v>18</v>
      </c>
      <c r="F22" s="105">
        <v>18</v>
      </c>
      <c r="G22" s="105">
        <v>18</v>
      </c>
      <c r="H22" s="105">
        <v>18</v>
      </c>
      <c r="I22" s="105">
        <v>18</v>
      </c>
      <c r="J22" s="105">
        <v>18</v>
      </c>
      <c r="K22" s="105">
        <v>18</v>
      </c>
      <c r="L22" s="105">
        <v>18</v>
      </c>
      <c r="M22" s="105">
        <v>18</v>
      </c>
      <c r="N22" s="105">
        <v>18</v>
      </c>
      <c r="O22" s="105">
        <v>18</v>
      </c>
      <c r="P22" s="105">
        <v>18</v>
      </c>
      <c r="Q22" s="105">
        <v>18</v>
      </c>
      <c r="R22" s="105">
        <v>18</v>
      </c>
      <c r="S22" s="105">
        <v>18</v>
      </c>
      <c r="T22" s="105">
        <v>18</v>
      </c>
      <c r="U22" s="105">
        <v>18</v>
      </c>
      <c r="V22" s="105">
        <v>18</v>
      </c>
      <c r="W22" s="105">
        <v>18</v>
      </c>
      <c r="X22" s="105">
        <v>18</v>
      </c>
      <c r="Y22" s="105">
        <v>18</v>
      </c>
      <c r="Z22" s="105">
        <v>18</v>
      </c>
      <c r="AA22" s="105">
        <v>18</v>
      </c>
      <c r="AB22" s="105">
        <v>18</v>
      </c>
      <c r="AC22" s="105">
        <v>18</v>
      </c>
      <c r="AD22" s="105">
        <v>18</v>
      </c>
      <c r="AE22" s="105">
        <v>18</v>
      </c>
      <c r="AF22" s="105">
        <v>18</v>
      </c>
      <c r="AG22" s="126">
        <v>22.2</v>
      </c>
      <c r="AH22" s="20">
        <f t="shared" si="2"/>
        <v>22</v>
      </c>
      <c r="AI22" s="19">
        <f t="shared" si="3"/>
        <v>18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19</v>
      </c>
      <c r="C23" s="105">
        <v>19</v>
      </c>
      <c r="D23" s="105">
        <v>19</v>
      </c>
      <c r="E23" s="105">
        <v>19</v>
      </c>
      <c r="F23" s="105">
        <v>19</v>
      </c>
      <c r="G23" s="105">
        <v>19</v>
      </c>
      <c r="H23" s="105">
        <v>19</v>
      </c>
      <c r="I23" s="105">
        <v>19</v>
      </c>
      <c r="J23" s="105">
        <v>19</v>
      </c>
      <c r="K23" s="105">
        <v>19</v>
      </c>
      <c r="L23" s="105">
        <v>19</v>
      </c>
      <c r="M23" s="105">
        <v>24</v>
      </c>
      <c r="N23" s="105">
        <v>24</v>
      </c>
      <c r="O23" s="105">
        <v>21</v>
      </c>
      <c r="P23" s="105">
        <v>21</v>
      </c>
      <c r="Q23" s="105">
        <v>21</v>
      </c>
      <c r="R23" s="105">
        <v>21</v>
      </c>
      <c r="S23" s="105">
        <v>21</v>
      </c>
      <c r="T23" s="105">
        <v>21</v>
      </c>
      <c r="U23" s="105">
        <v>21</v>
      </c>
      <c r="V23" s="105">
        <v>21</v>
      </c>
      <c r="W23" s="105">
        <v>21</v>
      </c>
      <c r="X23" s="105">
        <v>21</v>
      </c>
      <c r="Y23" s="105">
        <v>21</v>
      </c>
      <c r="Z23" s="105">
        <v>21</v>
      </c>
      <c r="AA23" s="105">
        <v>21</v>
      </c>
      <c r="AB23" s="105">
        <v>20</v>
      </c>
      <c r="AC23" s="105">
        <v>20</v>
      </c>
      <c r="AD23" s="105">
        <v>20</v>
      </c>
      <c r="AE23" s="105">
        <v>20</v>
      </c>
      <c r="AF23" s="105">
        <v>20</v>
      </c>
      <c r="AG23" s="126">
        <v>22.1</v>
      </c>
      <c r="AH23" s="20">
        <f t="shared" si="2"/>
        <v>24</v>
      </c>
      <c r="AI23" s="19">
        <f t="shared" si="3"/>
        <v>19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20</v>
      </c>
      <c r="C24" s="105">
        <v>20</v>
      </c>
      <c r="D24" s="105">
        <v>20</v>
      </c>
      <c r="E24" s="105">
        <v>20</v>
      </c>
      <c r="F24" s="105">
        <v>20</v>
      </c>
      <c r="G24" s="105">
        <v>20</v>
      </c>
      <c r="H24" s="105">
        <v>20</v>
      </c>
      <c r="I24" s="105">
        <v>20</v>
      </c>
      <c r="J24" s="105">
        <v>20</v>
      </c>
      <c r="K24" s="105">
        <v>20</v>
      </c>
      <c r="L24" s="105">
        <v>20</v>
      </c>
      <c r="M24" s="105">
        <v>20</v>
      </c>
      <c r="N24" s="105">
        <v>20</v>
      </c>
      <c r="O24" s="105">
        <v>20</v>
      </c>
      <c r="P24" s="105">
        <v>20</v>
      </c>
      <c r="Q24" s="105">
        <v>20</v>
      </c>
      <c r="R24" s="105">
        <v>20</v>
      </c>
      <c r="S24" s="105">
        <v>20</v>
      </c>
      <c r="T24" s="105">
        <v>20</v>
      </c>
      <c r="U24" s="105">
        <v>20</v>
      </c>
      <c r="V24" s="105">
        <v>20</v>
      </c>
      <c r="W24" s="105">
        <v>20</v>
      </c>
      <c r="X24" s="105">
        <v>20</v>
      </c>
      <c r="Y24" s="105">
        <v>20</v>
      </c>
      <c r="Z24" s="105">
        <v>20</v>
      </c>
      <c r="AA24" s="105">
        <v>20</v>
      </c>
      <c r="AB24" s="105">
        <v>22</v>
      </c>
      <c r="AC24" s="105">
        <v>22</v>
      </c>
      <c r="AD24" s="105">
        <v>22</v>
      </c>
      <c r="AE24" s="105">
        <v>22</v>
      </c>
      <c r="AF24" s="105">
        <v>0</v>
      </c>
      <c r="AG24" s="126">
        <v>22</v>
      </c>
      <c r="AH24" s="20">
        <f t="shared" si="2"/>
        <v>22</v>
      </c>
      <c r="AI24" s="19">
        <f t="shared" si="3"/>
        <v>0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18</v>
      </c>
      <c r="C25" s="105">
        <v>18</v>
      </c>
      <c r="D25" s="105">
        <v>18</v>
      </c>
      <c r="E25" s="105">
        <v>18</v>
      </c>
      <c r="F25" s="105">
        <v>18</v>
      </c>
      <c r="G25" s="105">
        <v>18</v>
      </c>
      <c r="H25" s="105">
        <v>18</v>
      </c>
      <c r="I25" s="105">
        <v>18</v>
      </c>
      <c r="J25" s="105">
        <v>18</v>
      </c>
      <c r="K25" s="105">
        <v>18</v>
      </c>
      <c r="L25" s="105">
        <v>18</v>
      </c>
      <c r="M25" s="105">
        <v>18</v>
      </c>
      <c r="N25" s="105">
        <v>18</v>
      </c>
      <c r="O25" s="105">
        <v>18</v>
      </c>
      <c r="P25" s="105">
        <v>18</v>
      </c>
      <c r="Q25" s="105">
        <v>18</v>
      </c>
      <c r="R25" s="105">
        <v>18</v>
      </c>
      <c r="S25" s="105">
        <v>18</v>
      </c>
      <c r="T25" s="105">
        <v>18</v>
      </c>
      <c r="U25" s="105">
        <v>18</v>
      </c>
      <c r="V25" s="105">
        <v>18</v>
      </c>
      <c r="W25" s="105">
        <v>18</v>
      </c>
      <c r="X25" s="105">
        <v>22</v>
      </c>
      <c r="Y25" s="105">
        <v>22</v>
      </c>
      <c r="Z25" s="105">
        <v>22</v>
      </c>
      <c r="AA25" s="105">
        <v>22</v>
      </c>
      <c r="AB25" s="105">
        <v>22</v>
      </c>
      <c r="AC25" s="105">
        <v>22</v>
      </c>
      <c r="AD25" s="105">
        <v>22</v>
      </c>
      <c r="AE25" s="105">
        <v>22</v>
      </c>
      <c r="AF25" s="105">
        <v>20</v>
      </c>
      <c r="AG25" s="126">
        <v>22</v>
      </c>
      <c r="AH25" s="20">
        <f t="shared" si="2"/>
        <v>22</v>
      </c>
      <c r="AI25" s="19">
        <f t="shared" si="3"/>
        <v>18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5">
        <v>0</v>
      </c>
      <c r="M26" s="105">
        <v>0</v>
      </c>
      <c r="N26" s="105">
        <v>0</v>
      </c>
      <c r="O26" s="105">
        <v>0</v>
      </c>
      <c r="P26" s="105">
        <v>0</v>
      </c>
      <c r="Q26" s="105">
        <v>0</v>
      </c>
      <c r="R26" s="105">
        <v>0</v>
      </c>
      <c r="S26" s="105">
        <v>0</v>
      </c>
      <c r="T26" s="105">
        <v>0</v>
      </c>
      <c r="U26" s="105">
        <v>0</v>
      </c>
      <c r="V26" s="105">
        <v>0</v>
      </c>
      <c r="W26" s="105">
        <v>0</v>
      </c>
      <c r="X26" s="105">
        <v>0</v>
      </c>
      <c r="Y26" s="105">
        <v>0</v>
      </c>
      <c r="Z26" s="105">
        <v>0</v>
      </c>
      <c r="AA26" s="105">
        <v>0</v>
      </c>
      <c r="AB26" s="105">
        <v>10</v>
      </c>
      <c r="AC26" s="105">
        <v>0</v>
      </c>
      <c r="AD26" s="105">
        <v>0</v>
      </c>
      <c r="AE26" s="105">
        <v>0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13</v>
      </c>
      <c r="C27" s="105">
        <v>13</v>
      </c>
      <c r="D27" s="105">
        <v>13</v>
      </c>
      <c r="E27" s="105">
        <v>13</v>
      </c>
      <c r="F27" s="105">
        <v>13</v>
      </c>
      <c r="G27" s="105">
        <v>13</v>
      </c>
      <c r="H27" s="105">
        <v>13</v>
      </c>
      <c r="I27" s="105">
        <v>13</v>
      </c>
      <c r="J27" s="105">
        <v>13</v>
      </c>
      <c r="K27" s="105">
        <v>13</v>
      </c>
      <c r="L27" s="105">
        <v>13</v>
      </c>
      <c r="M27" s="105">
        <v>14.8</v>
      </c>
      <c r="N27" s="105">
        <v>14.8</v>
      </c>
      <c r="O27" s="105">
        <v>14.8</v>
      </c>
      <c r="P27" s="105">
        <v>14.8</v>
      </c>
      <c r="Q27" s="105">
        <v>14.8</v>
      </c>
      <c r="R27" s="105">
        <v>14.8</v>
      </c>
      <c r="S27" s="105">
        <v>14.8</v>
      </c>
      <c r="T27" s="105">
        <v>14.8</v>
      </c>
      <c r="U27" s="105">
        <v>14.8</v>
      </c>
      <c r="V27" s="105">
        <v>14.8</v>
      </c>
      <c r="W27" s="105">
        <v>14.8</v>
      </c>
      <c r="X27" s="105">
        <v>14.8</v>
      </c>
      <c r="Y27" s="105">
        <v>14.8</v>
      </c>
      <c r="Z27" s="105">
        <v>14.8</v>
      </c>
      <c r="AA27" s="105">
        <v>14.8</v>
      </c>
      <c r="AB27" s="105">
        <v>14.8</v>
      </c>
      <c r="AC27" s="105">
        <v>14.8</v>
      </c>
      <c r="AD27" s="105">
        <v>14.8</v>
      </c>
      <c r="AE27" s="105">
        <v>14.8</v>
      </c>
      <c r="AF27" s="105">
        <v>14.8</v>
      </c>
      <c r="AG27" s="126">
        <v>14.9</v>
      </c>
      <c r="AH27" s="20">
        <f t="shared" si="2"/>
        <v>14.8</v>
      </c>
      <c r="AI27" s="19">
        <f t="shared" si="3"/>
        <v>13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>
        <v>6.8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>
        <v>6.8</v>
      </c>
      <c r="AE28" s="105">
        <v>6.8</v>
      </c>
      <c r="AF28" s="105">
        <v>0</v>
      </c>
      <c r="AG28" s="126">
        <v>13.6</v>
      </c>
      <c r="AH28" s="20">
        <f t="shared" si="2"/>
        <v>6.8</v>
      </c>
      <c r="AI28" s="19">
        <f t="shared" si="3"/>
        <v>0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12</v>
      </c>
      <c r="C29" s="105">
        <v>12</v>
      </c>
      <c r="D29" s="105">
        <v>12</v>
      </c>
      <c r="E29" s="105">
        <v>12</v>
      </c>
      <c r="F29" s="105">
        <v>12</v>
      </c>
      <c r="G29" s="105">
        <v>12</v>
      </c>
      <c r="H29" s="105">
        <v>12</v>
      </c>
      <c r="I29" s="105">
        <v>12</v>
      </c>
      <c r="J29" s="105">
        <v>12</v>
      </c>
      <c r="K29" s="105">
        <v>12</v>
      </c>
      <c r="L29" s="105">
        <v>12</v>
      </c>
      <c r="M29" s="105">
        <v>12</v>
      </c>
      <c r="N29" s="105">
        <v>12</v>
      </c>
      <c r="O29" s="105">
        <v>12</v>
      </c>
      <c r="P29" s="105">
        <v>12</v>
      </c>
      <c r="Q29" s="105">
        <v>12</v>
      </c>
      <c r="R29" s="105">
        <v>12</v>
      </c>
      <c r="S29" s="105">
        <v>12</v>
      </c>
      <c r="T29" s="105">
        <v>12</v>
      </c>
      <c r="U29" s="105">
        <v>12</v>
      </c>
      <c r="V29" s="105">
        <v>12</v>
      </c>
      <c r="W29" s="105">
        <v>12</v>
      </c>
      <c r="X29" s="105">
        <v>12</v>
      </c>
      <c r="Y29" s="105">
        <v>12</v>
      </c>
      <c r="Z29" s="105">
        <v>12</v>
      </c>
      <c r="AA29" s="105">
        <v>12</v>
      </c>
      <c r="AB29" s="105">
        <v>13</v>
      </c>
      <c r="AC29" s="105">
        <v>13</v>
      </c>
      <c r="AD29" s="105">
        <v>13</v>
      </c>
      <c r="AE29" s="105">
        <v>12</v>
      </c>
      <c r="AF29" s="105">
        <v>12</v>
      </c>
      <c r="AG29" s="126">
        <v>13</v>
      </c>
      <c r="AH29" s="20">
        <f t="shared" si="2"/>
        <v>13</v>
      </c>
      <c r="AI29" s="19">
        <f t="shared" si="3"/>
        <v>12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6</v>
      </c>
      <c r="N30" s="105">
        <v>0</v>
      </c>
      <c r="O30" s="105">
        <v>0</v>
      </c>
      <c r="P30" s="105">
        <v>0</v>
      </c>
      <c r="Q30" s="105">
        <v>0</v>
      </c>
      <c r="R30" s="105">
        <v>0</v>
      </c>
      <c r="S30" s="105">
        <v>0</v>
      </c>
      <c r="T30" s="105">
        <v>0</v>
      </c>
      <c r="U30" s="105">
        <v>0</v>
      </c>
      <c r="V30" s="105">
        <v>0</v>
      </c>
      <c r="W30" s="105">
        <v>0</v>
      </c>
      <c r="X30" s="105">
        <v>12</v>
      </c>
      <c r="Y30" s="105">
        <v>12</v>
      </c>
      <c r="Z30" s="105">
        <v>12</v>
      </c>
      <c r="AA30" s="105">
        <v>12</v>
      </c>
      <c r="AB30" s="105">
        <v>12</v>
      </c>
      <c r="AC30" s="105">
        <v>5</v>
      </c>
      <c r="AD30" s="105">
        <v>5</v>
      </c>
      <c r="AE30" s="105">
        <v>0</v>
      </c>
      <c r="AF30" s="105">
        <v>0</v>
      </c>
      <c r="AG30" s="126">
        <v>12</v>
      </c>
      <c r="AH30" s="20">
        <f t="shared" si="2"/>
        <v>12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12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>
        <v>12</v>
      </c>
      <c r="AE31" s="105">
        <v>12</v>
      </c>
      <c r="AF31" s="105">
        <v>12</v>
      </c>
      <c r="AG31" s="126">
        <v>12</v>
      </c>
      <c r="AH31" s="20">
        <f t="shared" si="2"/>
        <v>12</v>
      </c>
      <c r="AI31" s="19">
        <f t="shared" si="3"/>
        <v>12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0</v>
      </c>
      <c r="C32" s="105">
        <v>0</v>
      </c>
      <c r="D32" s="105">
        <v>0</v>
      </c>
      <c r="E32" s="105">
        <v>0</v>
      </c>
      <c r="F32" s="105">
        <v>0</v>
      </c>
      <c r="G32" s="105">
        <v>0</v>
      </c>
      <c r="H32" s="105">
        <v>0</v>
      </c>
      <c r="I32" s="105">
        <v>0</v>
      </c>
      <c r="J32" s="105">
        <v>0</v>
      </c>
      <c r="K32" s="105">
        <v>0</v>
      </c>
      <c r="L32" s="105">
        <v>0</v>
      </c>
      <c r="M32" s="105">
        <v>0</v>
      </c>
      <c r="N32" s="105">
        <v>0</v>
      </c>
      <c r="O32" s="105">
        <v>0</v>
      </c>
      <c r="P32" s="105">
        <v>0</v>
      </c>
      <c r="Q32" s="105">
        <v>0</v>
      </c>
      <c r="R32" s="105">
        <v>0</v>
      </c>
      <c r="S32" s="105">
        <v>0</v>
      </c>
      <c r="T32" s="105">
        <v>0</v>
      </c>
      <c r="U32" s="105">
        <v>0</v>
      </c>
      <c r="V32" s="105">
        <v>0</v>
      </c>
      <c r="W32" s="105">
        <v>0</v>
      </c>
      <c r="X32" s="105">
        <v>0</v>
      </c>
      <c r="Y32" s="105">
        <v>0</v>
      </c>
      <c r="Z32" s="105">
        <v>0</v>
      </c>
      <c r="AA32" s="105">
        <v>0</v>
      </c>
      <c r="AB32" s="105">
        <v>0</v>
      </c>
      <c r="AC32" s="105">
        <v>0</v>
      </c>
      <c r="AD32" s="105">
        <v>0</v>
      </c>
      <c r="AE32" s="105">
        <v>0</v>
      </c>
      <c r="AF32" s="105">
        <v>0</v>
      </c>
      <c r="AG32" s="126">
        <v>12</v>
      </c>
      <c r="AH32" s="20">
        <f t="shared" si="2"/>
        <v>0</v>
      </c>
      <c r="AI32" s="19">
        <f t="shared" si="3"/>
        <v>0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0</v>
      </c>
      <c r="C33" s="105">
        <v>0</v>
      </c>
      <c r="D33" s="105">
        <v>0</v>
      </c>
      <c r="E33" s="105">
        <v>0</v>
      </c>
      <c r="F33" s="105">
        <v>0</v>
      </c>
      <c r="G33" s="105">
        <v>0</v>
      </c>
      <c r="H33" s="105">
        <v>0</v>
      </c>
      <c r="I33" s="105">
        <v>0</v>
      </c>
      <c r="J33" s="105">
        <v>0</v>
      </c>
      <c r="K33" s="105">
        <v>0</v>
      </c>
      <c r="L33" s="105">
        <v>0</v>
      </c>
      <c r="M33" s="105">
        <v>0</v>
      </c>
      <c r="N33" s="105">
        <v>0</v>
      </c>
      <c r="O33" s="105">
        <v>0</v>
      </c>
      <c r="P33" s="105">
        <v>0</v>
      </c>
      <c r="Q33" s="105">
        <v>0</v>
      </c>
      <c r="R33" s="105">
        <v>0</v>
      </c>
      <c r="S33" s="105">
        <v>0</v>
      </c>
      <c r="T33" s="105">
        <v>0</v>
      </c>
      <c r="U33" s="105">
        <v>0</v>
      </c>
      <c r="V33" s="105">
        <v>0</v>
      </c>
      <c r="W33" s="105">
        <v>0</v>
      </c>
      <c r="X33" s="105">
        <v>0</v>
      </c>
      <c r="Y33" s="105">
        <v>0</v>
      </c>
      <c r="Z33" s="105">
        <v>0</v>
      </c>
      <c r="AA33" s="105">
        <v>0</v>
      </c>
      <c r="AB33" s="105">
        <v>9</v>
      </c>
      <c r="AC33" s="105">
        <v>9</v>
      </c>
      <c r="AD33" s="105">
        <v>9</v>
      </c>
      <c r="AE33" s="105">
        <v>9</v>
      </c>
      <c r="AF33" s="105">
        <v>0</v>
      </c>
      <c r="AG33" s="125">
        <v>22</v>
      </c>
      <c r="AH33" s="20">
        <f t="shared" si="2"/>
        <v>9</v>
      </c>
      <c r="AI33" s="19">
        <f t="shared" si="3"/>
        <v>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12</v>
      </c>
      <c r="C34" s="105">
        <v>12</v>
      </c>
      <c r="D34" s="105">
        <v>12</v>
      </c>
      <c r="E34" s="105">
        <v>12</v>
      </c>
      <c r="F34" s="105">
        <v>12</v>
      </c>
      <c r="G34" s="105">
        <v>12</v>
      </c>
      <c r="H34" s="105">
        <v>12</v>
      </c>
      <c r="I34" s="105">
        <v>12</v>
      </c>
      <c r="J34" s="105">
        <v>12</v>
      </c>
      <c r="K34" s="105">
        <v>12</v>
      </c>
      <c r="L34" s="105">
        <v>12</v>
      </c>
      <c r="M34" s="105">
        <v>12</v>
      </c>
      <c r="N34" s="105">
        <v>12</v>
      </c>
      <c r="O34" s="105">
        <v>12</v>
      </c>
      <c r="P34" s="105">
        <v>12</v>
      </c>
      <c r="Q34" s="105">
        <v>12</v>
      </c>
      <c r="R34" s="105">
        <v>12</v>
      </c>
      <c r="S34" s="105">
        <v>12</v>
      </c>
      <c r="T34" s="105">
        <v>12</v>
      </c>
      <c r="U34" s="105">
        <v>12</v>
      </c>
      <c r="V34" s="105">
        <v>12</v>
      </c>
      <c r="W34" s="105">
        <v>12</v>
      </c>
      <c r="X34" s="105">
        <v>12</v>
      </c>
      <c r="Y34" s="105">
        <v>12</v>
      </c>
      <c r="Z34" s="105">
        <v>12</v>
      </c>
      <c r="AA34" s="105">
        <v>12</v>
      </c>
      <c r="AB34" s="105">
        <v>12</v>
      </c>
      <c r="AC34" s="105">
        <v>12</v>
      </c>
      <c r="AD34" s="105">
        <v>12</v>
      </c>
      <c r="AE34" s="105">
        <v>12</v>
      </c>
      <c r="AF34" s="105">
        <v>12</v>
      </c>
      <c r="AG34" s="96">
        <v>11.88</v>
      </c>
      <c r="AH34" s="20">
        <f t="shared" si="2"/>
        <v>12</v>
      </c>
      <c r="AI34" s="19">
        <f t="shared" si="3"/>
        <v>12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11</v>
      </c>
      <c r="C35" s="105">
        <v>11</v>
      </c>
      <c r="D35" s="105">
        <v>11</v>
      </c>
      <c r="E35" s="105">
        <v>11</v>
      </c>
      <c r="F35" s="105">
        <v>11</v>
      </c>
      <c r="G35" s="105">
        <v>11</v>
      </c>
      <c r="H35" s="105">
        <v>11</v>
      </c>
      <c r="I35" s="105">
        <v>11</v>
      </c>
      <c r="J35" s="105">
        <v>11</v>
      </c>
      <c r="K35" s="105">
        <v>11</v>
      </c>
      <c r="L35" s="105">
        <v>11</v>
      </c>
      <c r="M35" s="105">
        <v>11</v>
      </c>
      <c r="N35" s="105">
        <v>10</v>
      </c>
      <c r="O35" s="105">
        <v>9</v>
      </c>
      <c r="P35" s="105">
        <v>9</v>
      </c>
      <c r="Q35" s="105">
        <v>9</v>
      </c>
      <c r="R35" s="105">
        <v>9</v>
      </c>
      <c r="S35" s="105">
        <v>9</v>
      </c>
      <c r="T35" s="105">
        <v>9</v>
      </c>
      <c r="U35" s="105">
        <v>9</v>
      </c>
      <c r="V35" s="105">
        <v>9</v>
      </c>
      <c r="W35" s="105">
        <v>9</v>
      </c>
      <c r="X35" s="105">
        <v>9</v>
      </c>
      <c r="Y35" s="105">
        <v>9</v>
      </c>
      <c r="Z35" s="105">
        <v>9</v>
      </c>
      <c r="AA35" s="105">
        <v>9</v>
      </c>
      <c r="AB35" s="105">
        <v>9</v>
      </c>
      <c r="AC35" s="105">
        <v>9</v>
      </c>
      <c r="AD35" s="105">
        <v>9</v>
      </c>
      <c r="AE35" s="105">
        <v>8</v>
      </c>
      <c r="AF35" s="105">
        <v>8</v>
      </c>
      <c r="AG35" s="94">
        <v>11</v>
      </c>
      <c r="AH35" s="20">
        <f t="shared" si="2"/>
        <v>11</v>
      </c>
      <c r="AI35" s="19">
        <f t="shared" si="3"/>
        <v>8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>
        <v>9</v>
      </c>
      <c r="E36" s="105">
        <v>9</v>
      </c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>
        <v>9</v>
      </c>
      <c r="N36" s="105">
        <v>9</v>
      </c>
      <c r="O36" s="105">
        <v>9</v>
      </c>
      <c r="P36" s="105">
        <v>9</v>
      </c>
      <c r="Q36" s="105">
        <v>9</v>
      </c>
      <c r="R36" s="105">
        <v>9</v>
      </c>
      <c r="S36" s="105">
        <v>9</v>
      </c>
      <c r="T36" s="105">
        <v>9</v>
      </c>
      <c r="U36" s="105">
        <v>9</v>
      </c>
      <c r="V36" s="105">
        <v>9</v>
      </c>
      <c r="W36" s="105">
        <v>9</v>
      </c>
      <c r="X36" s="105">
        <v>9</v>
      </c>
      <c r="Y36" s="105">
        <v>9</v>
      </c>
      <c r="Z36" s="105">
        <v>9</v>
      </c>
      <c r="AA36" s="105">
        <v>9</v>
      </c>
      <c r="AB36" s="105">
        <v>9</v>
      </c>
      <c r="AC36" s="105">
        <v>9</v>
      </c>
      <c r="AD36" s="105">
        <v>9</v>
      </c>
      <c r="AE36" s="105">
        <v>9</v>
      </c>
      <c r="AF36" s="105">
        <v>0</v>
      </c>
      <c r="AG36" s="94">
        <v>10</v>
      </c>
      <c r="AH36" s="20">
        <f t="shared" si="2"/>
        <v>9</v>
      </c>
      <c r="AI36" s="19">
        <f t="shared" si="3"/>
        <v>0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2</v>
      </c>
      <c r="N37" s="105">
        <v>2</v>
      </c>
      <c r="O37" s="105">
        <v>2</v>
      </c>
      <c r="P37" s="105">
        <v>2</v>
      </c>
      <c r="Q37" s="105">
        <v>2</v>
      </c>
      <c r="R37" s="105">
        <v>2</v>
      </c>
      <c r="S37" s="105">
        <v>2</v>
      </c>
      <c r="T37" s="105">
        <v>2</v>
      </c>
      <c r="U37" s="105">
        <v>2</v>
      </c>
      <c r="V37" s="105">
        <v>2</v>
      </c>
      <c r="W37" s="105">
        <v>2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2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290</v>
      </c>
      <c r="AE38" s="113">
        <v>290</v>
      </c>
      <c r="AF38" s="113">
        <v>250</v>
      </c>
      <c r="AG38" s="94">
        <v>85</v>
      </c>
      <c r="AH38" s="20">
        <f t="shared" si="2"/>
        <v>300</v>
      </c>
      <c r="AI38" s="19">
        <f t="shared" si="3"/>
        <v>250</v>
      </c>
      <c r="AK38" s="41"/>
    </row>
    <row r="39" spans="1:88" ht="15.75" thickBot="1" x14ac:dyDescent="0.3">
      <c r="A39" s="120" t="s">
        <v>196</v>
      </c>
      <c r="B39" s="119">
        <v>168</v>
      </c>
      <c r="C39" s="119">
        <v>168</v>
      </c>
      <c r="D39" s="119">
        <v>165</v>
      </c>
      <c r="E39" s="119">
        <v>165</v>
      </c>
      <c r="F39" s="119">
        <v>165</v>
      </c>
      <c r="G39" s="119">
        <v>165</v>
      </c>
      <c r="H39" s="119">
        <v>165</v>
      </c>
      <c r="I39" s="119">
        <f>80.5+85.6</f>
        <v>166.1</v>
      </c>
      <c r="J39" s="119">
        <f t="shared" ref="J39:K39" si="4">80.5+85.6</f>
        <v>166.1</v>
      </c>
      <c r="K39" s="119">
        <f t="shared" si="4"/>
        <v>166.1</v>
      </c>
      <c r="L39" s="119">
        <f>81.4+88.2</f>
        <v>169.60000000000002</v>
      </c>
      <c r="M39" s="113">
        <f>77.5+86.1</f>
        <v>163.6</v>
      </c>
      <c r="N39" s="113">
        <f>78.2+88.3</f>
        <v>166.5</v>
      </c>
      <c r="O39" s="113">
        <f>75.9+89.3</f>
        <v>165.2</v>
      </c>
      <c r="P39" s="113">
        <f>76.7+89.3</f>
        <v>166</v>
      </c>
      <c r="Q39" s="113">
        <f>76.7+89.2</f>
        <v>165.9</v>
      </c>
      <c r="R39" s="113">
        <f>77.5+89.4</f>
        <v>166.9</v>
      </c>
      <c r="S39" s="119">
        <f>82.8+70.7</f>
        <v>153.5</v>
      </c>
      <c r="T39" s="119">
        <f>78+78</f>
        <v>156</v>
      </c>
      <c r="U39" s="119">
        <f>85+79</f>
        <v>164</v>
      </c>
      <c r="V39" s="119">
        <f>92.3+77.4</f>
        <v>169.7</v>
      </c>
      <c r="W39" s="119">
        <f>92.3+77.4</f>
        <v>169.7</v>
      </c>
      <c r="X39" s="119">
        <f>89+76</f>
        <v>165</v>
      </c>
      <c r="Y39" s="119">
        <v>165.3</v>
      </c>
      <c r="Z39" s="119">
        <f>90.7+77</f>
        <v>167.7</v>
      </c>
      <c r="AA39" s="119">
        <f>91.3+76.2</f>
        <v>167.5</v>
      </c>
      <c r="AB39" s="119">
        <f>92+76.5</f>
        <v>168.5</v>
      </c>
      <c r="AC39" s="119">
        <f>92.3+76.1</f>
        <v>168.39999999999998</v>
      </c>
      <c r="AD39" s="119">
        <f>92.7+76.2</f>
        <v>168.9</v>
      </c>
      <c r="AE39" s="119">
        <f>86.2+73.9</f>
        <v>160.10000000000002</v>
      </c>
      <c r="AF39" s="119">
        <f>76.6</f>
        <v>76.599999999999994</v>
      </c>
      <c r="AG39" s="94">
        <v>240</v>
      </c>
      <c r="AH39" s="20">
        <f t="shared" si="2"/>
        <v>169.7</v>
      </c>
      <c r="AI39" s="19">
        <f t="shared" si="3"/>
        <v>76.599999999999994</v>
      </c>
      <c r="AK39" s="41"/>
    </row>
    <row r="40" spans="1:88" ht="15.75" thickBot="1" x14ac:dyDescent="0.3">
      <c r="A40" s="118" t="s">
        <v>195</v>
      </c>
      <c r="B40" s="86">
        <f t="shared" ref="B40:AG40" si="5">SUM(B11:B38)</f>
        <v>705.2</v>
      </c>
      <c r="C40" s="86">
        <f t="shared" si="5"/>
        <v>706.1</v>
      </c>
      <c r="D40" s="86">
        <f t="shared" si="5"/>
        <v>706.6</v>
      </c>
      <c r="E40" s="86">
        <f t="shared" si="5"/>
        <v>706.6</v>
      </c>
      <c r="F40" s="86">
        <f t="shared" si="5"/>
        <v>696.6</v>
      </c>
      <c r="G40" s="86">
        <f t="shared" si="5"/>
        <v>696.6</v>
      </c>
      <c r="H40" s="86">
        <f t="shared" si="5"/>
        <v>696.6</v>
      </c>
      <c r="I40" s="86">
        <f t="shared" si="5"/>
        <v>696.6</v>
      </c>
      <c r="J40" s="86">
        <f t="shared" si="5"/>
        <v>696.6</v>
      </c>
      <c r="K40" s="86">
        <f t="shared" si="5"/>
        <v>711.6</v>
      </c>
      <c r="L40" s="86">
        <f t="shared" si="5"/>
        <v>718.6</v>
      </c>
      <c r="M40" s="86">
        <f t="shared" si="5"/>
        <v>742</v>
      </c>
      <c r="N40" s="86">
        <f t="shared" si="5"/>
        <v>743.5</v>
      </c>
      <c r="O40" s="86">
        <f t="shared" si="5"/>
        <v>735.5</v>
      </c>
      <c r="P40" s="86">
        <f t="shared" si="5"/>
        <v>722.90000000000009</v>
      </c>
      <c r="Q40" s="86">
        <f t="shared" si="5"/>
        <v>708.80000000000007</v>
      </c>
      <c r="R40" s="86">
        <f t="shared" si="5"/>
        <v>708.80000000000007</v>
      </c>
      <c r="S40" s="86">
        <f t="shared" si="5"/>
        <v>750.90000000000009</v>
      </c>
      <c r="T40" s="86">
        <f t="shared" si="5"/>
        <v>717.90000000000009</v>
      </c>
      <c r="U40" s="86">
        <f t="shared" si="5"/>
        <v>717.90000000000009</v>
      </c>
      <c r="V40" s="86">
        <f t="shared" si="5"/>
        <v>717.90000000000009</v>
      </c>
      <c r="W40" s="86">
        <f t="shared" si="5"/>
        <v>737</v>
      </c>
      <c r="X40" s="86">
        <f t="shared" si="5"/>
        <v>842.5</v>
      </c>
      <c r="Y40" s="86">
        <f t="shared" si="5"/>
        <v>842.5</v>
      </c>
      <c r="Z40" s="86">
        <f t="shared" si="5"/>
        <v>842.5</v>
      </c>
      <c r="AA40" s="86">
        <f t="shared" si="5"/>
        <v>842.5</v>
      </c>
      <c r="AB40" s="86">
        <f t="shared" si="5"/>
        <v>860.5</v>
      </c>
      <c r="AC40" s="86">
        <f t="shared" si="5"/>
        <v>810.09999999999991</v>
      </c>
      <c r="AD40" s="86">
        <f t="shared" si="5"/>
        <v>784.9</v>
      </c>
      <c r="AE40" s="86">
        <f t="shared" si="5"/>
        <v>711.1</v>
      </c>
      <c r="AF40" s="86">
        <f t="shared" si="5"/>
        <v>613.79999999999995</v>
      </c>
      <c r="AG40" s="101">
        <f t="shared" si="5"/>
        <v>707.78000000000009</v>
      </c>
      <c r="AH40" s="20">
        <f t="shared" si="2"/>
        <v>860.5</v>
      </c>
      <c r="AI40" s="19">
        <f t="shared" si="3"/>
        <v>613.79999999999995</v>
      </c>
      <c r="AK40" s="41"/>
    </row>
    <row r="41" spans="1:88" x14ac:dyDescent="0.25">
      <c r="A41" s="117" t="s">
        <v>194</v>
      </c>
      <c r="B41" s="105">
        <v>456</v>
      </c>
      <c r="C41" s="105">
        <v>456</v>
      </c>
      <c r="D41" s="105">
        <v>456</v>
      </c>
      <c r="E41" s="105">
        <v>456</v>
      </c>
      <c r="F41" s="105">
        <v>380</v>
      </c>
      <c r="G41" s="105">
        <v>456</v>
      </c>
      <c r="H41" s="105">
        <v>456</v>
      </c>
      <c r="I41" s="105">
        <v>456</v>
      </c>
      <c r="J41" s="105">
        <v>410</v>
      </c>
      <c r="K41" s="105">
        <v>440</v>
      </c>
      <c r="L41" s="105">
        <v>456</v>
      </c>
      <c r="M41" s="105">
        <v>440</v>
      </c>
      <c r="N41" s="105">
        <v>410</v>
      </c>
      <c r="O41" s="105">
        <v>410</v>
      </c>
      <c r="P41" s="105">
        <v>420</v>
      </c>
      <c r="Q41" s="105">
        <v>420</v>
      </c>
      <c r="R41" s="105">
        <v>410</v>
      </c>
      <c r="S41" s="105">
        <v>456</v>
      </c>
      <c r="T41" s="105">
        <v>400</v>
      </c>
      <c r="U41" s="105">
        <v>456</v>
      </c>
      <c r="V41" s="105">
        <v>456</v>
      </c>
      <c r="W41" s="105">
        <v>456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456</v>
      </c>
      <c r="AD41" s="105">
        <v>456</v>
      </c>
      <c r="AE41" s="105">
        <v>400</v>
      </c>
      <c r="AF41" s="105">
        <v>420</v>
      </c>
      <c r="AG41" s="96">
        <v>456</v>
      </c>
      <c r="AH41" s="20">
        <f t="shared" si="2"/>
        <v>456</v>
      </c>
      <c r="AI41" s="19">
        <f t="shared" si="3"/>
        <v>380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>
        <v>60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22</v>
      </c>
      <c r="R43" s="107">
        <v>22</v>
      </c>
      <c r="S43" s="107">
        <v>22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>
        <v>22</v>
      </c>
      <c r="AG43" s="106">
        <v>22.1</v>
      </c>
      <c r="AH43" s="20">
        <f t="shared" si="2"/>
        <v>22</v>
      </c>
      <c r="AI43" s="19">
        <f t="shared" si="3"/>
        <v>22</v>
      </c>
      <c r="AK43" s="41"/>
    </row>
    <row r="44" spans="1:88" ht="15.75" thickBot="1" x14ac:dyDescent="0.3">
      <c r="A44" s="114" t="s">
        <v>191</v>
      </c>
      <c r="B44" s="86">
        <f t="shared" ref="B44:AG44" si="6">SUM(B41:B43)</f>
        <v>538</v>
      </c>
      <c r="C44" s="86">
        <f t="shared" si="6"/>
        <v>538</v>
      </c>
      <c r="D44" s="86">
        <f t="shared" si="6"/>
        <v>538</v>
      </c>
      <c r="E44" s="86">
        <f t="shared" si="6"/>
        <v>538</v>
      </c>
      <c r="F44" s="86">
        <f t="shared" si="6"/>
        <v>462</v>
      </c>
      <c r="G44" s="86">
        <f t="shared" si="6"/>
        <v>538</v>
      </c>
      <c r="H44" s="86">
        <f t="shared" si="6"/>
        <v>538</v>
      </c>
      <c r="I44" s="86">
        <f t="shared" si="6"/>
        <v>538</v>
      </c>
      <c r="J44" s="86">
        <f t="shared" si="6"/>
        <v>492</v>
      </c>
      <c r="K44" s="86">
        <f t="shared" si="6"/>
        <v>522</v>
      </c>
      <c r="L44" s="86">
        <f t="shared" si="6"/>
        <v>538</v>
      </c>
      <c r="M44" s="86">
        <f t="shared" si="6"/>
        <v>522</v>
      </c>
      <c r="N44" s="86">
        <f t="shared" si="6"/>
        <v>492</v>
      </c>
      <c r="O44" s="86">
        <f t="shared" si="6"/>
        <v>492</v>
      </c>
      <c r="P44" s="86">
        <f t="shared" si="6"/>
        <v>502</v>
      </c>
      <c r="Q44" s="86">
        <f t="shared" si="6"/>
        <v>502</v>
      </c>
      <c r="R44" s="86">
        <f t="shared" si="6"/>
        <v>492</v>
      </c>
      <c r="S44" s="86">
        <f t="shared" si="6"/>
        <v>538</v>
      </c>
      <c r="T44" s="86">
        <f t="shared" si="6"/>
        <v>482</v>
      </c>
      <c r="U44" s="86">
        <f t="shared" si="6"/>
        <v>538</v>
      </c>
      <c r="V44" s="86">
        <f t="shared" si="6"/>
        <v>538</v>
      </c>
      <c r="W44" s="86">
        <f t="shared" si="6"/>
        <v>538</v>
      </c>
      <c r="X44" s="86">
        <f t="shared" si="6"/>
        <v>538</v>
      </c>
      <c r="Y44" s="86">
        <f t="shared" si="6"/>
        <v>538</v>
      </c>
      <c r="Z44" s="86">
        <f t="shared" si="6"/>
        <v>538</v>
      </c>
      <c r="AA44" s="86">
        <f t="shared" si="6"/>
        <v>538</v>
      </c>
      <c r="AB44" s="86">
        <f t="shared" si="6"/>
        <v>538</v>
      </c>
      <c r="AC44" s="86">
        <f t="shared" si="6"/>
        <v>538</v>
      </c>
      <c r="AD44" s="86">
        <f t="shared" si="6"/>
        <v>538</v>
      </c>
      <c r="AE44" s="86">
        <f t="shared" si="6"/>
        <v>482</v>
      </c>
      <c r="AF44" s="86">
        <f t="shared" si="6"/>
        <v>502</v>
      </c>
      <c r="AG44" s="101">
        <f t="shared" si="6"/>
        <v>538.1</v>
      </c>
      <c r="AH44" s="20">
        <f t="shared" si="2"/>
        <v>538</v>
      </c>
      <c r="AI44" s="19">
        <f t="shared" si="3"/>
        <v>462</v>
      </c>
      <c r="AK44" s="41"/>
    </row>
    <row r="45" spans="1:88" x14ac:dyDescent="0.25">
      <c r="A45" s="97" t="s">
        <v>190</v>
      </c>
      <c r="B45" s="105">
        <v>92</v>
      </c>
      <c r="C45" s="105">
        <v>92</v>
      </c>
      <c r="D45" s="105">
        <v>92</v>
      </c>
      <c r="E45" s="105">
        <v>92</v>
      </c>
      <c r="F45" s="105">
        <v>92</v>
      </c>
      <c r="G45" s="105">
        <v>92</v>
      </c>
      <c r="H45" s="105">
        <v>92</v>
      </c>
      <c r="I45" s="105">
        <v>92</v>
      </c>
      <c r="J45" s="105">
        <v>92</v>
      </c>
      <c r="K45" s="105">
        <v>92</v>
      </c>
      <c r="L45" s="105">
        <v>92</v>
      </c>
      <c r="M45" s="105">
        <v>92</v>
      </c>
      <c r="N45" s="105">
        <v>92</v>
      </c>
      <c r="O45" s="105">
        <v>92</v>
      </c>
      <c r="P45" s="105">
        <v>92</v>
      </c>
      <c r="Q45" s="105">
        <v>92</v>
      </c>
      <c r="R45" s="105">
        <v>92</v>
      </c>
      <c r="S45" s="105">
        <v>92</v>
      </c>
      <c r="T45" s="105">
        <v>92</v>
      </c>
      <c r="U45" s="105">
        <v>92</v>
      </c>
      <c r="V45" s="105">
        <v>92</v>
      </c>
      <c r="W45" s="105">
        <v>92</v>
      </c>
      <c r="X45" s="105">
        <v>92</v>
      </c>
      <c r="Y45" s="105">
        <v>92</v>
      </c>
      <c r="Z45" s="105">
        <v>92</v>
      </c>
      <c r="AA45" s="105">
        <v>92</v>
      </c>
      <c r="AB45" s="105">
        <v>92.1</v>
      </c>
      <c r="AC45" s="105">
        <v>92.2</v>
      </c>
      <c r="AD45" s="105">
        <v>92.2</v>
      </c>
      <c r="AE45" s="105">
        <v>92.1</v>
      </c>
      <c r="AF45" s="105">
        <v>92.1</v>
      </c>
      <c r="AG45" s="96">
        <v>144</v>
      </c>
      <c r="AH45" s="20">
        <f t="shared" si="2"/>
        <v>92.2</v>
      </c>
      <c r="AI45" s="19">
        <f t="shared" si="3"/>
        <v>92</v>
      </c>
      <c r="AK45" s="41"/>
    </row>
    <row r="46" spans="1:88" x14ac:dyDescent="0.25">
      <c r="A46" s="95" t="s">
        <v>189</v>
      </c>
      <c r="B46" s="80">
        <v>69.599999999999994</v>
      </c>
      <c r="C46" s="80">
        <v>69.599999999999994</v>
      </c>
      <c r="D46" s="80">
        <v>70</v>
      </c>
      <c r="E46" s="80">
        <v>60</v>
      </c>
      <c r="F46" s="80">
        <v>50</v>
      </c>
      <c r="G46" s="80">
        <v>50</v>
      </c>
      <c r="H46" s="80">
        <v>50</v>
      </c>
      <c r="I46" s="80">
        <v>50</v>
      </c>
      <c r="J46" s="80">
        <v>50</v>
      </c>
      <c r="K46" s="80">
        <v>70</v>
      </c>
      <c r="L46" s="80">
        <v>70</v>
      </c>
      <c r="M46" s="80">
        <v>70</v>
      </c>
      <c r="N46" s="80">
        <v>70</v>
      </c>
      <c r="O46" s="80">
        <v>70</v>
      </c>
      <c r="P46" s="80">
        <v>70</v>
      </c>
      <c r="Q46" s="80">
        <v>70</v>
      </c>
      <c r="R46" s="80">
        <v>70</v>
      </c>
      <c r="S46" s="80">
        <v>70</v>
      </c>
      <c r="T46" s="80">
        <v>70</v>
      </c>
      <c r="U46" s="80">
        <v>70</v>
      </c>
      <c r="V46" s="80">
        <v>70</v>
      </c>
      <c r="W46" s="80">
        <v>70</v>
      </c>
      <c r="X46" s="80">
        <v>70</v>
      </c>
      <c r="Y46" s="80">
        <v>70</v>
      </c>
      <c r="Z46" s="80">
        <v>70</v>
      </c>
      <c r="AA46" s="80">
        <v>70</v>
      </c>
      <c r="AB46" s="80">
        <v>70.900000000000006</v>
      </c>
      <c r="AC46" s="80">
        <v>71.3</v>
      </c>
      <c r="AD46" s="80">
        <v>71.3</v>
      </c>
      <c r="AE46" s="80">
        <v>71.2</v>
      </c>
      <c r="AF46" s="80">
        <v>71.2</v>
      </c>
      <c r="AG46" s="94">
        <v>70</v>
      </c>
      <c r="AH46" s="20">
        <f t="shared" si="2"/>
        <v>71.3</v>
      </c>
      <c r="AI46" s="19">
        <f t="shared" si="3"/>
        <v>50</v>
      </c>
      <c r="AK46" s="41"/>
    </row>
    <row r="47" spans="1:88" x14ac:dyDescent="0.25">
      <c r="A47" s="95" t="s">
        <v>188</v>
      </c>
      <c r="B47" s="80">
        <v>41.4</v>
      </c>
      <c r="C47" s="80">
        <v>41.4</v>
      </c>
      <c r="D47" s="80">
        <v>40.799999999999997</v>
      </c>
      <c r="E47" s="80">
        <v>40.799999999999997</v>
      </c>
      <c r="F47" s="80">
        <v>40.799999999999997</v>
      </c>
      <c r="G47" s="80">
        <v>40.799999999999997</v>
      </c>
      <c r="H47" s="80">
        <v>40.799999999999997</v>
      </c>
      <c r="I47" s="80">
        <v>40.799999999999997</v>
      </c>
      <c r="J47" s="80">
        <v>40.799999999999997</v>
      </c>
      <c r="K47" s="80">
        <v>40.799999999999997</v>
      </c>
      <c r="L47" s="80">
        <v>40.799999999999997</v>
      </c>
      <c r="M47" s="80">
        <v>40.799999999999997</v>
      </c>
      <c r="N47" s="80">
        <v>40.799999999999997</v>
      </c>
      <c r="O47" s="80">
        <v>40.799999999999997</v>
      </c>
      <c r="P47" s="80">
        <v>40.799999999999997</v>
      </c>
      <c r="Q47" s="80">
        <v>40.799999999999997</v>
      </c>
      <c r="R47" s="80">
        <v>40.799999999999997</v>
      </c>
      <c r="S47" s="80">
        <v>40.799999999999997</v>
      </c>
      <c r="T47" s="80">
        <v>40.799999999999997</v>
      </c>
      <c r="U47" s="80">
        <v>40.799999999999997</v>
      </c>
      <c r="V47" s="80">
        <v>40.799999999999997</v>
      </c>
      <c r="W47" s="80">
        <v>40.799999999999997</v>
      </c>
      <c r="X47" s="80">
        <v>40.799999999999997</v>
      </c>
      <c r="Y47" s="80">
        <v>40.799999999999997</v>
      </c>
      <c r="Z47" s="80">
        <v>40.799999999999997</v>
      </c>
      <c r="AA47" s="80">
        <v>40.799999999999997</v>
      </c>
      <c r="AB47" s="80">
        <v>41.3</v>
      </c>
      <c r="AC47" s="80">
        <v>40.9</v>
      </c>
      <c r="AD47" s="80">
        <v>40.9</v>
      </c>
      <c r="AE47" s="80">
        <v>41.5</v>
      </c>
      <c r="AF47" s="80">
        <v>41</v>
      </c>
      <c r="AG47" s="94">
        <v>69</v>
      </c>
      <c r="AH47" s="20">
        <f t="shared" si="2"/>
        <v>41.5</v>
      </c>
      <c r="AI47" s="19">
        <f t="shared" si="3"/>
        <v>40.799999999999997</v>
      </c>
      <c r="AK47" s="41"/>
    </row>
    <row r="48" spans="1:88" x14ac:dyDescent="0.25">
      <c r="A48" s="95" t="s">
        <v>187</v>
      </c>
      <c r="B48" s="113">
        <v>62.8</v>
      </c>
      <c r="C48" s="113">
        <v>50</v>
      </c>
      <c r="D48" s="113">
        <v>50</v>
      </c>
      <c r="E48" s="113">
        <v>50</v>
      </c>
      <c r="F48" s="113">
        <v>40</v>
      </c>
      <c r="G48" s="113">
        <v>40</v>
      </c>
      <c r="H48" s="113">
        <v>50</v>
      </c>
      <c r="I48" s="113">
        <v>50</v>
      </c>
      <c r="J48" s="113">
        <v>61</v>
      </c>
      <c r="K48" s="113">
        <v>61</v>
      </c>
      <c r="L48" s="113">
        <v>61</v>
      </c>
      <c r="M48" s="113">
        <v>61</v>
      </c>
      <c r="N48" s="113">
        <v>61</v>
      </c>
      <c r="O48" s="113">
        <v>61</v>
      </c>
      <c r="P48" s="113">
        <v>61</v>
      </c>
      <c r="Q48" s="113">
        <v>61</v>
      </c>
      <c r="R48" s="113">
        <v>61</v>
      </c>
      <c r="S48" s="113">
        <v>0</v>
      </c>
      <c r="T48" s="113">
        <v>41</v>
      </c>
      <c r="U48" s="113">
        <v>41</v>
      </c>
      <c r="V48" s="113">
        <v>41</v>
      </c>
      <c r="W48" s="113">
        <v>41</v>
      </c>
      <c r="X48" s="113">
        <v>41</v>
      </c>
      <c r="Y48" s="113">
        <v>41</v>
      </c>
      <c r="Z48" s="113">
        <v>41</v>
      </c>
      <c r="AA48" s="113">
        <v>41</v>
      </c>
      <c r="AB48" s="113">
        <v>60.9</v>
      </c>
      <c r="AC48" s="113">
        <v>60.9</v>
      </c>
      <c r="AD48" s="113">
        <v>60.9</v>
      </c>
      <c r="AE48" s="113">
        <v>60.9</v>
      </c>
      <c r="AF48" s="113">
        <v>60.9</v>
      </c>
      <c r="AG48" s="94">
        <v>60</v>
      </c>
      <c r="AH48" s="20">
        <f t="shared" si="2"/>
        <v>62.8</v>
      </c>
      <c r="AI48" s="19">
        <f t="shared" si="3"/>
        <v>0</v>
      </c>
      <c r="AK48" s="41"/>
    </row>
    <row r="49" spans="1:41" x14ac:dyDescent="0.25">
      <c r="A49" s="95" t="s">
        <v>186</v>
      </c>
      <c r="B49" s="113">
        <v>0</v>
      </c>
      <c r="C49" s="113">
        <v>0</v>
      </c>
      <c r="D49" s="113">
        <v>0</v>
      </c>
      <c r="E49" s="113">
        <v>0</v>
      </c>
      <c r="F49" s="113">
        <v>0</v>
      </c>
      <c r="G49" s="113">
        <v>0</v>
      </c>
      <c r="H49" s="113">
        <v>0</v>
      </c>
      <c r="I49" s="113">
        <v>0</v>
      </c>
      <c r="J49" s="113">
        <v>0</v>
      </c>
      <c r="K49" s="113">
        <v>0</v>
      </c>
      <c r="L49" s="113">
        <v>0</v>
      </c>
      <c r="M49" s="113">
        <v>0</v>
      </c>
      <c r="N49" s="113">
        <v>0</v>
      </c>
      <c r="O49" s="113">
        <v>0</v>
      </c>
      <c r="P49" s="113">
        <v>0</v>
      </c>
      <c r="Q49" s="113">
        <v>0</v>
      </c>
      <c r="R49" s="113">
        <v>0</v>
      </c>
      <c r="S49" s="113">
        <v>0</v>
      </c>
      <c r="T49" s="113">
        <v>0</v>
      </c>
      <c r="U49" s="113">
        <v>0</v>
      </c>
      <c r="V49" s="113">
        <v>0</v>
      </c>
      <c r="W49" s="113">
        <v>0</v>
      </c>
      <c r="X49" s="113">
        <v>0</v>
      </c>
      <c r="Y49" s="113">
        <v>0</v>
      </c>
      <c r="Z49" s="113">
        <v>0</v>
      </c>
      <c r="AA49" s="113">
        <v>0</v>
      </c>
      <c r="AB49" s="113">
        <v>0</v>
      </c>
      <c r="AC49" s="113">
        <v>0</v>
      </c>
      <c r="AD49" s="113">
        <v>0</v>
      </c>
      <c r="AE49" s="113">
        <v>0</v>
      </c>
      <c r="AF49" s="113">
        <v>0</v>
      </c>
      <c r="AG49" s="94">
        <v>30</v>
      </c>
      <c r="AH49" s="20">
        <f t="shared" si="2"/>
        <v>0</v>
      </c>
      <c r="AI49" s="19">
        <f t="shared" si="3"/>
        <v>0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0</v>
      </c>
      <c r="N50" s="80">
        <v>11.4</v>
      </c>
      <c r="O50" s="80">
        <v>11.4</v>
      </c>
      <c r="P50" s="80">
        <v>11.4</v>
      </c>
      <c r="Q50" s="80">
        <v>11.4</v>
      </c>
      <c r="R50" s="80">
        <v>11.4</v>
      </c>
      <c r="S50" s="80">
        <v>11.4</v>
      </c>
      <c r="T50" s="80">
        <v>11.4</v>
      </c>
      <c r="U50" s="80">
        <v>11.4</v>
      </c>
      <c r="V50" s="80">
        <v>11.4</v>
      </c>
      <c r="W50" s="80">
        <v>11.4</v>
      </c>
      <c r="X50" s="80">
        <v>0</v>
      </c>
      <c r="Y50" s="80">
        <v>0</v>
      </c>
      <c r="Z50" s="80">
        <v>0</v>
      </c>
      <c r="AA50" s="80">
        <v>0</v>
      </c>
      <c r="AB50" s="80">
        <v>0</v>
      </c>
      <c r="AC50" s="80">
        <v>0</v>
      </c>
      <c r="AD50" s="80">
        <v>0</v>
      </c>
      <c r="AE50" s="80">
        <v>0</v>
      </c>
      <c r="AF50" s="80">
        <v>0</v>
      </c>
      <c r="AG50" s="94">
        <v>25</v>
      </c>
      <c r="AH50" s="20">
        <f t="shared" si="2"/>
        <v>11.4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0</v>
      </c>
      <c r="C51" s="80">
        <v>0</v>
      </c>
      <c r="D51" s="80">
        <v>0</v>
      </c>
      <c r="E51" s="80">
        <v>0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>
        <v>0</v>
      </c>
      <c r="L51" s="80">
        <v>0</v>
      </c>
      <c r="M51" s="80">
        <v>0</v>
      </c>
      <c r="N51" s="80">
        <v>0</v>
      </c>
      <c r="O51" s="80">
        <v>0</v>
      </c>
      <c r="P51" s="80">
        <v>0</v>
      </c>
      <c r="Q51" s="80">
        <v>0</v>
      </c>
      <c r="R51" s="80">
        <v>0</v>
      </c>
      <c r="S51" s="80">
        <v>0</v>
      </c>
      <c r="T51" s="80">
        <v>0</v>
      </c>
      <c r="U51" s="80">
        <v>0</v>
      </c>
      <c r="V51" s="80">
        <v>0</v>
      </c>
      <c r="W51" s="80">
        <v>0</v>
      </c>
      <c r="X51" s="80">
        <v>0</v>
      </c>
      <c r="Y51" s="80">
        <v>0</v>
      </c>
      <c r="Z51" s="80">
        <v>0</v>
      </c>
      <c r="AA51" s="80">
        <v>0</v>
      </c>
      <c r="AB51" s="80">
        <v>0</v>
      </c>
      <c r="AC51" s="80">
        <v>0</v>
      </c>
      <c r="AD51" s="80">
        <v>0</v>
      </c>
      <c r="AE51" s="80">
        <v>0</v>
      </c>
      <c r="AF51" s="80">
        <v>0</v>
      </c>
      <c r="AG51" s="94">
        <v>24</v>
      </c>
      <c r="AH51" s="20">
        <f t="shared" si="2"/>
        <v>0</v>
      </c>
      <c r="AI51" s="19">
        <f t="shared" si="3"/>
        <v>0</v>
      </c>
      <c r="AK51" s="41"/>
    </row>
    <row r="52" spans="1:41" x14ac:dyDescent="0.25">
      <c r="A52" s="95" t="s">
        <v>183</v>
      </c>
      <c r="B52" s="80">
        <v>2.5</v>
      </c>
      <c r="C52" s="80">
        <v>2.5</v>
      </c>
      <c r="D52" s="80">
        <v>2.5</v>
      </c>
      <c r="E52" s="80">
        <v>2.5</v>
      </c>
      <c r="F52" s="80">
        <v>2.5</v>
      </c>
      <c r="G52" s="80">
        <v>2.5</v>
      </c>
      <c r="H52" s="80">
        <v>2.5</v>
      </c>
      <c r="I52" s="80">
        <v>2.5</v>
      </c>
      <c r="J52" s="80">
        <v>2.5</v>
      </c>
      <c r="K52" s="80">
        <v>2.5</v>
      </c>
      <c r="L52" s="80">
        <v>2.5</v>
      </c>
      <c r="M52" s="80">
        <v>2.5</v>
      </c>
      <c r="N52" s="80">
        <v>2.5</v>
      </c>
      <c r="O52" s="80">
        <v>2.5</v>
      </c>
      <c r="P52" s="80">
        <v>2.5</v>
      </c>
      <c r="Q52" s="80">
        <v>2.5</v>
      </c>
      <c r="R52" s="80">
        <v>2.5</v>
      </c>
      <c r="S52" s="80">
        <v>2.5</v>
      </c>
      <c r="T52" s="80">
        <v>2.5</v>
      </c>
      <c r="U52" s="80">
        <v>2.5</v>
      </c>
      <c r="V52" s="80">
        <v>2.5</v>
      </c>
      <c r="W52" s="80">
        <v>2.5</v>
      </c>
      <c r="X52" s="80">
        <v>2.5</v>
      </c>
      <c r="Y52" s="80">
        <v>2.5</v>
      </c>
      <c r="Z52" s="80">
        <v>2.5</v>
      </c>
      <c r="AA52" s="80">
        <v>2.5</v>
      </c>
      <c r="AB52" s="80">
        <v>2.5</v>
      </c>
      <c r="AC52" s="80">
        <v>2.5</v>
      </c>
      <c r="AD52" s="80">
        <v>2.5</v>
      </c>
      <c r="AE52" s="80">
        <v>2.5</v>
      </c>
      <c r="AF52" s="80">
        <v>2.5</v>
      </c>
      <c r="AG52" s="94">
        <v>15</v>
      </c>
      <c r="AH52" s="20">
        <f t="shared" si="2"/>
        <v>2.5</v>
      </c>
      <c r="AI52" s="19">
        <f t="shared" si="3"/>
        <v>2.5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0</v>
      </c>
      <c r="C53" s="80">
        <v>0</v>
      </c>
      <c r="D53" s="80">
        <v>0</v>
      </c>
      <c r="E53" s="80">
        <v>0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>
        <v>0</v>
      </c>
      <c r="L53" s="80">
        <v>0</v>
      </c>
      <c r="M53" s="80">
        <v>0</v>
      </c>
      <c r="N53" s="80">
        <v>0</v>
      </c>
      <c r="O53" s="80">
        <v>0</v>
      </c>
      <c r="P53" s="80">
        <v>0</v>
      </c>
      <c r="Q53" s="80">
        <v>0</v>
      </c>
      <c r="R53" s="80">
        <v>0</v>
      </c>
      <c r="S53" s="80">
        <v>0</v>
      </c>
      <c r="T53" s="80">
        <v>0</v>
      </c>
      <c r="U53" s="80">
        <v>0</v>
      </c>
      <c r="V53" s="80">
        <v>0</v>
      </c>
      <c r="W53" s="80">
        <v>0</v>
      </c>
      <c r="X53" s="80">
        <v>0</v>
      </c>
      <c r="Y53" s="80">
        <v>0</v>
      </c>
      <c r="Z53" s="80">
        <v>0</v>
      </c>
      <c r="AA53" s="80">
        <v>0</v>
      </c>
      <c r="AB53" s="80">
        <v>0</v>
      </c>
      <c r="AC53" s="80">
        <v>0</v>
      </c>
      <c r="AD53" s="80">
        <v>0</v>
      </c>
      <c r="AE53" s="80">
        <v>0</v>
      </c>
      <c r="AF53" s="80">
        <v>0</v>
      </c>
      <c r="AG53" s="94">
        <v>14.1</v>
      </c>
      <c r="AH53" s="20">
        <f t="shared" si="2"/>
        <v>0</v>
      </c>
      <c r="AI53" s="19">
        <f t="shared" si="3"/>
        <v>0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14</v>
      </c>
      <c r="C54" s="80">
        <v>14</v>
      </c>
      <c r="D54" s="80">
        <v>14</v>
      </c>
      <c r="E54" s="80">
        <v>14</v>
      </c>
      <c r="F54" s="80">
        <v>14</v>
      </c>
      <c r="G54" s="80">
        <v>14</v>
      </c>
      <c r="H54" s="80">
        <v>14</v>
      </c>
      <c r="I54" s="80">
        <v>14</v>
      </c>
      <c r="J54" s="80">
        <v>14</v>
      </c>
      <c r="K54" s="80">
        <v>14</v>
      </c>
      <c r="L54" s="80">
        <v>14</v>
      </c>
      <c r="M54" s="80">
        <v>14</v>
      </c>
      <c r="N54" s="80">
        <v>14</v>
      </c>
      <c r="O54" s="80">
        <v>14.2</v>
      </c>
      <c r="P54" s="80">
        <v>14.2</v>
      </c>
      <c r="Q54" s="80">
        <v>14.2</v>
      </c>
      <c r="R54" s="80">
        <v>14.2</v>
      </c>
      <c r="S54" s="80">
        <v>14.2</v>
      </c>
      <c r="T54" s="80">
        <v>14.2</v>
      </c>
      <c r="U54" s="80">
        <v>14.2</v>
      </c>
      <c r="V54" s="80">
        <v>14.2</v>
      </c>
      <c r="W54" s="80">
        <v>14.2</v>
      </c>
      <c r="X54" s="80">
        <v>14.2</v>
      </c>
      <c r="Y54" s="80">
        <v>14.2</v>
      </c>
      <c r="Z54" s="80">
        <v>14.2</v>
      </c>
      <c r="AA54" s="80">
        <v>14.2</v>
      </c>
      <c r="AB54" s="80">
        <v>14.2</v>
      </c>
      <c r="AC54" s="80">
        <v>14.2</v>
      </c>
      <c r="AD54" s="80">
        <v>14.2</v>
      </c>
      <c r="AE54" s="80">
        <v>14.5</v>
      </c>
      <c r="AF54" s="80">
        <v>0</v>
      </c>
      <c r="AG54" s="94">
        <v>14</v>
      </c>
      <c r="AH54" s="20">
        <f t="shared" si="2"/>
        <v>14.5</v>
      </c>
      <c r="AI54" s="19">
        <f t="shared" si="3"/>
        <v>0</v>
      </c>
      <c r="AK54" s="41"/>
    </row>
    <row r="55" spans="1:41" x14ac:dyDescent="0.25">
      <c r="A55" s="95" t="s">
        <v>180</v>
      </c>
      <c r="B55" s="80">
        <v>6.7</v>
      </c>
      <c r="C55" s="80">
        <v>6.7</v>
      </c>
      <c r="D55" s="80">
        <v>6.7</v>
      </c>
      <c r="E55" s="80">
        <v>6.7</v>
      </c>
      <c r="F55" s="80">
        <v>6.7</v>
      </c>
      <c r="G55" s="80">
        <v>6.7</v>
      </c>
      <c r="H55" s="80">
        <v>6.7</v>
      </c>
      <c r="I55" s="80">
        <v>6.7</v>
      </c>
      <c r="J55" s="80">
        <v>6.7</v>
      </c>
      <c r="K55" s="80">
        <v>6.7</v>
      </c>
      <c r="L55" s="80">
        <v>6.7</v>
      </c>
      <c r="M55" s="80">
        <v>6.7</v>
      </c>
      <c r="N55" s="80">
        <v>6.7</v>
      </c>
      <c r="O55" s="80">
        <v>6.7</v>
      </c>
      <c r="P55" s="80">
        <v>6.7</v>
      </c>
      <c r="Q55" s="80">
        <v>6.7</v>
      </c>
      <c r="R55" s="80">
        <v>6.7</v>
      </c>
      <c r="S55" s="80">
        <v>6.7</v>
      </c>
      <c r="T55" s="80">
        <v>6.7</v>
      </c>
      <c r="U55" s="80">
        <v>0</v>
      </c>
      <c r="V55" s="80">
        <v>0</v>
      </c>
      <c r="W55" s="80">
        <v>0</v>
      </c>
      <c r="X55" s="80">
        <v>3</v>
      </c>
      <c r="Y55" s="80">
        <v>3</v>
      </c>
      <c r="Z55" s="80">
        <v>3</v>
      </c>
      <c r="AA55" s="80">
        <v>3</v>
      </c>
      <c r="AB55" s="80">
        <v>6.7</v>
      </c>
      <c r="AC55" s="80">
        <v>6.7</v>
      </c>
      <c r="AD55" s="80">
        <v>6.7</v>
      </c>
      <c r="AE55" s="80">
        <v>6.7</v>
      </c>
      <c r="AF55" s="80">
        <v>6.7</v>
      </c>
      <c r="AG55" s="94">
        <v>10.050000000000001</v>
      </c>
      <c r="AH55" s="20">
        <f t="shared" si="2"/>
        <v>6.7</v>
      </c>
      <c r="AI55" s="19">
        <f t="shared" si="3"/>
        <v>0</v>
      </c>
      <c r="AK55" s="41"/>
    </row>
    <row r="56" spans="1:41" x14ac:dyDescent="0.25">
      <c r="A56" s="95" t="s">
        <v>179</v>
      </c>
      <c r="B56" s="80">
        <v>6.2</v>
      </c>
      <c r="C56" s="80">
        <v>3.1</v>
      </c>
      <c r="D56" s="80">
        <v>3.1</v>
      </c>
      <c r="E56" s="80">
        <v>3.1</v>
      </c>
      <c r="F56" s="80">
        <v>3.1</v>
      </c>
      <c r="G56" s="80">
        <v>3.1</v>
      </c>
      <c r="H56" s="80">
        <v>3.1</v>
      </c>
      <c r="I56" s="80">
        <v>3.1</v>
      </c>
      <c r="J56" s="80">
        <v>3.1</v>
      </c>
      <c r="K56" s="80">
        <v>3.1</v>
      </c>
      <c r="L56" s="80">
        <v>3.1</v>
      </c>
      <c r="M56" s="80">
        <v>3.1</v>
      </c>
      <c r="N56" s="80">
        <v>3.1</v>
      </c>
      <c r="O56" s="80">
        <v>3.1</v>
      </c>
      <c r="P56" s="80">
        <v>3.1</v>
      </c>
      <c r="Q56" s="80">
        <v>3.1</v>
      </c>
      <c r="R56" s="80">
        <v>3.1</v>
      </c>
      <c r="S56" s="80">
        <v>3.1</v>
      </c>
      <c r="T56" s="80">
        <v>3.1</v>
      </c>
      <c r="U56" s="80">
        <v>3.1</v>
      </c>
      <c r="V56" s="80">
        <v>3.1</v>
      </c>
      <c r="W56" s="80">
        <v>3.1</v>
      </c>
      <c r="X56" s="80">
        <v>3.1</v>
      </c>
      <c r="Y56" s="80">
        <v>3.1</v>
      </c>
      <c r="Z56" s="80">
        <v>3.1</v>
      </c>
      <c r="AA56" s="80">
        <v>3.1</v>
      </c>
      <c r="AB56" s="80">
        <v>3.1</v>
      </c>
      <c r="AC56" s="80">
        <v>3.1</v>
      </c>
      <c r="AD56" s="80">
        <v>3.1</v>
      </c>
      <c r="AE56" s="80">
        <v>3.1</v>
      </c>
      <c r="AF56" s="80">
        <v>3.1</v>
      </c>
      <c r="AG56" s="94">
        <v>6.2</v>
      </c>
      <c r="AH56" s="20">
        <f t="shared" si="2"/>
        <v>6.2</v>
      </c>
      <c r="AI56" s="19">
        <f t="shared" si="3"/>
        <v>3.1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7">SUM(B45:B57)</f>
        <v>298.74</v>
      </c>
      <c r="C58" s="86">
        <f t="shared" si="7"/>
        <v>282.84000000000003</v>
      </c>
      <c r="D58" s="86">
        <f t="shared" si="7"/>
        <v>282.64000000000004</v>
      </c>
      <c r="E58" s="86">
        <f t="shared" si="7"/>
        <v>272.64000000000004</v>
      </c>
      <c r="F58" s="86">
        <f t="shared" si="7"/>
        <v>252.64</v>
      </c>
      <c r="G58" s="86">
        <f t="shared" si="7"/>
        <v>252.64</v>
      </c>
      <c r="H58" s="86">
        <f t="shared" si="7"/>
        <v>262.64000000000004</v>
      </c>
      <c r="I58" s="86">
        <f t="shared" si="7"/>
        <v>262.64000000000004</v>
      </c>
      <c r="J58" s="86">
        <f t="shared" si="7"/>
        <v>273.64000000000004</v>
      </c>
      <c r="K58" s="86">
        <f t="shared" si="7"/>
        <v>293.64000000000004</v>
      </c>
      <c r="L58" s="86">
        <f t="shared" si="7"/>
        <v>293.64000000000004</v>
      </c>
      <c r="M58" s="86">
        <f t="shared" si="7"/>
        <v>293.64000000000004</v>
      </c>
      <c r="N58" s="86">
        <f t="shared" si="7"/>
        <v>305.04000000000002</v>
      </c>
      <c r="O58" s="86">
        <f t="shared" si="7"/>
        <v>305.24</v>
      </c>
      <c r="P58" s="86">
        <f t="shared" si="7"/>
        <v>305.24</v>
      </c>
      <c r="Q58" s="86">
        <f t="shared" si="7"/>
        <v>305.24</v>
      </c>
      <c r="R58" s="86">
        <f t="shared" si="7"/>
        <v>305.24</v>
      </c>
      <c r="S58" s="86">
        <f t="shared" si="7"/>
        <v>244.23999999999998</v>
      </c>
      <c r="T58" s="86">
        <f t="shared" si="7"/>
        <v>285.24000000000007</v>
      </c>
      <c r="U58" s="86">
        <f t="shared" si="7"/>
        <v>278.54000000000008</v>
      </c>
      <c r="V58" s="86">
        <f t="shared" si="7"/>
        <v>278.54000000000008</v>
      </c>
      <c r="W58" s="86">
        <f t="shared" si="7"/>
        <v>278.54000000000008</v>
      </c>
      <c r="X58" s="86">
        <f t="shared" si="7"/>
        <v>270.14000000000004</v>
      </c>
      <c r="Y58" s="86">
        <f t="shared" si="7"/>
        <v>270.14000000000004</v>
      </c>
      <c r="Z58" s="86">
        <f t="shared" si="7"/>
        <v>270.14000000000004</v>
      </c>
      <c r="AA58" s="86">
        <f t="shared" si="7"/>
        <v>270.14000000000004</v>
      </c>
      <c r="AB58" s="86">
        <f t="shared" si="7"/>
        <v>295.24</v>
      </c>
      <c r="AC58" s="86">
        <f t="shared" si="7"/>
        <v>295.34000000000003</v>
      </c>
      <c r="AD58" s="86">
        <f t="shared" si="7"/>
        <v>295.34000000000003</v>
      </c>
      <c r="AE58" s="86">
        <f t="shared" si="7"/>
        <v>296.04000000000002</v>
      </c>
      <c r="AF58" s="86">
        <f t="shared" si="7"/>
        <v>281.04000000000002</v>
      </c>
      <c r="AG58" s="101">
        <f t="shared" si="7"/>
        <v>489.91</v>
      </c>
      <c r="AH58" s="20">
        <f t="shared" si="2"/>
        <v>305.24</v>
      </c>
      <c r="AI58" s="19">
        <f t="shared" si="3"/>
        <v>244.23999999999998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>
        <v>0</v>
      </c>
      <c r="S59" s="105">
        <v>0</v>
      </c>
      <c r="T59" s="105">
        <v>0</v>
      </c>
      <c r="U59" s="105">
        <v>0</v>
      </c>
      <c r="V59" s="105">
        <v>0</v>
      </c>
      <c r="W59" s="105">
        <v>0</v>
      </c>
      <c r="X59" s="105">
        <v>0</v>
      </c>
      <c r="Y59" s="105"/>
      <c r="Z59" s="105"/>
      <c r="AA59" s="105"/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>
        <v>0</v>
      </c>
      <c r="X60" s="80">
        <v>0</v>
      </c>
      <c r="Y60" s="80"/>
      <c r="Z60" s="80"/>
      <c r="AA60" s="80"/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>
        <v>0</v>
      </c>
      <c r="T61" s="107">
        <v>0</v>
      </c>
      <c r="U61" s="107">
        <v>0</v>
      </c>
      <c r="V61" s="107">
        <v>0</v>
      </c>
      <c r="W61" s="107">
        <v>0</v>
      </c>
      <c r="X61" s="107">
        <v>0</v>
      </c>
      <c r="Y61" s="107"/>
      <c r="Z61" s="107"/>
      <c r="AA61" s="107"/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8">SUM(B59:B61)</f>
        <v>0</v>
      </c>
      <c r="C62" s="86">
        <f t="shared" si="8"/>
        <v>0</v>
      </c>
      <c r="D62" s="86">
        <f t="shared" si="8"/>
        <v>0</v>
      </c>
      <c r="E62" s="86">
        <f t="shared" si="8"/>
        <v>0</v>
      </c>
      <c r="F62" s="86">
        <f t="shared" si="8"/>
        <v>0</v>
      </c>
      <c r="G62" s="86">
        <f t="shared" si="8"/>
        <v>0</v>
      </c>
      <c r="H62" s="86">
        <f t="shared" si="8"/>
        <v>0</v>
      </c>
      <c r="I62" s="86">
        <f t="shared" si="8"/>
        <v>0</v>
      </c>
      <c r="J62" s="86">
        <f t="shared" si="8"/>
        <v>0</v>
      </c>
      <c r="K62" s="86">
        <f t="shared" si="8"/>
        <v>0</v>
      </c>
      <c r="L62" s="86">
        <f t="shared" si="8"/>
        <v>0</v>
      </c>
      <c r="M62" s="86">
        <f t="shared" si="8"/>
        <v>0</v>
      </c>
      <c r="N62" s="86">
        <f t="shared" si="8"/>
        <v>0</v>
      </c>
      <c r="O62" s="86">
        <f t="shared" si="8"/>
        <v>0</v>
      </c>
      <c r="P62" s="86">
        <f t="shared" si="8"/>
        <v>0</v>
      </c>
      <c r="Q62" s="86">
        <f t="shared" si="8"/>
        <v>0</v>
      </c>
      <c r="R62" s="86">
        <f t="shared" si="8"/>
        <v>0</v>
      </c>
      <c r="S62" s="86">
        <f t="shared" si="8"/>
        <v>0</v>
      </c>
      <c r="T62" s="86">
        <f t="shared" si="8"/>
        <v>0</v>
      </c>
      <c r="U62" s="86">
        <f t="shared" si="8"/>
        <v>0</v>
      </c>
      <c r="V62" s="86">
        <f t="shared" si="8"/>
        <v>0</v>
      </c>
      <c r="W62" s="86">
        <f t="shared" si="8"/>
        <v>0</v>
      </c>
      <c r="X62" s="86">
        <f t="shared" si="8"/>
        <v>0</v>
      </c>
      <c r="Y62" s="86">
        <f t="shared" si="8"/>
        <v>0</v>
      </c>
      <c r="Z62" s="86">
        <f t="shared" si="8"/>
        <v>0</v>
      </c>
      <c r="AA62" s="86">
        <f t="shared" si="8"/>
        <v>0</v>
      </c>
      <c r="AB62" s="86">
        <f t="shared" si="8"/>
        <v>0</v>
      </c>
      <c r="AC62" s="86">
        <f t="shared" si="8"/>
        <v>0</v>
      </c>
      <c r="AD62" s="86">
        <f t="shared" si="8"/>
        <v>0</v>
      </c>
      <c r="AE62" s="86">
        <f t="shared" si="8"/>
        <v>0</v>
      </c>
      <c r="AF62" s="86">
        <f t="shared" si="8"/>
        <v>0</v>
      </c>
      <c r="AG62" s="101">
        <f t="shared" si="8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>
        <v>0</v>
      </c>
      <c r="S63" s="105">
        <v>0</v>
      </c>
      <c r="T63" s="105">
        <v>0</v>
      </c>
      <c r="U63" s="105">
        <v>0</v>
      </c>
      <c r="V63" s="105">
        <v>0</v>
      </c>
      <c r="W63" s="105">
        <v>10.3</v>
      </c>
      <c r="X63" s="105">
        <v>54.8</v>
      </c>
      <c r="Y63" s="105">
        <v>64.2</v>
      </c>
      <c r="Z63" s="105">
        <v>49.1</v>
      </c>
      <c r="AA63" s="105">
        <v>17.100000000000001</v>
      </c>
      <c r="AB63" s="105">
        <v>0</v>
      </c>
      <c r="AC63" s="105">
        <v>0</v>
      </c>
      <c r="AD63" s="105">
        <v>0</v>
      </c>
      <c r="AE63" s="105">
        <v>0</v>
      </c>
      <c r="AF63" s="105">
        <v>0</v>
      </c>
      <c r="AG63" s="96"/>
      <c r="AH63" s="20">
        <f t="shared" si="2"/>
        <v>64.2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-411</v>
      </c>
      <c r="C65" s="80">
        <v>-419</v>
      </c>
      <c r="D65" s="80">
        <v>-424</v>
      </c>
      <c r="E65" s="80">
        <v>-412</v>
      </c>
      <c r="F65" s="80">
        <v>-410</v>
      </c>
      <c r="G65" s="80">
        <v>-420</v>
      </c>
      <c r="H65" s="80">
        <v>-398</v>
      </c>
      <c r="I65" s="80">
        <v>-420</v>
      </c>
      <c r="J65" s="80">
        <v>-388</v>
      </c>
      <c r="K65" s="80">
        <v>-420</v>
      </c>
      <c r="L65" s="80">
        <v>-381</v>
      </c>
      <c r="M65" s="80">
        <v>-432.4</v>
      </c>
      <c r="N65" s="80">
        <v>-414.8</v>
      </c>
      <c r="O65" s="80">
        <v>-419</v>
      </c>
      <c r="P65" s="80">
        <v>-425</v>
      </c>
      <c r="Q65" s="80">
        <v>-420</v>
      </c>
      <c r="R65" s="80">
        <v>-420</v>
      </c>
      <c r="S65" s="80">
        <v>-456</v>
      </c>
      <c r="T65" s="80">
        <v>-393</v>
      </c>
      <c r="U65" s="80">
        <v>-403</v>
      </c>
      <c r="V65" s="80">
        <v>-423</v>
      </c>
      <c r="W65" s="80">
        <v>-390</v>
      </c>
      <c r="X65" s="80">
        <v>-322</v>
      </c>
      <c r="Y65" s="80">
        <v>-308</v>
      </c>
      <c r="Z65" s="80">
        <v>-351</v>
      </c>
      <c r="AA65" s="80">
        <v>-393</v>
      </c>
      <c r="AB65" s="80">
        <v>-395</v>
      </c>
      <c r="AC65" s="80">
        <v>-392</v>
      </c>
      <c r="AD65" s="80">
        <v>-410</v>
      </c>
      <c r="AE65" s="80">
        <v>-404</v>
      </c>
      <c r="AF65" s="80">
        <v>-365</v>
      </c>
      <c r="AG65" s="102"/>
      <c r="AH65" s="20">
        <f t="shared" si="2"/>
        <v>-308</v>
      </c>
      <c r="AI65" s="19">
        <f t="shared" si="3"/>
        <v>-456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9">SUMIF(B63:B73,"&gt;0")</f>
        <v>0</v>
      </c>
      <c r="C74" s="86">
        <f t="shared" si="9"/>
        <v>0</v>
      </c>
      <c r="D74" s="86">
        <f t="shared" si="9"/>
        <v>0</v>
      </c>
      <c r="E74" s="86">
        <f t="shared" si="9"/>
        <v>0</v>
      </c>
      <c r="F74" s="86">
        <f t="shared" si="9"/>
        <v>0</v>
      </c>
      <c r="G74" s="86">
        <f t="shared" si="9"/>
        <v>0</v>
      </c>
      <c r="H74" s="86">
        <f t="shared" si="9"/>
        <v>0</v>
      </c>
      <c r="I74" s="86">
        <f t="shared" si="9"/>
        <v>0</v>
      </c>
      <c r="J74" s="86">
        <f t="shared" si="9"/>
        <v>0</v>
      </c>
      <c r="K74" s="86">
        <f t="shared" si="9"/>
        <v>0</v>
      </c>
      <c r="L74" s="86">
        <f t="shared" si="9"/>
        <v>0</v>
      </c>
      <c r="M74" s="86">
        <f t="shared" si="9"/>
        <v>0</v>
      </c>
      <c r="N74" s="86">
        <f t="shared" si="9"/>
        <v>0</v>
      </c>
      <c r="O74" s="86">
        <f t="shared" si="9"/>
        <v>0</v>
      </c>
      <c r="P74" s="86">
        <f t="shared" si="9"/>
        <v>0</v>
      </c>
      <c r="Q74" s="86">
        <f t="shared" si="9"/>
        <v>0</v>
      </c>
      <c r="R74" s="86">
        <f t="shared" si="9"/>
        <v>0</v>
      </c>
      <c r="S74" s="86">
        <f t="shared" si="9"/>
        <v>0</v>
      </c>
      <c r="T74" s="86">
        <f>SUMIF(T63:T73,"&gt;0")</f>
        <v>0</v>
      </c>
      <c r="U74" s="86">
        <f>SUMIF(U63:U73,"&gt;0")</f>
        <v>0</v>
      </c>
      <c r="V74" s="86">
        <f t="shared" si="9"/>
        <v>0</v>
      </c>
      <c r="W74" s="86">
        <f t="shared" si="9"/>
        <v>10.3</v>
      </c>
      <c r="X74" s="86">
        <f t="shared" si="9"/>
        <v>54.8</v>
      </c>
      <c r="Y74" s="86">
        <f t="shared" si="9"/>
        <v>64.2</v>
      </c>
      <c r="Z74" s="86">
        <f t="shared" si="9"/>
        <v>49.1</v>
      </c>
      <c r="AA74" s="86">
        <f t="shared" si="9"/>
        <v>17.100000000000001</v>
      </c>
      <c r="AB74" s="86">
        <f t="shared" si="9"/>
        <v>0</v>
      </c>
      <c r="AC74" s="86">
        <f t="shared" si="9"/>
        <v>0</v>
      </c>
      <c r="AD74" s="86">
        <f t="shared" si="9"/>
        <v>0</v>
      </c>
      <c r="AE74" s="86">
        <f t="shared" si="9"/>
        <v>0</v>
      </c>
      <c r="AF74" s="86">
        <f t="shared" si="9"/>
        <v>0</v>
      </c>
      <c r="AG74" s="85">
        <f>SUM(AG63:AG73)</f>
        <v>0</v>
      </c>
      <c r="AH74" s="20">
        <f t="shared" si="2"/>
        <v>64.2</v>
      </c>
      <c r="AI74" s="19">
        <f t="shared" si="3"/>
        <v>0</v>
      </c>
      <c r="AK74" s="41"/>
    </row>
    <row r="75" spans="1:37" x14ac:dyDescent="0.25">
      <c r="A75" s="97" t="s">
        <v>164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>
        <v>0</v>
      </c>
      <c r="N76" s="103">
        <v>0</v>
      </c>
      <c r="O76" s="103">
        <v>0</v>
      </c>
      <c r="P76" s="103">
        <v>0</v>
      </c>
      <c r="Q76" s="103">
        <v>0</v>
      </c>
      <c r="R76" s="103">
        <v>0</v>
      </c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2">
        <v>14.4</v>
      </c>
      <c r="AH76" s="20">
        <f t="shared" ref="AH76:AH109" si="10">MAX(B76:AF76)</f>
        <v>0</v>
      </c>
      <c r="AI76" s="19">
        <f t="shared" ref="AI76:AI109" si="11">MIN(B76:AF76)</f>
        <v>0</v>
      </c>
      <c r="AK76" s="41"/>
    </row>
    <row r="77" spans="1:37" ht="15.75" thickBot="1" x14ac:dyDescent="0.3">
      <c r="A77" s="91" t="s">
        <v>162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89">
        <v>2</v>
      </c>
      <c r="AH77" s="20">
        <f t="shared" si="10"/>
        <v>0</v>
      </c>
      <c r="AI77" s="19">
        <f t="shared" si="11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10"/>
        <v>0</v>
      </c>
      <c r="AI78" s="19">
        <f t="shared" si="11"/>
        <v>0</v>
      </c>
    </row>
    <row r="79" spans="1:37" ht="15.75" thickBot="1" x14ac:dyDescent="0.3">
      <c r="A79" s="87" t="s">
        <v>160</v>
      </c>
      <c r="B79" s="98">
        <f t="shared" ref="B79:AG79" si="12">B40+B44+B62+B58+B74+B78</f>
        <v>1541.94</v>
      </c>
      <c r="C79" s="98">
        <f t="shared" si="12"/>
        <v>1526.94</v>
      </c>
      <c r="D79" s="98">
        <f t="shared" si="12"/>
        <v>1527.24</v>
      </c>
      <c r="E79" s="98">
        <f t="shared" si="12"/>
        <v>1517.24</v>
      </c>
      <c r="F79" s="98">
        <f t="shared" si="12"/>
        <v>1411.2399999999998</v>
      </c>
      <c r="G79" s="98">
        <f t="shared" si="12"/>
        <v>1487.2399999999998</v>
      </c>
      <c r="H79" s="98">
        <f t="shared" si="12"/>
        <v>1497.24</v>
      </c>
      <c r="I79" s="98">
        <f t="shared" si="12"/>
        <v>1497.24</v>
      </c>
      <c r="J79" s="98">
        <f t="shared" si="12"/>
        <v>1462.24</v>
      </c>
      <c r="K79" s="98">
        <f t="shared" si="12"/>
        <v>1527.24</v>
      </c>
      <c r="L79" s="98">
        <f t="shared" si="12"/>
        <v>1550.24</v>
      </c>
      <c r="M79" s="98">
        <f t="shared" si="12"/>
        <v>1557.64</v>
      </c>
      <c r="N79" s="98">
        <f t="shared" si="12"/>
        <v>1540.54</v>
      </c>
      <c r="O79" s="98">
        <f t="shared" si="12"/>
        <v>1532.74</v>
      </c>
      <c r="P79" s="98">
        <f t="shared" si="12"/>
        <v>1530.14</v>
      </c>
      <c r="Q79" s="98">
        <f t="shared" si="12"/>
        <v>1516.0400000000002</v>
      </c>
      <c r="R79" s="98">
        <f t="shared" si="12"/>
        <v>1506.0400000000002</v>
      </c>
      <c r="S79" s="98">
        <f t="shared" si="12"/>
        <v>1533.14</v>
      </c>
      <c r="T79" s="98">
        <f t="shared" si="12"/>
        <v>1485.14</v>
      </c>
      <c r="U79" s="98">
        <f t="shared" si="12"/>
        <v>1534.44</v>
      </c>
      <c r="V79" s="98">
        <f t="shared" si="12"/>
        <v>1534.44</v>
      </c>
      <c r="W79" s="98">
        <f t="shared" si="12"/>
        <v>1563.84</v>
      </c>
      <c r="X79" s="98">
        <f t="shared" si="12"/>
        <v>1705.44</v>
      </c>
      <c r="Y79" s="98">
        <f t="shared" si="12"/>
        <v>1714.8400000000001</v>
      </c>
      <c r="Z79" s="98">
        <f t="shared" si="12"/>
        <v>1699.74</v>
      </c>
      <c r="AA79" s="98">
        <f t="shared" si="12"/>
        <v>1667.74</v>
      </c>
      <c r="AB79" s="98">
        <f t="shared" si="12"/>
        <v>1693.74</v>
      </c>
      <c r="AC79" s="98">
        <f t="shared" si="12"/>
        <v>1643.44</v>
      </c>
      <c r="AD79" s="98">
        <f t="shared" si="12"/>
        <v>1618.2400000000002</v>
      </c>
      <c r="AE79" s="98">
        <f t="shared" si="12"/>
        <v>1489.1399999999999</v>
      </c>
      <c r="AF79" s="98">
        <f t="shared" si="12"/>
        <v>1396.84</v>
      </c>
      <c r="AG79" s="101">
        <f t="shared" si="12"/>
        <v>1897.1900000000003</v>
      </c>
      <c r="AH79" s="20">
        <f t="shared" si="10"/>
        <v>1714.8400000000001</v>
      </c>
      <c r="AI79" s="19">
        <f t="shared" si="11"/>
        <v>1396.84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10"/>
        <v>0</v>
      </c>
      <c r="AI80" s="19">
        <f t="shared" si="11"/>
        <v>0</v>
      </c>
    </row>
    <row r="81" spans="1:37" ht="15.75" thickBot="1" x14ac:dyDescent="0.3">
      <c r="A81" s="87" t="s">
        <v>158</v>
      </c>
      <c r="B81" s="98">
        <f t="shared" ref="B81:AF81" si="13">B79+B80</f>
        <v>1541.94</v>
      </c>
      <c r="C81" s="98">
        <f t="shared" si="13"/>
        <v>1526.94</v>
      </c>
      <c r="D81" s="98">
        <f t="shared" si="13"/>
        <v>1527.24</v>
      </c>
      <c r="E81" s="98">
        <f t="shared" si="13"/>
        <v>1517.24</v>
      </c>
      <c r="F81" s="98">
        <f t="shared" si="13"/>
        <v>1411.2399999999998</v>
      </c>
      <c r="G81" s="98">
        <f t="shared" si="13"/>
        <v>1487.2399999999998</v>
      </c>
      <c r="H81" s="98">
        <f t="shared" si="13"/>
        <v>1497.24</v>
      </c>
      <c r="I81" s="98">
        <f t="shared" si="13"/>
        <v>1497.24</v>
      </c>
      <c r="J81" s="98">
        <f t="shared" si="13"/>
        <v>1462.24</v>
      </c>
      <c r="K81" s="98">
        <f t="shared" si="13"/>
        <v>1527.24</v>
      </c>
      <c r="L81" s="98">
        <f t="shared" si="13"/>
        <v>1550.24</v>
      </c>
      <c r="M81" s="98">
        <f t="shared" si="13"/>
        <v>1557.64</v>
      </c>
      <c r="N81" s="98">
        <f t="shared" si="13"/>
        <v>1540.54</v>
      </c>
      <c r="O81" s="98">
        <f t="shared" si="13"/>
        <v>1532.74</v>
      </c>
      <c r="P81" s="98">
        <f t="shared" si="13"/>
        <v>1530.14</v>
      </c>
      <c r="Q81" s="98">
        <f t="shared" si="13"/>
        <v>1516.0400000000002</v>
      </c>
      <c r="R81" s="98">
        <f t="shared" si="13"/>
        <v>1506.0400000000002</v>
      </c>
      <c r="S81" s="98">
        <f t="shared" si="13"/>
        <v>1533.14</v>
      </c>
      <c r="T81" s="98">
        <f t="shared" si="13"/>
        <v>1485.14</v>
      </c>
      <c r="U81" s="98">
        <f t="shared" si="13"/>
        <v>1534.44</v>
      </c>
      <c r="V81" s="98">
        <f t="shared" si="13"/>
        <v>1534.44</v>
      </c>
      <c r="W81" s="98">
        <f t="shared" si="13"/>
        <v>1563.84</v>
      </c>
      <c r="X81" s="98">
        <f t="shared" si="13"/>
        <v>1705.44</v>
      </c>
      <c r="Y81" s="98">
        <f t="shared" si="13"/>
        <v>1714.8400000000001</v>
      </c>
      <c r="Z81" s="98">
        <f t="shared" si="13"/>
        <v>1699.74</v>
      </c>
      <c r="AA81" s="98">
        <f t="shared" si="13"/>
        <v>1667.74</v>
      </c>
      <c r="AB81" s="98">
        <f t="shared" si="13"/>
        <v>1693.74</v>
      </c>
      <c r="AC81" s="98">
        <f t="shared" si="13"/>
        <v>1643.44</v>
      </c>
      <c r="AD81" s="98">
        <f t="shared" si="13"/>
        <v>1618.2400000000002</v>
      </c>
      <c r="AE81" s="98">
        <f t="shared" si="13"/>
        <v>1489.1399999999999</v>
      </c>
      <c r="AF81" s="98">
        <f t="shared" si="13"/>
        <v>1396.84</v>
      </c>
      <c r="AG81" s="85">
        <f>AG78+AG74+AG62+AG58+AG40+AG80</f>
        <v>1359.0900000000001</v>
      </c>
      <c r="AH81" s="20">
        <f t="shared" si="10"/>
        <v>1714.8400000000001</v>
      </c>
      <c r="AI81" s="19">
        <f t="shared" si="11"/>
        <v>1396.84</v>
      </c>
    </row>
    <row r="82" spans="1:37" ht="15.75" thickBot="1" x14ac:dyDescent="0.3">
      <c r="A82" s="87" t="s">
        <v>157</v>
      </c>
      <c r="B82" s="98">
        <f t="shared" ref="B82:AF82" si="14">B81-B89</f>
        <v>1130.94</v>
      </c>
      <c r="C82" s="98">
        <f t="shared" si="14"/>
        <v>1107.94</v>
      </c>
      <c r="D82" s="98">
        <f t="shared" si="14"/>
        <v>1103.24</v>
      </c>
      <c r="E82" s="98">
        <f t="shared" si="14"/>
        <v>1105.24</v>
      </c>
      <c r="F82" s="98">
        <f t="shared" si="14"/>
        <v>1001.2399999999998</v>
      </c>
      <c r="G82" s="98">
        <f t="shared" si="14"/>
        <v>1067.2399999999998</v>
      </c>
      <c r="H82" s="98">
        <f t="shared" si="14"/>
        <v>1099.24</v>
      </c>
      <c r="I82" s="98">
        <f t="shared" si="14"/>
        <v>1077.24</v>
      </c>
      <c r="J82" s="98">
        <f t="shared" si="14"/>
        <v>1074.24</v>
      </c>
      <c r="K82" s="98">
        <f t="shared" si="14"/>
        <v>1107.24</v>
      </c>
      <c r="L82" s="98">
        <f t="shared" si="14"/>
        <v>1169.24</v>
      </c>
      <c r="M82" s="98">
        <f t="shared" si="14"/>
        <v>1125.2400000000002</v>
      </c>
      <c r="N82" s="98">
        <f t="shared" si="14"/>
        <v>1125.74</v>
      </c>
      <c r="O82" s="98">
        <f t="shared" si="14"/>
        <v>1113.74</v>
      </c>
      <c r="P82" s="98">
        <f t="shared" si="14"/>
        <v>1105.1400000000001</v>
      </c>
      <c r="Q82" s="98">
        <f t="shared" si="14"/>
        <v>1096.0400000000002</v>
      </c>
      <c r="R82" s="98">
        <f t="shared" si="14"/>
        <v>1086.0400000000002</v>
      </c>
      <c r="S82" s="98">
        <f t="shared" si="14"/>
        <v>1077.1400000000001</v>
      </c>
      <c r="T82" s="98">
        <f t="shared" si="14"/>
        <v>1092.1400000000001</v>
      </c>
      <c r="U82" s="98">
        <f t="shared" si="14"/>
        <v>1131.44</v>
      </c>
      <c r="V82" s="98">
        <f t="shared" si="14"/>
        <v>1111.44</v>
      </c>
      <c r="W82" s="98">
        <f t="shared" si="14"/>
        <v>1173.8399999999999</v>
      </c>
      <c r="X82" s="98">
        <f t="shared" si="14"/>
        <v>1383.44</v>
      </c>
      <c r="Y82" s="98">
        <f t="shared" si="14"/>
        <v>1406.8400000000001</v>
      </c>
      <c r="Z82" s="98">
        <f t="shared" si="14"/>
        <v>1348.74</v>
      </c>
      <c r="AA82" s="98">
        <f t="shared" si="14"/>
        <v>1274.74</v>
      </c>
      <c r="AB82" s="98">
        <f t="shared" si="14"/>
        <v>1298.74</v>
      </c>
      <c r="AC82" s="98">
        <f t="shared" si="14"/>
        <v>1251.44</v>
      </c>
      <c r="AD82" s="98">
        <f t="shared" si="14"/>
        <v>1208.2400000000002</v>
      </c>
      <c r="AE82" s="98">
        <f t="shared" si="14"/>
        <v>1085.1399999999999</v>
      </c>
      <c r="AF82" s="98">
        <f t="shared" si="14"/>
        <v>1031.8399999999999</v>
      </c>
      <c r="AG82" s="85"/>
      <c r="AH82" s="20">
        <f t="shared" si="10"/>
        <v>1406.8400000000001</v>
      </c>
      <c r="AI82" s="19">
        <f t="shared" si="11"/>
        <v>1001.2399999999998</v>
      </c>
    </row>
    <row r="83" spans="1:37" x14ac:dyDescent="0.25">
      <c r="A83" s="97" t="s">
        <v>156</v>
      </c>
      <c r="B83" s="93">
        <f t="shared" ref="B83:AF83" si="15">IF(B66&lt;0,B66*-1,0)</f>
        <v>0</v>
      </c>
      <c r="C83" s="93">
        <f t="shared" si="15"/>
        <v>0</v>
      </c>
      <c r="D83" s="93">
        <f t="shared" si="15"/>
        <v>0</v>
      </c>
      <c r="E83" s="93">
        <f t="shared" si="15"/>
        <v>0</v>
      </c>
      <c r="F83" s="93">
        <f t="shared" si="15"/>
        <v>0</v>
      </c>
      <c r="G83" s="93">
        <f t="shared" si="15"/>
        <v>0</v>
      </c>
      <c r="H83" s="93">
        <f t="shared" si="15"/>
        <v>0</v>
      </c>
      <c r="I83" s="93">
        <f t="shared" si="15"/>
        <v>0</v>
      </c>
      <c r="J83" s="93">
        <f t="shared" si="15"/>
        <v>0</v>
      </c>
      <c r="K83" s="93">
        <f t="shared" si="15"/>
        <v>0</v>
      </c>
      <c r="L83" s="93">
        <f t="shared" si="15"/>
        <v>0</v>
      </c>
      <c r="M83" s="93">
        <f t="shared" si="15"/>
        <v>0</v>
      </c>
      <c r="N83" s="93">
        <f t="shared" si="15"/>
        <v>0</v>
      </c>
      <c r="O83" s="93">
        <f t="shared" si="15"/>
        <v>0</v>
      </c>
      <c r="P83" s="93">
        <f t="shared" si="15"/>
        <v>0</v>
      </c>
      <c r="Q83" s="93">
        <f t="shared" si="15"/>
        <v>0</v>
      </c>
      <c r="R83" s="93">
        <f t="shared" si="15"/>
        <v>0</v>
      </c>
      <c r="S83" s="93">
        <f t="shared" si="15"/>
        <v>0</v>
      </c>
      <c r="T83" s="93">
        <f>IF(T66&lt;0,T66*-1,0)</f>
        <v>0</v>
      </c>
      <c r="U83" s="93">
        <f>IF(U66&lt;0,U66*-1,0)</f>
        <v>0</v>
      </c>
      <c r="V83" s="93">
        <f t="shared" si="15"/>
        <v>0</v>
      </c>
      <c r="W83" s="93">
        <f t="shared" si="15"/>
        <v>0</v>
      </c>
      <c r="X83" s="93">
        <f t="shared" si="15"/>
        <v>0</v>
      </c>
      <c r="Y83" s="93">
        <f t="shared" si="15"/>
        <v>0</v>
      </c>
      <c r="Z83" s="93">
        <f t="shared" si="15"/>
        <v>0</v>
      </c>
      <c r="AA83" s="93">
        <f t="shared" si="15"/>
        <v>0</v>
      </c>
      <c r="AB83" s="93">
        <f t="shared" si="15"/>
        <v>0</v>
      </c>
      <c r="AC83" s="93">
        <f t="shared" si="15"/>
        <v>0</v>
      </c>
      <c r="AD83" s="93">
        <f t="shared" si="15"/>
        <v>0</v>
      </c>
      <c r="AE83" s="93">
        <f t="shared" si="15"/>
        <v>0</v>
      </c>
      <c r="AF83" s="93">
        <f t="shared" si="15"/>
        <v>0</v>
      </c>
      <c r="AG83" s="96"/>
      <c r="AH83" s="20">
        <f t="shared" si="10"/>
        <v>0</v>
      </c>
      <c r="AI83" s="19">
        <f t="shared" si="11"/>
        <v>0</v>
      </c>
    </row>
    <row r="84" spans="1:37" x14ac:dyDescent="0.25">
      <c r="A84" s="95" t="s">
        <v>155</v>
      </c>
      <c r="B84" s="93">
        <f t="shared" ref="B84:AF84" si="16">IF(B64&lt;0,B64*-1,0)</f>
        <v>0</v>
      </c>
      <c r="C84" s="93">
        <f t="shared" si="16"/>
        <v>0</v>
      </c>
      <c r="D84" s="93">
        <f t="shared" si="16"/>
        <v>0</v>
      </c>
      <c r="E84" s="93">
        <f t="shared" si="16"/>
        <v>0</v>
      </c>
      <c r="F84" s="93">
        <f t="shared" si="16"/>
        <v>0</v>
      </c>
      <c r="G84" s="93">
        <f t="shared" si="16"/>
        <v>0</v>
      </c>
      <c r="H84" s="93">
        <f t="shared" si="16"/>
        <v>0</v>
      </c>
      <c r="I84" s="93">
        <f t="shared" si="16"/>
        <v>0</v>
      </c>
      <c r="J84" s="93">
        <f t="shared" si="16"/>
        <v>0</v>
      </c>
      <c r="K84" s="93">
        <f t="shared" si="16"/>
        <v>0</v>
      </c>
      <c r="L84" s="93">
        <f t="shared" si="16"/>
        <v>0</v>
      </c>
      <c r="M84" s="93">
        <f t="shared" si="16"/>
        <v>0</v>
      </c>
      <c r="N84" s="93">
        <f t="shared" si="16"/>
        <v>0</v>
      </c>
      <c r="O84" s="93">
        <f t="shared" si="16"/>
        <v>0</v>
      </c>
      <c r="P84" s="93">
        <f t="shared" si="16"/>
        <v>0</v>
      </c>
      <c r="Q84" s="93">
        <f t="shared" si="16"/>
        <v>0</v>
      </c>
      <c r="R84" s="93">
        <f t="shared" si="16"/>
        <v>0</v>
      </c>
      <c r="S84" s="93">
        <f t="shared" si="16"/>
        <v>0</v>
      </c>
      <c r="T84" s="93">
        <f>IF(T64&lt;0,T64*-1,0)</f>
        <v>0</v>
      </c>
      <c r="U84" s="93">
        <f>IF(U64&lt;0,U64*-1,0)</f>
        <v>0</v>
      </c>
      <c r="V84" s="93">
        <f t="shared" si="16"/>
        <v>0</v>
      </c>
      <c r="W84" s="93">
        <f t="shared" si="16"/>
        <v>0</v>
      </c>
      <c r="X84" s="93">
        <f t="shared" si="16"/>
        <v>0</v>
      </c>
      <c r="Y84" s="93">
        <f t="shared" si="16"/>
        <v>0</v>
      </c>
      <c r="Z84" s="93">
        <f t="shared" si="16"/>
        <v>0</v>
      </c>
      <c r="AA84" s="93">
        <f t="shared" si="16"/>
        <v>0</v>
      </c>
      <c r="AB84" s="93">
        <f t="shared" si="16"/>
        <v>0</v>
      </c>
      <c r="AC84" s="93">
        <f t="shared" si="16"/>
        <v>0</v>
      </c>
      <c r="AD84" s="93">
        <f t="shared" si="16"/>
        <v>0</v>
      </c>
      <c r="AE84" s="93">
        <f t="shared" si="16"/>
        <v>0</v>
      </c>
      <c r="AF84" s="93">
        <f t="shared" si="16"/>
        <v>0</v>
      </c>
      <c r="AG84" s="94"/>
      <c r="AH84" s="20">
        <f t="shared" si="10"/>
        <v>0</v>
      </c>
      <c r="AI84" s="19">
        <f t="shared" si="11"/>
        <v>0</v>
      </c>
    </row>
    <row r="85" spans="1:37" x14ac:dyDescent="0.25">
      <c r="A85" s="91" t="s">
        <v>154</v>
      </c>
      <c r="B85" s="93">
        <f t="shared" ref="B85:AF85" si="17">IF(B67&lt;0,B67*-1,0)</f>
        <v>0</v>
      </c>
      <c r="C85" s="93">
        <f t="shared" si="17"/>
        <v>0</v>
      </c>
      <c r="D85" s="93">
        <f t="shared" si="17"/>
        <v>0</v>
      </c>
      <c r="E85" s="93">
        <f t="shared" si="17"/>
        <v>0</v>
      </c>
      <c r="F85" s="93">
        <f t="shared" si="17"/>
        <v>0</v>
      </c>
      <c r="G85" s="93">
        <f t="shared" si="17"/>
        <v>0</v>
      </c>
      <c r="H85" s="93">
        <f t="shared" si="17"/>
        <v>0</v>
      </c>
      <c r="I85" s="93">
        <f t="shared" si="17"/>
        <v>0</v>
      </c>
      <c r="J85" s="93">
        <f t="shared" si="17"/>
        <v>0</v>
      </c>
      <c r="K85" s="93">
        <f t="shared" si="17"/>
        <v>0</v>
      </c>
      <c r="L85" s="93">
        <f t="shared" si="17"/>
        <v>0</v>
      </c>
      <c r="M85" s="93">
        <f t="shared" si="17"/>
        <v>0</v>
      </c>
      <c r="N85" s="93">
        <f t="shared" si="17"/>
        <v>0</v>
      </c>
      <c r="O85" s="93">
        <f t="shared" si="17"/>
        <v>0</v>
      </c>
      <c r="P85" s="93">
        <f t="shared" si="17"/>
        <v>0</v>
      </c>
      <c r="Q85" s="93">
        <f t="shared" si="17"/>
        <v>0</v>
      </c>
      <c r="R85" s="93">
        <f t="shared" si="17"/>
        <v>0</v>
      </c>
      <c r="S85" s="93">
        <f t="shared" si="17"/>
        <v>0</v>
      </c>
      <c r="T85" s="93">
        <f>IF(T67&lt;0,T67*-1,0)</f>
        <v>0</v>
      </c>
      <c r="U85" s="93">
        <f>IF(U67&lt;0,U67*-1,0)</f>
        <v>0</v>
      </c>
      <c r="V85" s="93">
        <f t="shared" si="17"/>
        <v>0</v>
      </c>
      <c r="W85" s="93">
        <f t="shared" si="17"/>
        <v>0</v>
      </c>
      <c r="X85" s="93">
        <f t="shared" si="17"/>
        <v>0</v>
      </c>
      <c r="Y85" s="93">
        <f t="shared" si="17"/>
        <v>0</v>
      </c>
      <c r="Z85" s="93">
        <f t="shared" si="17"/>
        <v>0</v>
      </c>
      <c r="AA85" s="93">
        <f t="shared" si="17"/>
        <v>0</v>
      </c>
      <c r="AB85" s="93">
        <f t="shared" si="17"/>
        <v>0</v>
      </c>
      <c r="AC85" s="93">
        <f t="shared" si="17"/>
        <v>0</v>
      </c>
      <c r="AD85" s="93">
        <f t="shared" si="17"/>
        <v>0</v>
      </c>
      <c r="AE85" s="93">
        <f t="shared" si="17"/>
        <v>0</v>
      </c>
      <c r="AF85" s="93">
        <f t="shared" si="17"/>
        <v>0</v>
      </c>
      <c r="AG85" s="92"/>
      <c r="AH85" s="20">
        <f t="shared" si="10"/>
        <v>0</v>
      </c>
      <c r="AI85" s="19">
        <f t="shared" si="11"/>
        <v>0</v>
      </c>
    </row>
    <row r="86" spans="1:37" x14ac:dyDescent="0.25">
      <c r="A86" s="91" t="s">
        <v>153</v>
      </c>
      <c r="B86" s="93">
        <f t="shared" ref="B86:AF86" si="18">IF(B65&lt;0,B65*-1,0)</f>
        <v>411</v>
      </c>
      <c r="C86" s="93">
        <f t="shared" si="18"/>
        <v>419</v>
      </c>
      <c r="D86" s="93">
        <f t="shared" si="18"/>
        <v>424</v>
      </c>
      <c r="E86" s="93">
        <f t="shared" si="18"/>
        <v>412</v>
      </c>
      <c r="F86" s="93">
        <f t="shared" si="18"/>
        <v>410</v>
      </c>
      <c r="G86" s="93">
        <f t="shared" si="18"/>
        <v>420</v>
      </c>
      <c r="H86" s="93">
        <f t="shared" si="18"/>
        <v>398</v>
      </c>
      <c r="I86" s="93">
        <f t="shared" si="18"/>
        <v>420</v>
      </c>
      <c r="J86" s="93">
        <f t="shared" si="18"/>
        <v>388</v>
      </c>
      <c r="K86" s="93">
        <f t="shared" si="18"/>
        <v>420</v>
      </c>
      <c r="L86" s="93">
        <f t="shared" si="18"/>
        <v>381</v>
      </c>
      <c r="M86" s="93">
        <f t="shared" si="18"/>
        <v>432.4</v>
      </c>
      <c r="N86" s="93">
        <f t="shared" si="18"/>
        <v>414.8</v>
      </c>
      <c r="O86" s="93">
        <f t="shared" si="18"/>
        <v>419</v>
      </c>
      <c r="P86" s="93">
        <f t="shared" si="18"/>
        <v>425</v>
      </c>
      <c r="Q86" s="93">
        <f t="shared" si="18"/>
        <v>420</v>
      </c>
      <c r="R86" s="93">
        <f t="shared" si="18"/>
        <v>420</v>
      </c>
      <c r="S86" s="93">
        <f t="shared" si="18"/>
        <v>456</v>
      </c>
      <c r="T86" s="93">
        <f>IF(T65&lt;0,T65*-1,0)</f>
        <v>393</v>
      </c>
      <c r="U86" s="93">
        <f>IF(U65&lt;0,U65*-1,0)</f>
        <v>403</v>
      </c>
      <c r="V86" s="93">
        <f t="shared" si="18"/>
        <v>423</v>
      </c>
      <c r="W86" s="93">
        <f t="shared" si="18"/>
        <v>390</v>
      </c>
      <c r="X86" s="93">
        <f t="shared" si="18"/>
        <v>322</v>
      </c>
      <c r="Y86" s="93">
        <f t="shared" si="18"/>
        <v>308</v>
      </c>
      <c r="Z86" s="93">
        <f t="shared" si="18"/>
        <v>351</v>
      </c>
      <c r="AA86" s="93">
        <f t="shared" si="18"/>
        <v>393</v>
      </c>
      <c r="AB86" s="93">
        <f t="shared" si="18"/>
        <v>395</v>
      </c>
      <c r="AC86" s="93">
        <f t="shared" si="18"/>
        <v>392</v>
      </c>
      <c r="AD86" s="93">
        <f t="shared" si="18"/>
        <v>410</v>
      </c>
      <c r="AE86" s="93">
        <f t="shared" si="18"/>
        <v>404</v>
      </c>
      <c r="AF86" s="93">
        <f t="shared" si="18"/>
        <v>365</v>
      </c>
      <c r="AG86" s="92"/>
      <c r="AH86" s="20">
        <f t="shared" si="10"/>
        <v>456</v>
      </c>
      <c r="AI86" s="19">
        <f t="shared" si="11"/>
        <v>308</v>
      </c>
    </row>
    <row r="87" spans="1:37" x14ac:dyDescent="0.25">
      <c r="A87" s="91" t="s">
        <v>152</v>
      </c>
      <c r="B87" s="93">
        <f t="shared" ref="B87:AF87" si="19">IF(B63&lt;0,B63*-1,0)</f>
        <v>0</v>
      </c>
      <c r="C87" s="93">
        <f t="shared" si="19"/>
        <v>0</v>
      </c>
      <c r="D87" s="93">
        <f t="shared" si="19"/>
        <v>0</v>
      </c>
      <c r="E87" s="93">
        <f t="shared" si="19"/>
        <v>0</v>
      </c>
      <c r="F87" s="93">
        <f t="shared" si="19"/>
        <v>0</v>
      </c>
      <c r="G87" s="93">
        <f t="shared" si="19"/>
        <v>0</v>
      </c>
      <c r="H87" s="93">
        <f t="shared" si="19"/>
        <v>0</v>
      </c>
      <c r="I87" s="93">
        <f t="shared" si="19"/>
        <v>0</v>
      </c>
      <c r="J87" s="93">
        <f t="shared" si="19"/>
        <v>0</v>
      </c>
      <c r="K87" s="93">
        <f t="shared" si="19"/>
        <v>0</v>
      </c>
      <c r="L87" s="93">
        <f t="shared" si="19"/>
        <v>0</v>
      </c>
      <c r="M87" s="93">
        <f t="shared" si="19"/>
        <v>0</v>
      </c>
      <c r="N87" s="93">
        <f t="shared" si="19"/>
        <v>0</v>
      </c>
      <c r="O87" s="93">
        <f t="shared" si="19"/>
        <v>0</v>
      </c>
      <c r="P87" s="93">
        <f t="shared" si="19"/>
        <v>0</v>
      </c>
      <c r="Q87" s="93">
        <f t="shared" si="19"/>
        <v>0</v>
      </c>
      <c r="R87" s="93">
        <f t="shared" si="19"/>
        <v>0</v>
      </c>
      <c r="S87" s="93">
        <f t="shared" si="19"/>
        <v>0</v>
      </c>
      <c r="T87" s="93">
        <f>IF(T63&lt;0,T63*-1,0)</f>
        <v>0</v>
      </c>
      <c r="U87" s="93">
        <f>IF(U63&lt;0,U63*-1,0)</f>
        <v>0</v>
      </c>
      <c r="V87" s="93">
        <f t="shared" si="19"/>
        <v>0</v>
      </c>
      <c r="W87" s="93">
        <f t="shared" si="19"/>
        <v>0</v>
      </c>
      <c r="X87" s="93">
        <f t="shared" si="19"/>
        <v>0</v>
      </c>
      <c r="Y87" s="93">
        <f t="shared" si="19"/>
        <v>0</v>
      </c>
      <c r="Z87" s="93">
        <f t="shared" si="19"/>
        <v>0</v>
      </c>
      <c r="AA87" s="93">
        <f t="shared" si="19"/>
        <v>0</v>
      </c>
      <c r="AB87" s="93">
        <f t="shared" si="19"/>
        <v>0</v>
      </c>
      <c r="AC87" s="93">
        <f t="shared" si="19"/>
        <v>0</v>
      </c>
      <c r="AD87" s="93">
        <f t="shared" si="19"/>
        <v>0</v>
      </c>
      <c r="AE87" s="93">
        <f t="shared" si="19"/>
        <v>0</v>
      </c>
      <c r="AF87" s="93">
        <f t="shared" si="19"/>
        <v>0</v>
      </c>
      <c r="AG87" s="92"/>
      <c r="AH87" s="20">
        <f t="shared" si="10"/>
        <v>0</v>
      </c>
      <c r="AI87" s="19">
        <f t="shared" si="11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10"/>
        <v>0</v>
      </c>
      <c r="AI88" s="19">
        <f t="shared" si="11"/>
        <v>0</v>
      </c>
    </row>
    <row r="89" spans="1:37" ht="15.75" thickBot="1" x14ac:dyDescent="0.3">
      <c r="A89" s="88" t="s">
        <v>150</v>
      </c>
      <c r="B89" s="86">
        <f t="shared" ref="B89:AF89" si="20">SUM(B83:B88)</f>
        <v>411</v>
      </c>
      <c r="C89" s="86">
        <f t="shared" si="20"/>
        <v>419</v>
      </c>
      <c r="D89" s="86">
        <f t="shared" si="20"/>
        <v>424</v>
      </c>
      <c r="E89" s="86">
        <f t="shared" si="20"/>
        <v>412</v>
      </c>
      <c r="F89" s="86">
        <f t="shared" si="20"/>
        <v>410</v>
      </c>
      <c r="G89" s="86">
        <f t="shared" si="20"/>
        <v>420</v>
      </c>
      <c r="H89" s="86">
        <f t="shared" si="20"/>
        <v>398</v>
      </c>
      <c r="I89" s="86">
        <f t="shared" si="20"/>
        <v>420</v>
      </c>
      <c r="J89" s="86">
        <f t="shared" si="20"/>
        <v>388</v>
      </c>
      <c r="K89" s="86">
        <f t="shared" si="20"/>
        <v>420</v>
      </c>
      <c r="L89" s="86">
        <f t="shared" si="20"/>
        <v>381</v>
      </c>
      <c r="M89" s="86">
        <f t="shared" si="20"/>
        <v>432.4</v>
      </c>
      <c r="N89" s="86">
        <f t="shared" si="20"/>
        <v>414.8</v>
      </c>
      <c r="O89" s="86">
        <f t="shared" si="20"/>
        <v>419</v>
      </c>
      <c r="P89" s="86">
        <f t="shared" si="20"/>
        <v>425</v>
      </c>
      <c r="Q89" s="86">
        <f t="shared" si="20"/>
        <v>420</v>
      </c>
      <c r="R89" s="86">
        <f t="shared" si="20"/>
        <v>420</v>
      </c>
      <c r="S89" s="86">
        <f t="shared" si="20"/>
        <v>456</v>
      </c>
      <c r="T89" s="86">
        <f t="shared" si="20"/>
        <v>393</v>
      </c>
      <c r="U89" s="86">
        <f t="shared" si="20"/>
        <v>403</v>
      </c>
      <c r="V89" s="86">
        <f t="shared" si="20"/>
        <v>423</v>
      </c>
      <c r="W89" s="86">
        <f t="shared" si="20"/>
        <v>390</v>
      </c>
      <c r="X89" s="86">
        <f t="shared" si="20"/>
        <v>322</v>
      </c>
      <c r="Y89" s="86">
        <f t="shared" si="20"/>
        <v>308</v>
      </c>
      <c r="Z89" s="86">
        <f t="shared" si="20"/>
        <v>351</v>
      </c>
      <c r="AA89" s="86">
        <f t="shared" si="20"/>
        <v>393</v>
      </c>
      <c r="AB89" s="86">
        <f t="shared" si="20"/>
        <v>395</v>
      </c>
      <c r="AC89" s="86">
        <f t="shared" si="20"/>
        <v>392</v>
      </c>
      <c r="AD89" s="86">
        <f t="shared" si="20"/>
        <v>410</v>
      </c>
      <c r="AE89" s="86">
        <f t="shared" si="20"/>
        <v>404</v>
      </c>
      <c r="AF89" s="86">
        <f t="shared" si="20"/>
        <v>365</v>
      </c>
      <c r="AG89" s="85"/>
      <c r="AH89" s="20">
        <f t="shared" si="10"/>
        <v>456</v>
      </c>
      <c r="AI89" s="19">
        <f t="shared" si="11"/>
        <v>308</v>
      </c>
      <c r="AK89" s="41"/>
    </row>
    <row r="90" spans="1:37" ht="15.75" thickBot="1" x14ac:dyDescent="0.3">
      <c r="A90" s="87" t="s">
        <v>149</v>
      </c>
      <c r="B90" s="86">
        <f t="shared" ref="B90:AF90" si="21">B74-B89</f>
        <v>-411</v>
      </c>
      <c r="C90" s="86">
        <f t="shared" si="21"/>
        <v>-419</v>
      </c>
      <c r="D90" s="86">
        <f t="shared" si="21"/>
        <v>-424</v>
      </c>
      <c r="E90" s="86">
        <f t="shared" si="21"/>
        <v>-412</v>
      </c>
      <c r="F90" s="86">
        <f t="shared" si="21"/>
        <v>-410</v>
      </c>
      <c r="G90" s="86">
        <f t="shared" si="21"/>
        <v>-420</v>
      </c>
      <c r="H90" s="86">
        <f t="shared" si="21"/>
        <v>-398</v>
      </c>
      <c r="I90" s="86">
        <f t="shared" si="21"/>
        <v>-420</v>
      </c>
      <c r="J90" s="86">
        <f t="shared" si="21"/>
        <v>-388</v>
      </c>
      <c r="K90" s="86">
        <f t="shared" si="21"/>
        <v>-420</v>
      </c>
      <c r="L90" s="86">
        <f t="shared" si="21"/>
        <v>-381</v>
      </c>
      <c r="M90" s="86">
        <f t="shared" si="21"/>
        <v>-432.4</v>
      </c>
      <c r="N90" s="86">
        <f t="shared" si="21"/>
        <v>-414.8</v>
      </c>
      <c r="O90" s="86">
        <f t="shared" si="21"/>
        <v>-419</v>
      </c>
      <c r="P90" s="86">
        <f t="shared" si="21"/>
        <v>-425</v>
      </c>
      <c r="Q90" s="86">
        <f t="shared" si="21"/>
        <v>-420</v>
      </c>
      <c r="R90" s="86">
        <f t="shared" si="21"/>
        <v>-420</v>
      </c>
      <c r="S90" s="86">
        <f t="shared" si="21"/>
        <v>-456</v>
      </c>
      <c r="T90" s="86">
        <f t="shared" si="21"/>
        <v>-393</v>
      </c>
      <c r="U90" s="86">
        <f t="shared" si="21"/>
        <v>-403</v>
      </c>
      <c r="V90" s="86">
        <f t="shared" si="21"/>
        <v>-423</v>
      </c>
      <c r="W90" s="86">
        <f t="shared" si="21"/>
        <v>-379.7</v>
      </c>
      <c r="X90" s="86">
        <f t="shared" si="21"/>
        <v>-267.2</v>
      </c>
      <c r="Y90" s="86">
        <f t="shared" si="21"/>
        <v>-243.8</v>
      </c>
      <c r="Z90" s="86">
        <f t="shared" si="21"/>
        <v>-301.89999999999998</v>
      </c>
      <c r="AA90" s="86">
        <f t="shared" si="21"/>
        <v>-375.9</v>
      </c>
      <c r="AB90" s="86">
        <f t="shared" si="21"/>
        <v>-395</v>
      </c>
      <c r="AC90" s="86">
        <f t="shared" si="21"/>
        <v>-392</v>
      </c>
      <c r="AD90" s="86">
        <f t="shared" si="21"/>
        <v>-410</v>
      </c>
      <c r="AE90" s="86">
        <f t="shared" si="21"/>
        <v>-404</v>
      </c>
      <c r="AF90" s="86">
        <f t="shared" si="21"/>
        <v>-365</v>
      </c>
      <c r="AG90" s="85"/>
      <c r="AH90" s="20">
        <f t="shared" si="10"/>
        <v>-243.8</v>
      </c>
      <c r="AI90" s="19">
        <f t="shared" si="11"/>
        <v>-456</v>
      </c>
    </row>
    <row r="91" spans="1:37" x14ac:dyDescent="0.25">
      <c r="A91" s="47" t="s">
        <v>148</v>
      </c>
      <c r="B91" s="84">
        <v>50.030999999999999</v>
      </c>
      <c r="C91" s="84">
        <v>49.9</v>
      </c>
      <c r="D91" s="84">
        <v>50</v>
      </c>
      <c r="E91" s="84">
        <v>50</v>
      </c>
      <c r="F91" s="84">
        <v>50</v>
      </c>
      <c r="G91" s="84">
        <v>50</v>
      </c>
      <c r="H91" s="84">
        <v>50</v>
      </c>
      <c r="I91" s="84">
        <v>50.04</v>
      </c>
      <c r="J91" s="84">
        <v>49.95</v>
      </c>
      <c r="K91" s="84">
        <v>50.04</v>
      </c>
      <c r="L91" s="84">
        <v>50.05</v>
      </c>
      <c r="M91" s="84">
        <v>50.143999999999998</v>
      </c>
      <c r="N91" s="84">
        <v>50.063000000000002</v>
      </c>
      <c r="O91" s="84">
        <v>50.027999999999999</v>
      </c>
      <c r="P91" s="84">
        <v>50.030999999999999</v>
      </c>
      <c r="Q91" s="84">
        <v>50.030999999999999</v>
      </c>
      <c r="R91" s="84">
        <v>49.975999999999999</v>
      </c>
      <c r="S91" s="84">
        <v>50.023000000000003</v>
      </c>
      <c r="T91" s="84">
        <v>49.98</v>
      </c>
      <c r="U91" s="84">
        <v>50.027999999999999</v>
      </c>
      <c r="V91" s="84">
        <v>50.009</v>
      </c>
      <c r="W91" s="84">
        <v>50.006999999999998</v>
      </c>
      <c r="X91" s="84">
        <v>49.753</v>
      </c>
      <c r="Y91" s="84">
        <v>49.761000000000003</v>
      </c>
      <c r="Z91" s="84">
        <v>50.008000000000003</v>
      </c>
      <c r="AA91" s="84">
        <v>50.024000000000001</v>
      </c>
      <c r="AB91" s="84">
        <v>50.058999999999997</v>
      </c>
      <c r="AC91" s="84">
        <v>50.033000000000001</v>
      </c>
      <c r="AD91" s="84">
        <v>50.048999999999999</v>
      </c>
      <c r="AE91" s="84">
        <v>50.039000000000001</v>
      </c>
      <c r="AF91" s="84">
        <v>50.036999999999999</v>
      </c>
      <c r="AG91" s="83"/>
      <c r="AH91" s="20">
        <f t="shared" si="10"/>
        <v>50.143999999999998</v>
      </c>
      <c r="AI91" s="19">
        <f t="shared" si="11"/>
        <v>49.753</v>
      </c>
    </row>
    <row r="92" spans="1:37" x14ac:dyDescent="0.25">
      <c r="A92" s="44" t="s">
        <v>147</v>
      </c>
      <c r="B92" s="80">
        <v>125</v>
      </c>
      <c r="C92" s="80">
        <v>125</v>
      </c>
      <c r="D92" s="80">
        <v>126</v>
      </c>
      <c r="E92" s="80">
        <v>126</v>
      </c>
      <c r="F92" s="80">
        <v>126</v>
      </c>
      <c r="G92" s="80">
        <v>126</v>
      </c>
      <c r="H92" s="80">
        <v>126</v>
      </c>
      <c r="I92" s="80">
        <v>125.6</v>
      </c>
      <c r="J92" s="80">
        <v>125.4</v>
      </c>
      <c r="K92" s="80">
        <v>124.4</v>
      </c>
      <c r="L92" s="80">
        <v>123.1</v>
      </c>
      <c r="M92" s="80">
        <v>124.1</v>
      </c>
      <c r="N92" s="80">
        <v>124.1</v>
      </c>
      <c r="O92" s="80">
        <v>124.2</v>
      </c>
      <c r="P92" s="80">
        <v>125.1</v>
      </c>
      <c r="Q92" s="80">
        <v>125.1</v>
      </c>
      <c r="R92" s="80">
        <v>124.1</v>
      </c>
      <c r="S92" s="80">
        <v>122.4</v>
      </c>
      <c r="T92" s="80">
        <v>125</v>
      </c>
      <c r="U92" s="80">
        <v>125</v>
      </c>
      <c r="V92" s="80">
        <v>125.6</v>
      </c>
      <c r="W92" s="80">
        <v>125.6</v>
      </c>
      <c r="X92" s="80">
        <v>122.3</v>
      </c>
      <c r="Y92" s="80">
        <v>125.4</v>
      </c>
      <c r="Z92" s="80">
        <v>124.3</v>
      </c>
      <c r="AA92" s="80">
        <v>124.6</v>
      </c>
      <c r="AB92" s="80">
        <v>124.7</v>
      </c>
      <c r="AC92" s="80">
        <v>125.3</v>
      </c>
      <c r="AD92" s="80">
        <v>125.8</v>
      </c>
      <c r="AE92" s="80">
        <v>127.6</v>
      </c>
      <c r="AF92" s="80">
        <v>126.8</v>
      </c>
      <c r="AG92" s="79"/>
      <c r="AH92" s="20">
        <f t="shared" si="10"/>
        <v>127.6</v>
      </c>
      <c r="AI92" s="19">
        <f t="shared" si="11"/>
        <v>122.3</v>
      </c>
    </row>
    <row r="93" spans="1:37" x14ac:dyDescent="0.25">
      <c r="A93" s="44" t="s">
        <v>146</v>
      </c>
      <c r="B93" s="80">
        <v>130</v>
      </c>
      <c r="C93" s="80">
        <v>130</v>
      </c>
      <c r="D93" s="80">
        <v>130</v>
      </c>
      <c r="E93" s="80">
        <v>130</v>
      </c>
      <c r="F93" s="80">
        <v>130</v>
      </c>
      <c r="G93" s="80">
        <v>130</v>
      </c>
      <c r="H93" s="80">
        <v>130</v>
      </c>
      <c r="I93" s="80">
        <v>129</v>
      </c>
      <c r="J93" s="80">
        <v>129</v>
      </c>
      <c r="K93" s="80">
        <v>128.5</v>
      </c>
      <c r="L93" s="80">
        <v>127.4</v>
      </c>
      <c r="M93" s="80">
        <v>128.1</v>
      </c>
      <c r="N93" s="80">
        <v>128.1</v>
      </c>
      <c r="O93" s="80">
        <v>128.5</v>
      </c>
      <c r="P93" s="80">
        <v>129.4</v>
      </c>
      <c r="Q93" s="80">
        <v>129.4</v>
      </c>
      <c r="R93" s="80">
        <v>128.5</v>
      </c>
      <c r="S93" s="80">
        <v>126.6</v>
      </c>
      <c r="T93" s="80">
        <v>129</v>
      </c>
      <c r="U93" s="80">
        <v>129</v>
      </c>
      <c r="V93" s="80">
        <v>129.6</v>
      </c>
      <c r="W93" s="80">
        <v>129.6</v>
      </c>
      <c r="X93" s="80">
        <v>126</v>
      </c>
      <c r="Y93" s="80">
        <v>129.19999999999999</v>
      </c>
      <c r="Z93" s="80">
        <v>127.7</v>
      </c>
      <c r="AA93" s="80">
        <v>128</v>
      </c>
      <c r="AB93" s="80">
        <v>128.6</v>
      </c>
      <c r="AC93" s="80">
        <v>129.30000000000001</v>
      </c>
      <c r="AD93" s="80">
        <v>129.69999999999999</v>
      </c>
      <c r="AE93" s="80">
        <v>131.69999999999999</v>
      </c>
      <c r="AF93" s="80">
        <v>131.19999999999999</v>
      </c>
      <c r="AG93" s="79"/>
      <c r="AH93" s="20">
        <f t="shared" si="10"/>
        <v>131.69999999999999</v>
      </c>
      <c r="AI93" s="19">
        <f t="shared" si="11"/>
        <v>126</v>
      </c>
    </row>
    <row r="94" spans="1:37" x14ac:dyDescent="0.25">
      <c r="A94" s="44" t="s">
        <v>145</v>
      </c>
      <c r="B94" s="80">
        <v>128</v>
      </c>
      <c r="C94" s="80">
        <v>128</v>
      </c>
      <c r="D94" s="80">
        <v>128</v>
      </c>
      <c r="E94" s="80">
        <v>128</v>
      </c>
      <c r="F94" s="80">
        <v>128</v>
      </c>
      <c r="G94" s="80">
        <v>128</v>
      </c>
      <c r="H94" s="80">
        <v>128</v>
      </c>
      <c r="I94" s="80">
        <v>128.1</v>
      </c>
      <c r="J94" s="80">
        <v>128.9</v>
      </c>
      <c r="K94" s="80">
        <v>128.69999999999999</v>
      </c>
      <c r="L94" s="80">
        <v>127.7</v>
      </c>
      <c r="M94" s="80">
        <v>128.4</v>
      </c>
      <c r="N94" s="80">
        <v>128.4</v>
      </c>
      <c r="O94" s="80">
        <v>129.5</v>
      </c>
      <c r="P94" s="80">
        <v>131.1</v>
      </c>
      <c r="Q94" s="80">
        <v>131.1</v>
      </c>
      <c r="R94" s="80">
        <v>129.6</v>
      </c>
      <c r="S94" s="80">
        <v>129</v>
      </c>
      <c r="T94" s="80">
        <v>129</v>
      </c>
      <c r="U94" s="80">
        <v>128</v>
      </c>
      <c r="V94" s="80">
        <v>129</v>
      </c>
      <c r="W94" s="80">
        <v>129</v>
      </c>
      <c r="X94" s="80">
        <v>130</v>
      </c>
      <c r="Y94" s="80">
        <v>130.80000000000001</v>
      </c>
      <c r="Z94" s="80">
        <v>129.1</v>
      </c>
      <c r="AA94" s="80">
        <v>128.4</v>
      </c>
      <c r="AB94" s="80">
        <v>129.6</v>
      </c>
      <c r="AC94" s="80">
        <v>131</v>
      </c>
      <c r="AD94" s="80">
        <v>130.9</v>
      </c>
      <c r="AE94" s="80">
        <v>130</v>
      </c>
      <c r="AF94" s="80">
        <v>129.69999999999999</v>
      </c>
      <c r="AG94" s="79"/>
      <c r="AH94" s="20">
        <f t="shared" si="10"/>
        <v>131.1</v>
      </c>
      <c r="AI94" s="19">
        <f t="shared" si="11"/>
        <v>127.7</v>
      </c>
    </row>
    <row r="95" spans="1:37" x14ac:dyDescent="0.25">
      <c r="A95" s="82" t="s">
        <v>144</v>
      </c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79"/>
      <c r="AH95" s="20">
        <f t="shared" si="10"/>
        <v>0</v>
      </c>
      <c r="AI95" s="19">
        <f t="shared" si="11"/>
        <v>0</v>
      </c>
    </row>
    <row r="96" spans="1:37" x14ac:dyDescent="0.25">
      <c r="A96" s="82" t="s">
        <v>143</v>
      </c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>
        <v>131.4</v>
      </c>
      <c r="N96" s="66">
        <v>131.4</v>
      </c>
      <c r="O96" s="66">
        <v>132.5</v>
      </c>
      <c r="P96" s="66">
        <v>131.5</v>
      </c>
      <c r="Q96" s="66">
        <v>131.5</v>
      </c>
      <c r="R96" s="66">
        <v>129.6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81"/>
      <c r="AH96" s="20">
        <f t="shared" si="10"/>
        <v>132.5</v>
      </c>
      <c r="AI96" s="19">
        <f t="shared" si="11"/>
        <v>129.6</v>
      </c>
    </row>
    <row r="97" spans="1:37" x14ac:dyDescent="0.25">
      <c r="A97" s="44" t="s">
        <v>142</v>
      </c>
      <c r="B97" s="80">
        <v>126</v>
      </c>
      <c r="C97" s="80">
        <v>126</v>
      </c>
      <c r="D97" s="80">
        <v>126</v>
      </c>
      <c r="E97" s="80">
        <v>126</v>
      </c>
      <c r="F97" s="80">
        <v>126</v>
      </c>
      <c r="G97" s="80">
        <v>126</v>
      </c>
      <c r="H97" s="80">
        <v>126</v>
      </c>
      <c r="I97" s="80">
        <v>131.19999999999999</v>
      </c>
      <c r="J97" s="80">
        <v>131</v>
      </c>
      <c r="K97" s="80">
        <v>128.6</v>
      </c>
      <c r="L97" s="80">
        <v>129.19999999999999</v>
      </c>
      <c r="M97" s="80">
        <v>131.19999999999999</v>
      </c>
      <c r="N97" s="80">
        <v>131.19999999999999</v>
      </c>
      <c r="O97" s="80">
        <v>130.19999999999999</v>
      </c>
      <c r="P97" s="80">
        <v>131.5</v>
      </c>
      <c r="Q97" s="80">
        <v>131.5</v>
      </c>
      <c r="R97" s="80">
        <v>129</v>
      </c>
      <c r="S97" s="80">
        <v>134.80000000000001</v>
      </c>
      <c r="T97" s="80">
        <v>127</v>
      </c>
      <c r="U97" s="80">
        <v>129</v>
      </c>
      <c r="V97" s="80">
        <v>133.4</v>
      </c>
      <c r="W97" s="80">
        <v>133.4</v>
      </c>
      <c r="X97" s="80">
        <v>131.4</v>
      </c>
      <c r="Y97" s="80">
        <v>130.4</v>
      </c>
      <c r="Z97" s="80">
        <v>134.6</v>
      </c>
      <c r="AA97" s="80">
        <v>132</v>
      </c>
      <c r="AB97" s="80">
        <v>131.1</v>
      </c>
      <c r="AC97" s="80">
        <v>134.69999999999999</v>
      </c>
      <c r="AD97" s="80">
        <v>134.4</v>
      </c>
      <c r="AE97" s="80">
        <v>132.4</v>
      </c>
      <c r="AF97" s="80">
        <v>126.5</v>
      </c>
      <c r="AG97" s="79"/>
      <c r="AH97" s="20">
        <f t="shared" si="10"/>
        <v>134.80000000000001</v>
      </c>
      <c r="AI97" s="19">
        <f t="shared" si="11"/>
        <v>126</v>
      </c>
    </row>
    <row r="98" spans="1:37" ht="15.75" thickBot="1" x14ac:dyDescent="0.3">
      <c r="A98" s="44" t="s">
        <v>141</v>
      </c>
      <c r="B98" s="77">
        <v>65.7</v>
      </c>
      <c r="C98" s="77">
        <v>65.7</v>
      </c>
      <c r="D98" s="77">
        <v>66</v>
      </c>
      <c r="E98" s="77">
        <v>66</v>
      </c>
      <c r="F98" s="77">
        <v>66</v>
      </c>
      <c r="G98" s="77">
        <v>66</v>
      </c>
      <c r="H98" s="77">
        <v>66</v>
      </c>
      <c r="I98" s="77">
        <v>64.900000000000006</v>
      </c>
      <c r="J98" s="77">
        <v>65.099999999999994</v>
      </c>
      <c r="K98" s="77">
        <v>64.900000000000006</v>
      </c>
      <c r="L98" s="77">
        <v>64.2</v>
      </c>
      <c r="M98" s="77">
        <v>64.7</v>
      </c>
      <c r="N98" s="77">
        <v>64.7</v>
      </c>
      <c r="O98" s="77">
        <v>64.900000000000006</v>
      </c>
      <c r="P98" s="77">
        <v>65.2</v>
      </c>
      <c r="Q98" s="77">
        <v>65.2</v>
      </c>
      <c r="R98" s="77">
        <v>64.8</v>
      </c>
      <c r="S98" s="77">
        <v>64</v>
      </c>
      <c r="T98" s="77">
        <v>65</v>
      </c>
      <c r="U98" s="77">
        <v>65</v>
      </c>
      <c r="V98" s="77">
        <v>65.3</v>
      </c>
      <c r="W98" s="77">
        <v>65.3</v>
      </c>
      <c r="X98" s="77">
        <v>63.7</v>
      </c>
      <c r="Y98" s="77">
        <v>65.2</v>
      </c>
      <c r="Z98" s="77">
        <v>64.599999999999994</v>
      </c>
      <c r="AA98" s="77">
        <v>65</v>
      </c>
      <c r="AB98" s="77">
        <v>65.099999999999994</v>
      </c>
      <c r="AC98" s="77">
        <v>65.2</v>
      </c>
      <c r="AD98" s="77">
        <v>65.5</v>
      </c>
      <c r="AE98" s="77">
        <v>66.5</v>
      </c>
      <c r="AF98" s="77">
        <v>66.400000000000006</v>
      </c>
      <c r="AG98" s="76"/>
      <c r="AH98" s="20">
        <f t="shared" si="10"/>
        <v>66.5</v>
      </c>
      <c r="AI98" s="19">
        <f t="shared" si="11"/>
        <v>63.7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10"/>
        <v>0</v>
      </c>
      <c r="AI99" s="19">
        <f t="shared" si="11"/>
        <v>0</v>
      </c>
    </row>
    <row r="100" spans="1:37" ht="15.75" thickBot="1" x14ac:dyDescent="0.3">
      <c r="A100" s="75" t="s">
        <v>140</v>
      </c>
      <c r="B100" s="74">
        <f t="shared" ref="B100:AF100" si="22">SUM(B15,B20,B22:B23,B48,B50:B51,B53,B55,B101:B105,B127,B133,B139,B148,B150,B162,B169,B172:B173,B180,B182,B184,B188:B190,B192:B194,B199,B205:B206,B208:B210,B218,B223)</f>
        <v>53.59999999999998</v>
      </c>
      <c r="C100" s="74">
        <f t="shared" si="22"/>
        <v>39.840000000000003</v>
      </c>
      <c r="D100" s="74">
        <f t="shared" si="22"/>
        <v>34.14</v>
      </c>
      <c r="E100" s="74">
        <f t="shared" si="22"/>
        <v>36.14</v>
      </c>
      <c r="F100" s="74">
        <f t="shared" si="22"/>
        <v>32.940000000000012</v>
      </c>
      <c r="G100" s="74">
        <f t="shared" si="22"/>
        <v>50.539999999999985</v>
      </c>
      <c r="H100" s="74">
        <f t="shared" si="22"/>
        <v>72.739999999999981</v>
      </c>
      <c r="I100" s="74">
        <f t="shared" si="22"/>
        <v>94.34</v>
      </c>
      <c r="J100" s="74">
        <f t="shared" si="22"/>
        <v>112.63999999999999</v>
      </c>
      <c r="K100" s="74">
        <f t="shared" si="22"/>
        <v>155.03999999999996</v>
      </c>
      <c r="L100" s="74">
        <f t="shared" si="22"/>
        <v>180.73999999999998</v>
      </c>
      <c r="M100" s="74">
        <f t="shared" si="22"/>
        <v>205.04</v>
      </c>
      <c r="N100" s="74">
        <f t="shared" si="22"/>
        <v>186.44</v>
      </c>
      <c r="O100" s="74">
        <f t="shared" si="22"/>
        <v>167.73999999999998</v>
      </c>
      <c r="P100" s="74">
        <f t="shared" si="22"/>
        <v>137.84</v>
      </c>
      <c r="Q100" s="74">
        <f t="shared" si="22"/>
        <v>136.9</v>
      </c>
      <c r="R100" s="74">
        <f t="shared" si="22"/>
        <v>134.89999999999998</v>
      </c>
      <c r="S100" s="74">
        <f t="shared" si="22"/>
        <v>143.80000000000001</v>
      </c>
      <c r="T100" s="74">
        <f t="shared" si="22"/>
        <v>131.80000000000001</v>
      </c>
      <c r="U100" s="74">
        <f t="shared" si="22"/>
        <v>129.69999999999999</v>
      </c>
      <c r="V100" s="74">
        <f t="shared" si="22"/>
        <v>125</v>
      </c>
      <c r="W100" s="74">
        <f t="shared" si="22"/>
        <v>152</v>
      </c>
      <c r="X100" s="74">
        <f t="shared" si="22"/>
        <v>245.2</v>
      </c>
      <c r="Y100" s="74">
        <f t="shared" si="22"/>
        <v>235.9</v>
      </c>
      <c r="Z100" s="74">
        <f t="shared" si="22"/>
        <v>220.29999999999998</v>
      </c>
      <c r="AA100" s="74">
        <f t="shared" si="22"/>
        <v>201</v>
      </c>
      <c r="AB100" s="74">
        <f t="shared" si="22"/>
        <v>197.5</v>
      </c>
      <c r="AC100" s="74">
        <f t="shared" si="22"/>
        <v>164.2</v>
      </c>
      <c r="AD100" s="74">
        <f t="shared" si="22"/>
        <v>147.9</v>
      </c>
      <c r="AE100" s="74">
        <f t="shared" si="22"/>
        <v>93.600000000000023</v>
      </c>
      <c r="AF100" s="74">
        <f t="shared" si="22"/>
        <v>65.800000000000026</v>
      </c>
      <c r="AG100" s="73"/>
      <c r="AH100" s="20">
        <f t="shared" si="10"/>
        <v>245.2</v>
      </c>
      <c r="AI100" s="19">
        <f t="shared" si="11"/>
        <v>32.940000000000012</v>
      </c>
    </row>
    <row r="101" spans="1:37" x14ac:dyDescent="0.25">
      <c r="A101" s="47" t="s">
        <v>139</v>
      </c>
      <c r="B101" s="72">
        <v>11.2</v>
      </c>
      <c r="C101" s="72">
        <v>13.8</v>
      </c>
      <c r="D101" s="72">
        <v>14.8</v>
      </c>
      <c r="E101" s="72">
        <v>14.2</v>
      </c>
      <c r="F101" s="72">
        <v>14.1</v>
      </c>
      <c r="G101" s="72">
        <v>12</v>
      </c>
      <c r="H101" s="72">
        <v>13</v>
      </c>
      <c r="I101" s="72">
        <v>11.2</v>
      </c>
      <c r="J101" s="72">
        <v>10.3</v>
      </c>
      <c r="K101" s="72">
        <v>12.5</v>
      </c>
      <c r="L101" s="72">
        <v>21.2</v>
      </c>
      <c r="M101" s="72">
        <v>35.5</v>
      </c>
      <c r="N101" s="72">
        <v>22.3</v>
      </c>
      <c r="O101" s="72">
        <v>19.7</v>
      </c>
      <c r="P101" s="72">
        <v>16.8</v>
      </c>
      <c r="Q101" s="72">
        <v>16.8</v>
      </c>
      <c r="R101" s="72">
        <v>16.3</v>
      </c>
      <c r="S101" s="72">
        <v>22</v>
      </c>
      <c r="T101" s="72">
        <v>17</v>
      </c>
      <c r="U101" s="72">
        <v>15</v>
      </c>
      <c r="V101" s="72">
        <v>15</v>
      </c>
      <c r="W101" s="72">
        <v>19</v>
      </c>
      <c r="X101" s="72">
        <v>37</v>
      </c>
      <c r="Y101" s="72">
        <v>32.1</v>
      </c>
      <c r="Z101" s="72">
        <v>35</v>
      </c>
      <c r="AA101" s="72">
        <v>34</v>
      </c>
      <c r="AB101" s="72">
        <v>31</v>
      </c>
      <c r="AC101" s="72">
        <v>21.2</v>
      </c>
      <c r="AD101" s="72">
        <v>23.3</v>
      </c>
      <c r="AE101" s="72">
        <v>20</v>
      </c>
      <c r="AF101" s="72">
        <v>10</v>
      </c>
      <c r="AG101" s="70">
        <v>75</v>
      </c>
      <c r="AH101" s="20">
        <f t="shared" si="10"/>
        <v>37</v>
      </c>
      <c r="AI101" s="19">
        <f t="shared" si="11"/>
        <v>10</v>
      </c>
    </row>
    <row r="102" spans="1:37" x14ac:dyDescent="0.25">
      <c r="A102" s="44" t="s">
        <v>138</v>
      </c>
      <c r="B102" s="71">
        <v>27.7</v>
      </c>
      <c r="C102" s="71">
        <v>31.4</v>
      </c>
      <c r="D102" s="71">
        <v>33.5</v>
      </c>
      <c r="E102" s="71">
        <v>33.1</v>
      </c>
      <c r="F102" s="71">
        <v>33</v>
      </c>
      <c r="G102" s="71">
        <v>32</v>
      </c>
      <c r="H102" s="71">
        <v>30.5</v>
      </c>
      <c r="I102" s="71">
        <v>24.9</v>
      </c>
      <c r="J102" s="71">
        <v>24.4</v>
      </c>
      <c r="K102" s="71">
        <v>28.2</v>
      </c>
      <c r="L102" s="71">
        <v>41.2</v>
      </c>
      <c r="M102" s="71">
        <v>62.1</v>
      </c>
      <c r="N102" s="71">
        <v>41.4</v>
      </c>
      <c r="O102" s="71">
        <v>38.1</v>
      </c>
      <c r="P102" s="71">
        <v>32.9</v>
      </c>
      <c r="Q102" s="71">
        <v>32.9</v>
      </c>
      <c r="R102" s="71">
        <v>32.1</v>
      </c>
      <c r="S102" s="71">
        <v>41.7</v>
      </c>
      <c r="T102" s="71">
        <v>37</v>
      </c>
      <c r="U102" s="71">
        <v>33</v>
      </c>
      <c r="V102" s="71">
        <v>30</v>
      </c>
      <c r="W102" s="71">
        <v>29</v>
      </c>
      <c r="X102" s="71">
        <v>58</v>
      </c>
      <c r="Y102" s="71">
        <v>51.4</v>
      </c>
      <c r="Z102" s="71">
        <v>56.2</v>
      </c>
      <c r="AA102" s="71">
        <v>56</v>
      </c>
      <c r="AB102" s="71">
        <v>52</v>
      </c>
      <c r="AC102" s="71">
        <v>36.200000000000003</v>
      </c>
      <c r="AD102" s="71">
        <v>40</v>
      </c>
      <c r="AE102" s="71">
        <v>35</v>
      </c>
      <c r="AF102" s="71">
        <v>25</v>
      </c>
      <c r="AG102" s="70">
        <v>240</v>
      </c>
      <c r="AH102" s="20">
        <f t="shared" si="10"/>
        <v>62.1</v>
      </c>
      <c r="AI102" s="19">
        <f t="shared" si="11"/>
        <v>24.4</v>
      </c>
    </row>
    <row r="103" spans="1:37" x14ac:dyDescent="0.25">
      <c r="A103" s="44" t="s">
        <v>137</v>
      </c>
      <c r="B103" s="71">
        <v>-116</v>
      </c>
      <c r="C103" s="71">
        <v>-124</v>
      </c>
      <c r="D103" s="71">
        <v>-127</v>
      </c>
      <c r="E103" s="71">
        <v>-124</v>
      </c>
      <c r="F103" s="71">
        <v>-117</v>
      </c>
      <c r="G103" s="71">
        <v>-100.2</v>
      </c>
      <c r="H103" s="71">
        <f>-43.6-47.1</f>
        <v>-90.7</v>
      </c>
      <c r="I103" s="71">
        <v>-105</v>
      </c>
      <c r="J103" s="71">
        <f>-49.6-46.7</f>
        <v>-96.300000000000011</v>
      </c>
      <c r="K103" s="71">
        <f>-41.4-44.5</f>
        <v>-85.9</v>
      </c>
      <c r="L103" s="71">
        <f>-41.8-44.9</f>
        <v>-86.699999999999989</v>
      </c>
      <c r="M103" s="71">
        <v>-92</v>
      </c>
      <c r="N103" s="71">
        <v>-81</v>
      </c>
      <c r="O103" s="71">
        <v>-83.8</v>
      </c>
      <c r="P103" s="71">
        <f>-42.9-46</f>
        <v>-88.9</v>
      </c>
      <c r="Q103" s="71">
        <f>-42.9-46</f>
        <v>-88.9</v>
      </c>
      <c r="R103" s="71">
        <f>-44.8-48.1</f>
        <v>-92.9</v>
      </c>
      <c r="S103" s="71">
        <f>-37-40</f>
        <v>-77</v>
      </c>
      <c r="T103" s="71">
        <f>-43-46</f>
        <v>-89</v>
      </c>
      <c r="U103" s="71">
        <f>-40-43</f>
        <v>-83</v>
      </c>
      <c r="V103" s="71">
        <f>-40-42</f>
        <v>-82</v>
      </c>
      <c r="W103" s="71">
        <f>-36-38</f>
        <v>-74</v>
      </c>
      <c r="X103" s="71">
        <f>-34-36</f>
        <v>-70</v>
      </c>
      <c r="Y103" s="71">
        <f>-19-22</f>
        <v>-41</v>
      </c>
      <c r="Z103" s="71">
        <f>-39-41</f>
        <v>-80</v>
      </c>
      <c r="AA103" s="71">
        <f>-42-45</f>
        <v>-87</v>
      </c>
      <c r="AB103" s="71">
        <v>-100</v>
      </c>
      <c r="AC103" s="71">
        <v>-97</v>
      </c>
      <c r="AD103" s="71">
        <v>-78</v>
      </c>
      <c r="AE103" s="71">
        <v>-96</v>
      </c>
      <c r="AF103" s="71">
        <v>-100</v>
      </c>
      <c r="AG103" s="70">
        <v>240</v>
      </c>
      <c r="AH103" s="20">
        <f t="shared" si="10"/>
        <v>-41</v>
      </c>
      <c r="AI103" s="19">
        <f t="shared" si="11"/>
        <v>-127</v>
      </c>
    </row>
    <row r="104" spans="1:37" x14ac:dyDescent="0.25">
      <c r="A104" s="44" t="s">
        <v>136</v>
      </c>
      <c r="B104" s="71">
        <v>0.2</v>
      </c>
      <c r="C104" s="71">
        <v>0</v>
      </c>
      <c r="D104" s="71">
        <v>-1.8</v>
      </c>
      <c r="E104" s="71">
        <v>-1.8</v>
      </c>
      <c r="F104" s="71">
        <v>-1.8</v>
      </c>
      <c r="G104" s="71">
        <v>2.1</v>
      </c>
      <c r="H104" s="71">
        <v>5.3</v>
      </c>
      <c r="I104" s="71">
        <v>8.5</v>
      </c>
      <c r="J104" s="71">
        <v>7.3</v>
      </c>
      <c r="K104" s="71">
        <v>10.1</v>
      </c>
      <c r="L104" s="71">
        <v>10</v>
      </c>
      <c r="M104" s="71">
        <v>10.7</v>
      </c>
      <c r="N104" s="71">
        <v>9.9</v>
      </c>
      <c r="O104" s="71">
        <v>11.8</v>
      </c>
      <c r="P104" s="71">
        <v>8</v>
      </c>
      <c r="Q104" s="71">
        <v>8</v>
      </c>
      <c r="R104" s="71">
        <v>7.6</v>
      </c>
      <c r="S104" s="71">
        <v>10.3</v>
      </c>
      <c r="T104" s="71">
        <v>9.6999999999999993</v>
      </c>
      <c r="U104" s="71">
        <v>9.8000000000000007</v>
      </c>
      <c r="V104" s="71">
        <v>7.6</v>
      </c>
      <c r="W104" s="71">
        <v>8.6</v>
      </c>
      <c r="X104" s="71">
        <v>16.2</v>
      </c>
      <c r="Y104" s="71">
        <v>19</v>
      </c>
      <c r="Z104" s="71">
        <v>15.1</v>
      </c>
      <c r="AA104" s="71">
        <v>12.8</v>
      </c>
      <c r="AB104" s="71">
        <v>10.7</v>
      </c>
      <c r="AC104" s="71">
        <v>9.9</v>
      </c>
      <c r="AD104" s="71">
        <v>12</v>
      </c>
      <c r="AE104" s="71">
        <v>9</v>
      </c>
      <c r="AF104" s="71">
        <v>5.2</v>
      </c>
      <c r="AG104" s="70">
        <v>60</v>
      </c>
      <c r="AH104" s="20">
        <f t="shared" si="10"/>
        <v>19</v>
      </c>
      <c r="AI104" s="19">
        <f t="shared" si="11"/>
        <v>-1.8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40.1</v>
      </c>
      <c r="J105" s="68">
        <v>41.3</v>
      </c>
      <c r="K105" s="68">
        <v>49.5</v>
      </c>
      <c r="L105" s="68">
        <v>47.4</v>
      </c>
      <c r="M105" s="68">
        <v>23.6</v>
      </c>
      <c r="N105" s="68">
        <v>47.8</v>
      </c>
      <c r="O105" s="68">
        <v>42.9</v>
      </c>
      <c r="P105" s="68">
        <v>30</v>
      </c>
      <c r="Q105" s="68">
        <v>30</v>
      </c>
      <c r="R105" s="68">
        <v>33.700000000000003</v>
      </c>
      <c r="S105" s="68">
        <v>49.7</v>
      </c>
      <c r="T105" s="68">
        <v>39</v>
      </c>
      <c r="U105" s="68">
        <v>43.5</v>
      </c>
      <c r="V105" s="68">
        <v>43</v>
      </c>
      <c r="W105" s="68">
        <v>58</v>
      </c>
      <c r="X105" s="68">
        <v>66</v>
      </c>
      <c r="Y105" s="68">
        <v>36.4</v>
      </c>
      <c r="Z105" s="68">
        <v>56</v>
      </c>
      <c r="AA105" s="68">
        <v>47.2</v>
      </c>
      <c r="AB105" s="68">
        <v>43.2</v>
      </c>
      <c r="AC105" s="68">
        <v>43.3</v>
      </c>
      <c r="AD105" s="68">
        <v>0</v>
      </c>
      <c r="AE105" s="68">
        <v>0</v>
      </c>
      <c r="AF105" s="68">
        <v>0</v>
      </c>
      <c r="AG105" s="69">
        <v>120</v>
      </c>
      <c r="AH105" s="20">
        <f t="shared" si="10"/>
        <v>66</v>
      </c>
      <c r="AI105" s="19">
        <f t="shared" si="11"/>
        <v>0</v>
      </c>
    </row>
    <row r="106" spans="1:37" x14ac:dyDescent="0.25">
      <c r="A106" s="40" t="s">
        <v>134</v>
      </c>
      <c r="B106" s="68">
        <v>42.9</v>
      </c>
      <c r="C106" s="68">
        <v>31.3</v>
      </c>
      <c r="D106" s="68">
        <v>29.4</v>
      </c>
      <c r="E106" s="68">
        <v>29</v>
      </c>
      <c r="F106" s="68">
        <v>30.2</v>
      </c>
      <c r="G106" s="68">
        <v>37.1</v>
      </c>
      <c r="H106" s="68">
        <v>38</v>
      </c>
      <c r="I106" s="68">
        <v>37.299999999999997</v>
      </c>
      <c r="J106" s="68">
        <v>40.299999999999997</v>
      </c>
      <c r="K106" s="68">
        <v>48.1</v>
      </c>
      <c r="L106" s="68">
        <v>45.3</v>
      </c>
      <c r="M106" s="68">
        <v>21.7</v>
      </c>
      <c r="N106" s="68">
        <v>70.599999999999994</v>
      </c>
      <c r="O106" s="68">
        <v>55</v>
      </c>
      <c r="P106" s="68">
        <v>52.7</v>
      </c>
      <c r="Q106" s="68">
        <v>52.7</v>
      </c>
      <c r="R106" s="68">
        <v>72.099999999999994</v>
      </c>
      <c r="S106" s="68">
        <v>88.1</v>
      </c>
      <c r="T106" s="68">
        <v>61.4</v>
      </c>
      <c r="U106" s="68">
        <v>64.099999999999994</v>
      </c>
      <c r="V106" s="68">
        <v>37</v>
      </c>
      <c r="W106" s="68">
        <v>49</v>
      </c>
      <c r="X106" s="68">
        <v>49</v>
      </c>
      <c r="Y106" s="68">
        <v>68.400000000000006</v>
      </c>
      <c r="Z106" s="68">
        <v>45</v>
      </c>
      <c r="AA106" s="68">
        <v>37.299999999999997</v>
      </c>
      <c r="AB106" s="68">
        <v>39.4</v>
      </c>
      <c r="AC106" s="68">
        <v>42</v>
      </c>
      <c r="AD106" s="68">
        <v>57</v>
      </c>
      <c r="AE106" s="68">
        <v>28</v>
      </c>
      <c r="AF106" s="68">
        <v>40</v>
      </c>
      <c r="AG106" s="69"/>
      <c r="AH106" s="20">
        <f t="shared" si="10"/>
        <v>88.1</v>
      </c>
      <c r="AI106" s="19">
        <f t="shared" si="11"/>
        <v>21.7</v>
      </c>
    </row>
    <row r="107" spans="1:37" x14ac:dyDescent="0.25">
      <c r="A107" s="40" t="s">
        <v>133</v>
      </c>
      <c r="B107" s="68">
        <v>41.6</v>
      </c>
      <c r="C107" s="68">
        <v>26.2</v>
      </c>
      <c r="D107" s="68">
        <v>31.8</v>
      </c>
      <c r="E107" s="68">
        <v>31.8</v>
      </c>
      <c r="F107" s="68">
        <v>31.8</v>
      </c>
      <c r="G107" s="68">
        <v>31.8</v>
      </c>
      <c r="H107" s="68">
        <v>31.8</v>
      </c>
      <c r="I107" s="68">
        <v>35.9</v>
      </c>
      <c r="J107" s="68">
        <v>33.200000000000003</v>
      </c>
      <c r="K107" s="68">
        <v>38.799999999999997</v>
      </c>
      <c r="L107" s="68">
        <v>31.6</v>
      </c>
      <c r="M107" s="68">
        <v>1.4</v>
      </c>
      <c r="N107" s="68">
        <v>3.7</v>
      </c>
      <c r="O107" s="68">
        <v>9.1999999999999993</v>
      </c>
      <c r="P107" s="68">
        <v>0</v>
      </c>
      <c r="Q107" s="68">
        <v>0</v>
      </c>
      <c r="R107" s="68">
        <v>0</v>
      </c>
      <c r="S107" s="68">
        <v>0</v>
      </c>
      <c r="T107" s="68">
        <v>25</v>
      </c>
      <c r="U107" s="68">
        <v>30</v>
      </c>
      <c r="V107" s="68">
        <v>41</v>
      </c>
      <c r="W107" s="68">
        <v>42</v>
      </c>
      <c r="X107" s="68">
        <v>22</v>
      </c>
      <c r="Y107" s="68">
        <v>49.1</v>
      </c>
      <c r="Z107" s="68">
        <v>31</v>
      </c>
      <c r="AA107" s="68">
        <v>39.1</v>
      </c>
      <c r="AB107" s="68">
        <v>50.6</v>
      </c>
      <c r="AC107" s="68">
        <v>50</v>
      </c>
      <c r="AD107" s="68">
        <v>54</v>
      </c>
      <c r="AE107" s="68">
        <v>23</v>
      </c>
      <c r="AF107" s="68">
        <v>55</v>
      </c>
      <c r="AG107" s="48"/>
      <c r="AH107" s="20">
        <f t="shared" si="10"/>
        <v>55</v>
      </c>
      <c r="AI107" s="19">
        <f t="shared" si="11"/>
        <v>0</v>
      </c>
    </row>
    <row r="108" spans="1:37" x14ac:dyDescent="0.25">
      <c r="A108" s="67" t="s">
        <v>132</v>
      </c>
      <c r="B108" s="66">
        <v>115</v>
      </c>
      <c r="C108" s="66">
        <v>114</v>
      </c>
      <c r="D108" s="66">
        <v>118</v>
      </c>
      <c r="E108" s="66">
        <v>117</v>
      </c>
      <c r="F108" s="66">
        <v>115</v>
      </c>
      <c r="G108" s="66">
        <v>92</v>
      </c>
      <c r="H108" s="66">
        <v>117</v>
      </c>
      <c r="I108" s="66">
        <v>114.1</v>
      </c>
      <c r="J108" s="66">
        <v>115.7</v>
      </c>
      <c r="K108" s="66">
        <v>114</v>
      </c>
      <c r="L108" s="66">
        <v>114.1</v>
      </c>
      <c r="M108" s="66">
        <v>109.9</v>
      </c>
      <c r="N108" s="66">
        <v>112</v>
      </c>
      <c r="O108" s="66">
        <v>111.7</v>
      </c>
      <c r="P108" s="66">
        <v>105.4</v>
      </c>
      <c r="Q108" s="66">
        <v>105.4</v>
      </c>
      <c r="R108" s="66">
        <v>110</v>
      </c>
      <c r="S108" s="66">
        <v>96</v>
      </c>
      <c r="T108" s="66">
        <v>98</v>
      </c>
      <c r="U108" s="66">
        <v>105</v>
      </c>
      <c r="V108" s="66">
        <v>109</v>
      </c>
      <c r="W108" s="66">
        <v>98</v>
      </c>
      <c r="X108" s="66">
        <v>87</v>
      </c>
      <c r="Y108" s="66">
        <v>93.1</v>
      </c>
      <c r="Z108" s="66">
        <v>101</v>
      </c>
      <c r="AA108" s="66">
        <v>102</v>
      </c>
      <c r="AB108" s="66">
        <v>105.2</v>
      </c>
      <c r="AC108" s="66">
        <v>107</v>
      </c>
      <c r="AD108" s="66">
        <v>110</v>
      </c>
      <c r="AE108" s="66">
        <v>108</v>
      </c>
      <c r="AF108" s="66">
        <v>33</v>
      </c>
      <c r="AG108" s="48"/>
      <c r="AH108" s="20">
        <f t="shared" si="10"/>
        <v>118</v>
      </c>
      <c r="AI108" s="19">
        <f t="shared" si="11"/>
        <v>33</v>
      </c>
    </row>
    <row r="109" spans="1:37" ht="15.75" thickBot="1" x14ac:dyDescent="0.3">
      <c r="A109" s="67" t="s">
        <v>131</v>
      </c>
      <c r="B109" s="66">
        <v>72</v>
      </c>
      <c r="C109" s="66">
        <v>82.4</v>
      </c>
      <c r="D109" s="66">
        <v>82.1</v>
      </c>
      <c r="E109" s="66">
        <v>92</v>
      </c>
      <c r="F109" s="66">
        <v>90.1</v>
      </c>
      <c r="G109" s="66">
        <v>82.1</v>
      </c>
      <c r="H109" s="66">
        <v>60.6</v>
      </c>
      <c r="I109" s="66">
        <v>59.6</v>
      </c>
      <c r="J109" s="66">
        <v>60.8</v>
      </c>
      <c r="K109" s="66">
        <v>54.7</v>
      </c>
      <c r="L109" s="66">
        <v>57.9</v>
      </c>
      <c r="M109" s="66">
        <v>65.2</v>
      </c>
      <c r="N109" s="66">
        <v>59</v>
      </c>
      <c r="O109" s="66">
        <v>55.8</v>
      </c>
      <c r="P109" s="66">
        <v>56.5</v>
      </c>
      <c r="Q109" s="66">
        <v>56.5</v>
      </c>
      <c r="R109" s="66">
        <v>60.7</v>
      </c>
      <c r="S109" s="66">
        <v>57</v>
      </c>
      <c r="T109" s="66">
        <v>60</v>
      </c>
      <c r="U109" s="66">
        <v>52</v>
      </c>
      <c r="V109" s="66">
        <v>48</v>
      </c>
      <c r="W109" s="66">
        <v>45</v>
      </c>
      <c r="X109" s="66">
        <v>50</v>
      </c>
      <c r="Y109" s="66">
        <v>29.6</v>
      </c>
      <c r="Z109" s="66">
        <v>56</v>
      </c>
      <c r="AA109" s="66">
        <v>60</v>
      </c>
      <c r="AB109" s="66">
        <v>65</v>
      </c>
      <c r="AC109" s="66">
        <v>63</v>
      </c>
      <c r="AD109" s="66">
        <v>50</v>
      </c>
      <c r="AE109" s="66">
        <v>66</v>
      </c>
      <c r="AF109" s="66">
        <v>63</v>
      </c>
      <c r="AG109" s="48"/>
      <c r="AH109" s="20">
        <f t="shared" si="10"/>
        <v>92</v>
      </c>
      <c r="AI109" s="19">
        <f t="shared" si="11"/>
        <v>29.6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3">SUM(B111:B215)</f>
        <v>0</v>
      </c>
      <c r="C216" s="36">
        <f t="shared" si="23"/>
        <v>0</v>
      </c>
      <c r="D216" s="36">
        <f t="shared" si="23"/>
        <v>0</v>
      </c>
      <c r="E216" s="36">
        <f t="shared" si="23"/>
        <v>0</v>
      </c>
      <c r="F216" s="36">
        <f t="shared" si="23"/>
        <v>0</v>
      </c>
      <c r="G216" s="36">
        <f t="shared" si="23"/>
        <v>0</v>
      </c>
      <c r="H216" s="36">
        <f t="shared" si="23"/>
        <v>0</v>
      </c>
      <c r="I216" s="36">
        <f t="shared" si="23"/>
        <v>0</v>
      </c>
      <c r="J216" s="36">
        <f t="shared" si="23"/>
        <v>0</v>
      </c>
      <c r="K216" s="36">
        <f t="shared" si="23"/>
        <v>0</v>
      </c>
      <c r="L216" s="36">
        <f t="shared" si="23"/>
        <v>0</v>
      </c>
      <c r="M216" s="36">
        <f t="shared" si="23"/>
        <v>0</v>
      </c>
      <c r="N216" s="36">
        <f t="shared" si="23"/>
        <v>0</v>
      </c>
      <c r="O216" s="36">
        <f t="shared" si="23"/>
        <v>0</v>
      </c>
      <c r="P216" s="36">
        <f t="shared" si="23"/>
        <v>0</v>
      </c>
      <c r="Q216" s="36">
        <f t="shared" si="23"/>
        <v>0</v>
      </c>
      <c r="R216" s="36">
        <f t="shared" si="23"/>
        <v>0</v>
      </c>
      <c r="S216" s="36">
        <f t="shared" si="23"/>
        <v>0</v>
      </c>
      <c r="T216" s="36">
        <f t="shared" si="23"/>
        <v>0</v>
      </c>
      <c r="U216" s="36">
        <f t="shared" si="23"/>
        <v>0</v>
      </c>
      <c r="V216" s="36">
        <f t="shared" si="23"/>
        <v>0</v>
      </c>
      <c r="W216" s="36">
        <f t="shared" si="23"/>
        <v>0</v>
      </c>
      <c r="X216" s="36">
        <f t="shared" si="23"/>
        <v>0</v>
      </c>
      <c r="Y216" s="36">
        <f t="shared" si="23"/>
        <v>0</v>
      </c>
      <c r="Z216" s="36">
        <f t="shared" si="23"/>
        <v>0</v>
      </c>
      <c r="AA216" s="36">
        <f t="shared" si="23"/>
        <v>0</v>
      </c>
      <c r="AB216" s="36">
        <f t="shared" si="23"/>
        <v>0</v>
      </c>
      <c r="AC216" s="36">
        <f t="shared" si="23"/>
        <v>0</v>
      </c>
      <c r="AD216" s="36">
        <f t="shared" si="23"/>
        <v>0</v>
      </c>
      <c r="AE216" s="36">
        <f t="shared" si="23"/>
        <v>0</v>
      </c>
      <c r="AF216" s="51">
        <f t="shared" si="23"/>
        <v>0</v>
      </c>
      <c r="AG216" s="50">
        <f t="shared" si="23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4">AF218</f>
        <v>0</v>
      </c>
      <c r="C218" s="46">
        <v>0.3</v>
      </c>
      <c r="D218" s="46">
        <f t="shared" ref="D218:P223" si="25">C218</f>
        <v>0.3</v>
      </c>
      <c r="E218" s="46">
        <f t="shared" si="25"/>
        <v>0.3</v>
      </c>
      <c r="F218" s="46">
        <f t="shared" si="25"/>
        <v>0.3</v>
      </c>
      <c r="G218" s="46">
        <f t="shared" si="25"/>
        <v>0.3</v>
      </c>
      <c r="H218" s="46">
        <f t="shared" si="25"/>
        <v>0.3</v>
      </c>
      <c r="I218" s="46">
        <f t="shared" si="25"/>
        <v>0.3</v>
      </c>
      <c r="J218" s="46">
        <f t="shared" si="25"/>
        <v>0.3</v>
      </c>
      <c r="K218" s="46">
        <f t="shared" si="25"/>
        <v>0.3</v>
      </c>
      <c r="L218" s="46">
        <f t="shared" si="25"/>
        <v>0.3</v>
      </c>
      <c r="M218" s="46">
        <f t="shared" si="25"/>
        <v>0.3</v>
      </c>
      <c r="N218" s="46">
        <f t="shared" si="25"/>
        <v>0.3</v>
      </c>
      <c r="O218" s="46">
        <f t="shared" si="25"/>
        <v>0.3</v>
      </c>
      <c r="P218" s="46">
        <f t="shared" si="25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4"/>
        <v>0</v>
      </c>
      <c r="C219" s="43">
        <v>0.4</v>
      </c>
      <c r="D219" s="43">
        <f t="shared" si="25"/>
        <v>0.4</v>
      </c>
      <c r="E219" s="43">
        <f t="shared" si="25"/>
        <v>0.4</v>
      </c>
      <c r="F219" s="43">
        <f t="shared" si="25"/>
        <v>0.4</v>
      </c>
      <c r="G219" s="43">
        <f t="shared" si="25"/>
        <v>0.4</v>
      </c>
      <c r="H219" s="43">
        <f t="shared" si="25"/>
        <v>0.4</v>
      </c>
      <c r="I219" s="43">
        <f t="shared" si="25"/>
        <v>0.4</v>
      </c>
      <c r="J219" s="43">
        <f t="shared" si="25"/>
        <v>0.4</v>
      </c>
      <c r="K219" s="43">
        <f t="shared" si="25"/>
        <v>0.4</v>
      </c>
      <c r="L219" s="43">
        <f t="shared" si="25"/>
        <v>0.4</v>
      </c>
      <c r="M219" s="43">
        <f t="shared" si="25"/>
        <v>0.4</v>
      </c>
      <c r="N219" s="43">
        <f t="shared" si="25"/>
        <v>0.4</v>
      </c>
      <c r="O219" s="43">
        <f t="shared" si="25"/>
        <v>0.4</v>
      </c>
      <c r="P219" s="43">
        <f t="shared" si="25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4"/>
        <v>0</v>
      </c>
      <c r="C220" s="43">
        <v>1.5</v>
      </c>
      <c r="D220" s="43">
        <f t="shared" si="25"/>
        <v>1.5</v>
      </c>
      <c r="E220" s="43">
        <f t="shared" si="25"/>
        <v>1.5</v>
      </c>
      <c r="F220" s="43">
        <f t="shared" si="25"/>
        <v>1.5</v>
      </c>
      <c r="G220" s="43">
        <f t="shared" si="25"/>
        <v>1.5</v>
      </c>
      <c r="H220" s="43">
        <f t="shared" si="25"/>
        <v>1.5</v>
      </c>
      <c r="I220" s="43">
        <f t="shared" si="25"/>
        <v>1.5</v>
      </c>
      <c r="J220" s="43">
        <f t="shared" si="25"/>
        <v>1.5</v>
      </c>
      <c r="K220" s="43">
        <f t="shared" si="25"/>
        <v>1.5</v>
      </c>
      <c r="L220" s="43">
        <f t="shared" si="25"/>
        <v>1.5</v>
      </c>
      <c r="M220" s="43">
        <f t="shared" si="25"/>
        <v>1.5</v>
      </c>
      <c r="N220" s="43">
        <f t="shared" si="25"/>
        <v>1.5</v>
      </c>
      <c r="O220" s="43">
        <f t="shared" si="25"/>
        <v>1.5</v>
      </c>
      <c r="P220" s="43">
        <f t="shared" si="25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4"/>
        <v>0</v>
      </c>
      <c r="C221" s="43">
        <v>0.3</v>
      </c>
      <c r="D221" s="43">
        <f t="shared" si="25"/>
        <v>0.3</v>
      </c>
      <c r="E221" s="43">
        <f t="shared" si="25"/>
        <v>0.3</v>
      </c>
      <c r="F221" s="43">
        <f t="shared" si="25"/>
        <v>0.3</v>
      </c>
      <c r="G221" s="43">
        <f t="shared" si="25"/>
        <v>0.3</v>
      </c>
      <c r="H221" s="43">
        <f t="shared" si="25"/>
        <v>0.3</v>
      </c>
      <c r="I221" s="43">
        <f t="shared" si="25"/>
        <v>0.3</v>
      </c>
      <c r="J221" s="43">
        <f t="shared" si="25"/>
        <v>0.3</v>
      </c>
      <c r="K221" s="43">
        <f t="shared" si="25"/>
        <v>0.3</v>
      </c>
      <c r="L221" s="43">
        <f t="shared" si="25"/>
        <v>0.3</v>
      </c>
      <c r="M221" s="43">
        <f t="shared" si="25"/>
        <v>0.3</v>
      </c>
      <c r="N221" s="43">
        <f t="shared" si="25"/>
        <v>0.3</v>
      </c>
      <c r="O221" s="43">
        <f t="shared" si="25"/>
        <v>0.3</v>
      </c>
      <c r="P221" s="43">
        <f t="shared" si="25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4"/>
        <v>0</v>
      </c>
      <c r="C222" s="43">
        <v>0.4</v>
      </c>
      <c r="D222" s="43">
        <f t="shared" si="25"/>
        <v>0.4</v>
      </c>
      <c r="E222" s="43">
        <f t="shared" si="25"/>
        <v>0.4</v>
      </c>
      <c r="F222" s="43">
        <f t="shared" si="25"/>
        <v>0.4</v>
      </c>
      <c r="G222" s="43">
        <f t="shared" si="25"/>
        <v>0.4</v>
      </c>
      <c r="H222" s="43">
        <f t="shared" si="25"/>
        <v>0.4</v>
      </c>
      <c r="I222" s="43">
        <f t="shared" si="25"/>
        <v>0.4</v>
      </c>
      <c r="J222" s="43">
        <f t="shared" si="25"/>
        <v>0.4</v>
      </c>
      <c r="K222" s="43">
        <f t="shared" si="25"/>
        <v>0.4</v>
      </c>
      <c r="L222" s="43">
        <f t="shared" si="25"/>
        <v>0.4</v>
      </c>
      <c r="M222" s="43">
        <f t="shared" si="25"/>
        <v>0.4</v>
      </c>
      <c r="N222" s="43">
        <f t="shared" si="25"/>
        <v>0.4</v>
      </c>
      <c r="O222" s="43">
        <f t="shared" si="25"/>
        <v>0.4</v>
      </c>
      <c r="P222" s="43">
        <f t="shared" si="25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4"/>
        <v>0</v>
      </c>
      <c r="C223" s="39">
        <v>0.64</v>
      </c>
      <c r="D223" s="39">
        <f t="shared" si="25"/>
        <v>0.64</v>
      </c>
      <c r="E223" s="39">
        <f t="shared" si="25"/>
        <v>0.64</v>
      </c>
      <c r="F223" s="39">
        <f t="shared" si="25"/>
        <v>0.64</v>
      </c>
      <c r="G223" s="39">
        <f t="shared" si="25"/>
        <v>0.64</v>
      </c>
      <c r="H223" s="39">
        <f t="shared" si="25"/>
        <v>0.64</v>
      </c>
      <c r="I223" s="39">
        <f t="shared" si="25"/>
        <v>0.64</v>
      </c>
      <c r="J223" s="39">
        <f t="shared" si="25"/>
        <v>0.64</v>
      </c>
      <c r="K223" s="39">
        <f t="shared" si="25"/>
        <v>0.64</v>
      </c>
      <c r="L223" s="39">
        <f t="shared" si="25"/>
        <v>0.64</v>
      </c>
      <c r="M223" s="39">
        <f t="shared" si="25"/>
        <v>0.64</v>
      </c>
      <c r="N223" s="39">
        <f t="shared" si="25"/>
        <v>0.64</v>
      </c>
      <c r="O223" s="39">
        <f t="shared" si="25"/>
        <v>0.64</v>
      </c>
      <c r="P223" s="39">
        <f t="shared" si="25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6">SUM(B218:B223)</f>
        <v>0</v>
      </c>
      <c r="C224" s="36">
        <f t="shared" si="26"/>
        <v>3.54</v>
      </c>
      <c r="D224" s="36">
        <f t="shared" si="26"/>
        <v>3.54</v>
      </c>
      <c r="E224" s="36">
        <f t="shared" si="26"/>
        <v>3.54</v>
      </c>
      <c r="F224" s="36">
        <f t="shared" si="26"/>
        <v>3.54</v>
      </c>
      <c r="G224" s="36">
        <f t="shared" si="26"/>
        <v>3.54</v>
      </c>
      <c r="H224" s="36">
        <f t="shared" si="26"/>
        <v>3.54</v>
      </c>
      <c r="I224" s="36">
        <f t="shared" si="26"/>
        <v>3.54</v>
      </c>
      <c r="J224" s="36">
        <f t="shared" si="26"/>
        <v>3.54</v>
      </c>
      <c r="K224" s="36">
        <f t="shared" si="26"/>
        <v>3.54</v>
      </c>
      <c r="L224" s="36">
        <f t="shared" si="26"/>
        <v>3.54</v>
      </c>
      <c r="M224" s="36">
        <f t="shared" si="26"/>
        <v>3.54</v>
      </c>
      <c r="N224" s="36">
        <f t="shared" si="26"/>
        <v>3.54</v>
      </c>
      <c r="O224" s="36">
        <f t="shared" si="26"/>
        <v>3.54</v>
      </c>
      <c r="P224" s="36">
        <f t="shared" si="26"/>
        <v>3.54</v>
      </c>
      <c r="Q224" s="36">
        <f t="shared" si="26"/>
        <v>0</v>
      </c>
      <c r="R224" s="36">
        <f t="shared" si="26"/>
        <v>0</v>
      </c>
      <c r="S224" s="36">
        <f t="shared" si="26"/>
        <v>0</v>
      </c>
      <c r="T224" s="36">
        <f t="shared" si="26"/>
        <v>0</v>
      </c>
      <c r="U224" s="36">
        <f t="shared" si="26"/>
        <v>0</v>
      </c>
      <c r="V224" s="36">
        <f t="shared" si="26"/>
        <v>0</v>
      </c>
      <c r="W224" s="36">
        <f t="shared" si="26"/>
        <v>0</v>
      </c>
      <c r="X224" s="36">
        <f t="shared" si="26"/>
        <v>0</v>
      </c>
      <c r="Y224" s="36">
        <f t="shared" si="26"/>
        <v>0</v>
      </c>
      <c r="Z224" s="36">
        <f t="shared" si="26"/>
        <v>0</v>
      </c>
      <c r="AA224" s="36">
        <f t="shared" si="26"/>
        <v>0</v>
      </c>
      <c r="AB224" s="36">
        <f t="shared" si="26"/>
        <v>0</v>
      </c>
      <c r="AC224" s="36">
        <f t="shared" si="26"/>
        <v>0</v>
      </c>
      <c r="AD224" s="36">
        <f t="shared" si="26"/>
        <v>0</v>
      </c>
      <c r="AE224" s="36">
        <f t="shared" si="26"/>
        <v>0</v>
      </c>
      <c r="AF224" s="36">
        <f t="shared" si="26"/>
        <v>0</v>
      </c>
      <c r="AG224" s="35">
        <f t="shared" si="26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1557.64</v>
      </c>
      <c r="C233" s="16">
        <f>INDEX(G9:N9,1,MATCH(MAX(G81:N81),G81:N81,0))</f>
        <v>0.33333333333333331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29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2079/06/29)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2079/06/29)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7">B81</f>
        <v>1541.94</v>
      </c>
      <c r="U238" s="9">
        <f t="shared" si="27"/>
        <v>1526.94</v>
      </c>
      <c r="V238" s="9">
        <f t="shared" si="27"/>
        <v>1527.24</v>
      </c>
      <c r="W238" s="9">
        <f t="shared" si="27"/>
        <v>1517.24</v>
      </c>
      <c r="X238" s="9">
        <f t="shared" si="27"/>
        <v>1411.2399999999998</v>
      </c>
      <c r="Y238" s="9">
        <f t="shared" si="27"/>
        <v>1487.2399999999998</v>
      </c>
      <c r="Z238" s="9">
        <f t="shared" si="27"/>
        <v>1497.24</v>
      </c>
      <c r="AA238" s="9">
        <f t="shared" si="27"/>
        <v>1497.24</v>
      </c>
      <c r="AB238" s="9">
        <f t="shared" si="27"/>
        <v>1462.24</v>
      </c>
      <c r="AC238" s="9">
        <f t="shared" si="27"/>
        <v>1527.24</v>
      </c>
      <c r="AD238" s="9">
        <f t="shared" si="27"/>
        <v>1550.24</v>
      </c>
      <c r="AE238" s="9">
        <f t="shared" si="27"/>
        <v>1557.64</v>
      </c>
      <c r="AF238" s="9">
        <f t="shared" si="27"/>
        <v>1540.54</v>
      </c>
      <c r="AG238" s="9">
        <f t="shared" si="27"/>
        <v>1532.74</v>
      </c>
      <c r="AH238" s="9">
        <f t="shared" si="27"/>
        <v>1530.14</v>
      </c>
      <c r="AI238" s="9">
        <f t="shared" si="27"/>
        <v>1516.0400000000002</v>
      </c>
      <c r="AJ238" s="9">
        <f t="shared" si="27"/>
        <v>1506.0400000000002</v>
      </c>
      <c r="AK238" s="9">
        <f t="shared" si="27"/>
        <v>1533.14</v>
      </c>
      <c r="AL238" s="9">
        <f t="shared" si="27"/>
        <v>1485.14</v>
      </c>
      <c r="AM238" s="9">
        <f t="shared" si="27"/>
        <v>1534.44</v>
      </c>
      <c r="AN238" s="9">
        <f t="shared" si="27"/>
        <v>1534.44</v>
      </c>
      <c r="AO238" s="9">
        <f t="shared" si="27"/>
        <v>1563.84</v>
      </c>
      <c r="AP238" s="9">
        <f t="shared" si="27"/>
        <v>1705.44</v>
      </c>
      <c r="AQ238" s="9">
        <f t="shared" si="27"/>
        <v>1714.8400000000001</v>
      </c>
      <c r="AR238" s="9">
        <f t="shared" si="27"/>
        <v>1699.74</v>
      </c>
      <c r="AS238" s="9">
        <f t="shared" si="27"/>
        <v>1667.74</v>
      </c>
      <c r="AT238" s="9">
        <f t="shared" si="27"/>
        <v>1693.74</v>
      </c>
      <c r="AU238" s="9">
        <f t="shared" si="27"/>
        <v>1643.44</v>
      </c>
      <c r="AV238" s="9">
        <f t="shared" si="27"/>
        <v>1618.2400000000002</v>
      </c>
      <c r="AW238" s="9">
        <f t="shared" si="27"/>
        <v>1489.1399999999999</v>
      </c>
      <c r="AX238" s="9">
        <f t="shared" si="27"/>
        <v>1396.84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8">C223</f>
        <v>0.64</v>
      </c>
      <c r="C259" s="4">
        <f t="shared" si="28"/>
        <v>0.64</v>
      </c>
      <c r="D259" s="4">
        <f t="shared" si="28"/>
        <v>0.64</v>
      </c>
      <c r="E259" s="4">
        <f t="shared" si="28"/>
        <v>0.64</v>
      </c>
      <c r="F259" s="4">
        <f t="shared" si="28"/>
        <v>0.64</v>
      </c>
      <c r="G259" s="4">
        <f t="shared" si="28"/>
        <v>0.64</v>
      </c>
      <c r="H259" s="4">
        <f t="shared" si="28"/>
        <v>0.64</v>
      </c>
      <c r="I259" s="4">
        <f t="shared" si="28"/>
        <v>0.64</v>
      </c>
      <c r="J259" s="4">
        <f t="shared" si="28"/>
        <v>0.64</v>
      </c>
      <c r="K259" s="4">
        <f t="shared" si="28"/>
        <v>0.64</v>
      </c>
      <c r="L259" s="4">
        <f t="shared" si="28"/>
        <v>0.64</v>
      </c>
      <c r="M259" s="4">
        <f t="shared" si="28"/>
        <v>0.64</v>
      </c>
      <c r="N259" s="4">
        <f t="shared" si="28"/>
        <v>0.64</v>
      </c>
      <c r="O259" s="4">
        <f t="shared" si="28"/>
        <v>0.64</v>
      </c>
      <c r="P259" s="4">
        <f t="shared" si="28"/>
        <v>0</v>
      </c>
      <c r="Q259" s="4">
        <f t="shared" si="28"/>
        <v>0</v>
      </c>
      <c r="R259" s="4">
        <f t="shared" si="28"/>
        <v>0</v>
      </c>
      <c r="S259" s="4">
        <f t="shared" si="28"/>
        <v>0</v>
      </c>
      <c r="T259" s="4">
        <f t="shared" si="28"/>
        <v>0</v>
      </c>
      <c r="U259" s="4">
        <f t="shared" si="28"/>
        <v>0</v>
      </c>
      <c r="V259" s="4">
        <f t="shared" si="28"/>
        <v>0</v>
      </c>
      <c r="W259" s="4">
        <f t="shared" si="28"/>
        <v>0</v>
      </c>
      <c r="X259" s="4">
        <f t="shared" si="28"/>
        <v>0</v>
      </c>
      <c r="Y259" s="4">
        <f t="shared" si="28"/>
        <v>0</v>
      </c>
      <c r="Z259" s="4">
        <f t="shared" si="28"/>
        <v>0</v>
      </c>
      <c r="AA259" s="4">
        <f t="shared" si="28"/>
        <v>0</v>
      </c>
      <c r="AB259" s="4">
        <f t="shared" si="28"/>
        <v>0</v>
      </c>
      <c r="AC259" s="4">
        <f t="shared" si="28"/>
        <v>0</v>
      </c>
      <c r="AD259" s="4">
        <f t="shared" si="28"/>
        <v>0</v>
      </c>
      <c r="AE259" s="4">
        <f t="shared" si="28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29">IF(B227&lt;100,"",B227-520)</f>
        <v/>
      </c>
      <c r="C260" s="3" t="str">
        <f t="shared" si="29"/>
        <v/>
      </c>
      <c r="D260" s="3" t="str">
        <f t="shared" si="29"/>
        <v/>
      </c>
      <c r="E260" s="3" t="str">
        <f t="shared" si="29"/>
        <v/>
      </c>
      <c r="F260" s="3" t="str">
        <f t="shared" si="29"/>
        <v/>
      </c>
      <c r="G260" s="3" t="str">
        <f t="shared" si="29"/>
        <v/>
      </c>
      <c r="H260" s="3" t="str">
        <f t="shared" si="29"/>
        <v/>
      </c>
      <c r="I260" s="3" t="str">
        <f t="shared" si="29"/>
        <v/>
      </c>
      <c r="J260" s="3" t="str">
        <f t="shared" si="29"/>
        <v/>
      </c>
      <c r="K260" s="3" t="str">
        <f t="shared" si="29"/>
        <v/>
      </c>
      <c r="L260" s="3" t="str">
        <f t="shared" si="29"/>
        <v/>
      </c>
      <c r="M260" s="3" t="str">
        <f t="shared" si="29"/>
        <v/>
      </c>
      <c r="N260" s="3" t="str">
        <f t="shared" si="29"/>
        <v/>
      </c>
      <c r="O260" s="3" t="str">
        <f t="shared" si="29"/>
        <v/>
      </c>
      <c r="P260" s="3" t="str">
        <f t="shared" si="29"/>
        <v/>
      </c>
      <c r="Q260" s="3" t="str">
        <f t="shared" si="29"/>
        <v/>
      </c>
      <c r="R260" s="3" t="str">
        <f t="shared" si="29"/>
        <v/>
      </c>
      <c r="S260" s="3" t="str">
        <f t="shared" si="29"/>
        <v/>
      </c>
      <c r="T260" s="3" t="str">
        <f t="shared" si="29"/>
        <v/>
      </c>
      <c r="U260" s="3" t="str">
        <f t="shared" si="29"/>
        <v/>
      </c>
      <c r="V260" s="3" t="str">
        <f t="shared" si="29"/>
        <v/>
      </c>
      <c r="W260" s="3" t="str">
        <f t="shared" si="29"/>
        <v/>
      </c>
      <c r="X260" s="3" t="str">
        <f t="shared" si="29"/>
        <v/>
      </c>
      <c r="Y260" s="3" t="str">
        <f t="shared" si="29"/>
        <v/>
      </c>
      <c r="Z260" s="3" t="str">
        <f t="shared" si="29"/>
        <v/>
      </c>
      <c r="AA260" s="3" t="str">
        <f t="shared" si="29"/>
        <v/>
      </c>
      <c r="AB260" s="3" t="str">
        <f t="shared" si="29"/>
        <v/>
      </c>
      <c r="AC260" s="3" t="str">
        <f t="shared" si="29"/>
        <v/>
      </c>
      <c r="AD260" s="3" t="str">
        <f t="shared" si="29"/>
        <v/>
      </c>
      <c r="AE260" s="3" t="str">
        <f t="shared" si="29"/>
        <v/>
      </c>
      <c r="AF260" s="3" t="str">
        <f t="shared" si="29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30">IF(B228&lt;100,"",B228-620)</f>
        <v/>
      </c>
      <c r="C261" s="3" t="str">
        <f t="shared" si="30"/>
        <v/>
      </c>
      <c r="D261" s="3" t="str">
        <f t="shared" si="30"/>
        <v/>
      </c>
      <c r="E261" s="3" t="str">
        <f t="shared" si="30"/>
        <v/>
      </c>
      <c r="F261" s="3" t="str">
        <f t="shared" si="30"/>
        <v/>
      </c>
      <c r="G261" s="3" t="str">
        <f t="shared" si="30"/>
        <v/>
      </c>
      <c r="H261" s="3" t="str">
        <f t="shared" si="30"/>
        <v/>
      </c>
      <c r="I261" s="3" t="str">
        <f t="shared" si="30"/>
        <v/>
      </c>
      <c r="J261" s="3" t="str">
        <f t="shared" si="30"/>
        <v/>
      </c>
      <c r="K261" s="3" t="str">
        <f t="shared" si="30"/>
        <v/>
      </c>
      <c r="L261" s="3" t="str">
        <f t="shared" si="30"/>
        <v/>
      </c>
      <c r="M261" s="3" t="str">
        <f t="shared" si="30"/>
        <v/>
      </c>
      <c r="N261" s="3" t="str">
        <f t="shared" si="30"/>
        <v/>
      </c>
      <c r="O261" s="3" t="str">
        <f t="shared" si="30"/>
        <v/>
      </c>
      <c r="P261" s="3" t="str">
        <f t="shared" si="30"/>
        <v/>
      </c>
      <c r="Q261" s="3" t="str">
        <f t="shared" si="30"/>
        <v/>
      </c>
      <c r="R261" s="3" t="str">
        <f t="shared" si="30"/>
        <v/>
      </c>
      <c r="S261" s="3" t="str">
        <f t="shared" si="30"/>
        <v/>
      </c>
      <c r="T261" s="3" t="str">
        <f t="shared" si="30"/>
        <v/>
      </c>
      <c r="U261" s="3" t="str">
        <f t="shared" si="30"/>
        <v/>
      </c>
      <c r="V261" s="3" t="str">
        <f t="shared" si="30"/>
        <v/>
      </c>
      <c r="W261" s="3" t="str">
        <f t="shared" si="30"/>
        <v/>
      </c>
      <c r="X261" s="3" t="str">
        <f t="shared" si="30"/>
        <v/>
      </c>
      <c r="Y261" s="3" t="str">
        <f t="shared" si="30"/>
        <v/>
      </c>
      <c r="Z261" s="3" t="str">
        <f t="shared" si="30"/>
        <v/>
      </c>
      <c r="AA261" s="3" t="str">
        <f t="shared" si="30"/>
        <v/>
      </c>
      <c r="AB261" s="3" t="str">
        <f t="shared" si="30"/>
        <v/>
      </c>
      <c r="AC261" s="3" t="str">
        <f t="shared" si="30"/>
        <v/>
      </c>
      <c r="AD261" s="3" t="str">
        <f t="shared" si="30"/>
        <v/>
      </c>
      <c r="AE261" s="3" t="str">
        <f t="shared" si="30"/>
        <v/>
      </c>
      <c r="AF261" s="3" t="str">
        <f t="shared" si="30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1">IF(B229&lt;100,"",B229-330)</f>
        <v/>
      </c>
      <c r="C262" s="3" t="str">
        <f t="shared" si="31"/>
        <v/>
      </c>
      <c r="D262" s="3" t="str">
        <f t="shared" si="31"/>
        <v/>
      </c>
      <c r="E262" s="3" t="str">
        <f t="shared" si="31"/>
        <v/>
      </c>
      <c r="F262" s="3" t="str">
        <f t="shared" si="31"/>
        <v/>
      </c>
      <c r="G262" s="3" t="str">
        <f t="shared" si="31"/>
        <v/>
      </c>
      <c r="H262" s="3" t="str">
        <f t="shared" si="31"/>
        <v/>
      </c>
      <c r="I262" s="3" t="str">
        <f t="shared" si="31"/>
        <v/>
      </c>
      <c r="J262" s="3" t="str">
        <f t="shared" si="31"/>
        <v/>
      </c>
      <c r="K262" s="3" t="str">
        <f t="shared" si="31"/>
        <v/>
      </c>
      <c r="L262" s="3" t="str">
        <f t="shared" si="31"/>
        <v/>
      </c>
      <c r="M262" s="3" t="str">
        <f t="shared" si="31"/>
        <v/>
      </c>
      <c r="N262" s="3" t="str">
        <f t="shared" si="31"/>
        <v/>
      </c>
      <c r="O262" s="3" t="str">
        <f t="shared" si="31"/>
        <v/>
      </c>
      <c r="P262" s="3" t="str">
        <f t="shared" si="31"/>
        <v/>
      </c>
      <c r="Q262" s="3" t="str">
        <f t="shared" si="31"/>
        <v/>
      </c>
      <c r="R262" s="3" t="str">
        <f t="shared" si="31"/>
        <v/>
      </c>
      <c r="S262" s="3" t="str">
        <f t="shared" si="31"/>
        <v/>
      </c>
      <c r="T262" s="3" t="str">
        <f t="shared" si="31"/>
        <v/>
      </c>
      <c r="U262" s="3" t="str">
        <f t="shared" si="31"/>
        <v/>
      </c>
      <c r="V262" s="3" t="str">
        <f t="shared" si="31"/>
        <v/>
      </c>
      <c r="W262" s="3" t="str">
        <f t="shared" si="31"/>
        <v/>
      </c>
      <c r="X262" s="3" t="str">
        <f t="shared" si="31"/>
        <v/>
      </c>
      <c r="Y262" s="3" t="str">
        <f t="shared" si="31"/>
        <v/>
      </c>
      <c r="Z262" s="3" t="str">
        <f t="shared" si="31"/>
        <v/>
      </c>
      <c r="AA262" s="3" t="str">
        <f t="shared" si="31"/>
        <v/>
      </c>
      <c r="AB262" s="3" t="str">
        <f t="shared" si="31"/>
        <v/>
      </c>
      <c r="AC262" s="3" t="str">
        <f t="shared" si="31"/>
        <v/>
      </c>
      <c r="AD262" s="3" t="str">
        <f t="shared" si="31"/>
        <v/>
      </c>
      <c r="AE262" s="3" t="str">
        <f t="shared" si="31"/>
        <v/>
      </c>
      <c r="AF262" s="3" t="str">
        <f t="shared" si="31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2">IF(B230&lt;100,"",B230-1500)</f>
        <v/>
      </c>
      <c r="C263" s="3" t="str">
        <f t="shared" si="32"/>
        <v/>
      </c>
      <c r="D263" s="3" t="str">
        <f t="shared" si="32"/>
        <v/>
      </c>
      <c r="E263" s="3" t="str">
        <f t="shared" si="32"/>
        <v/>
      </c>
      <c r="F263" s="3" t="str">
        <f t="shared" si="32"/>
        <v/>
      </c>
      <c r="G263" s="3" t="str">
        <f t="shared" si="32"/>
        <v/>
      </c>
      <c r="H263" s="3" t="str">
        <f t="shared" si="32"/>
        <v/>
      </c>
      <c r="I263" s="3" t="str">
        <f t="shared" si="32"/>
        <v/>
      </c>
      <c r="J263" s="3" t="str">
        <f t="shared" si="32"/>
        <v/>
      </c>
      <c r="K263" s="3" t="str">
        <f t="shared" si="32"/>
        <v/>
      </c>
      <c r="L263" s="3" t="str">
        <f t="shared" si="32"/>
        <v/>
      </c>
      <c r="M263" s="3" t="str">
        <f t="shared" si="32"/>
        <v/>
      </c>
      <c r="N263" s="3" t="str">
        <f t="shared" si="32"/>
        <v/>
      </c>
      <c r="O263" s="3" t="str">
        <f t="shared" si="32"/>
        <v/>
      </c>
      <c r="P263" s="3" t="str">
        <f t="shared" si="32"/>
        <v/>
      </c>
      <c r="Q263" s="3" t="str">
        <f t="shared" si="32"/>
        <v/>
      </c>
      <c r="R263" s="3" t="str">
        <f t="shared" si="32"/>
        <v/>
      </c>
      <c r="S263" s="3" t="str">
        <f t="shared" si="32"/>
        <v/>
      </c>
      <c r="T263" s="3" t="str">
        <f t="shared" si="32"/>
        <v/>
      </c>
      <c r="U263" s="3" t="str">
        <f t="shared" si="32"/>
        <v/>
      </c>
      <c r="V263" s="3" t="str">
        <f t="shared" si="32"/>
        <v/>
      </c>
      <c r="W263" s="3" t="str">
        <f t="shared" si="32"/>
        <v/>
      </c>
      <c r="X263" s="3" t="str">
        <f t="shared" si="32"/>
        <v/>
      </c>
      <c r="Y263" s="3" t="str">
        <f t="shared" si="32"/>
        <v/>
      </c>
      <c r="Z263" s="3" t="str">
        <f t="shared" si="32"/>
        <v/>
      </c>
      <c r="AA263" s="3" t="str">
        <f t="shared" si="32"/>
        <v/>
      </c>
      <c r="AB263" s="3" t="str">
        <f t="shared" si="32"/>
        <v/>
      </c>
      <c r="AC263" s="3" t="str">
        <f t="shared" si="32"/>
        <v/>
      </c>
      <c r="AD263" s="3" t="str">
        <f t="shared" si="32"/>
        <v/>
      </c>
      <c r="AE263" s="3" t="str">
        <f t="shared" si="32"/>
        <v/>
      </c>
      <c r="AF263" s="3" t="str">
        <f t="shared" si="32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Y11:AF11 B20:AF23 B16:AF16">
    <cfRule type="expression" dxfId="2167" priority="239">
      <formula>B$9&gt;=20/24</formula>
    </cfRule>
    <cfRule type="expression" dxfId="2166" priority="240">
      <formula>AND(B$9&gt;=14/24,B$9&lt;20/24)</formula>
    </cfRule>
    <cfRule type="expression" dxfId="2165" priority="241">
      <formula>AND(B$9&gt;=8/24,B$9&lt;14/24)</formula>
    </cfRule>
    <cfRule type="expression" dxfId="2164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2163" priority="234">
      <formula>S$9&gt;=20/24</formula>
    </cfRule>
    <cfRule type="expression" dxfId="2162" priority="235">
      <formula>AND(S$9&gt;=14/24,S$9&lt;20/24)</formula>
    </cfRule>
    <cfRule type="expression" dxfId="2161" priority="236">
      <formula>AND(S$9&gt;=8/24,S$9&lt;14/24)</formula>
    </cfRule>
    <cfRule type="expression" dxfId="2160" priority="237">
      <formula>S$9&lt;8/24</formula>
    </cfRule>
  </conditionalFormatting>
  <conditionalFormatting sqref="AG57 S39:AF39 B12:X16 Y11:AF16 B37:AF37 B18:AF18 B20:AF23">
    <cfRule type="expression" dxfId="2159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2158" priority="232">
      <formula>$AH11=0</formula>
    </cfRule>
  </conditionalFormatting>
  <conditionalFormatting sqref="A106">
    <cfRule type="expression" dxfId="2157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2156" priority="229">
      <formula>$AH37=0</formula>
    </cfRule>
  </conditionalFormatting>
  <conditionalFormatting sqref="A90">
    <cfRule type="expression" dxfId="2155" priority="228">
      <formula>$AH90=0</formula>
    </cfRule>
  </conditionalFormatting>
  <conditionalFormatting sqref="A15">
    <cfRule type="expression" dxfId="2154" priority="227">
      <formula>$AH15=0</formula>
    </cfRule>
  </conditionalFormatting>
  <conditionalFormatting sqref="A188:A193">
    <cfRule type="expression" dxfId="2153" priority="226">
      <formula>$AH188=0</formula>
    </cfRule>
  </conditionalFormatting>
  <conditionalFormatting sqref="A182:A187">
    <cfRule type="expression" dxfId="2152" priority="225">
      <formula>$AH182=0</formula>
    </cfRule>
  </conditionalFormatting>
  <conditionalFormatting sqref="A50">
    <cfRule type="expression" dxfId="2151" priority="224">
      <formula>$AH50=0</formula>
    </cfRule>
  </conditionalFormatting>
  <conditionalFormatting sqref="A86">
    <cfRule type="expression" dxfId="2150" priority="223">
      <formula>$AH86=0</formula>
    </cfRule>
  </conditionalFormatting>
  <conditionalFormatting sqref="J91:AF91">
    <cfRule type="expression" dxfId="2149" priority="219">
      <formula>J$9&gt;=20/24</formula>
    </cfRule>
    <cfRule type="expression" dxfId="2148" priority="220">
      <formula>AND(J$9&gt;=14/24,J$9&lt;20/24)</formula>
    </cfRule>
    <cfRule type="expression" dxfId="2147" priority="221">
      <formula>AND(J$9&gt;=8/24,J$9&lt;14/24)</formula>
    </cfRule>
    <cfRule type="expression" dxfId="2146" priority="222">
      <formula>J$9&lt;8/24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2145" priority="245">
      <formula>C$9&gt;=20/24</formula>
    </cfRule>
    <cfRule type="expression" dxfId="2144" priority="246">
      <formula>AND(C$9&gt;=14/24,C$9&lt;20/24)</formula>
    </cfRule>
    <cfRule type="expression" dxfId="2143" priority="247">
      <formula>AND(C$9&gt;=8/24,C$9&lt;14/24)</formula>
    </cfRule>
    <cfRule type="expression" dxfId="2142" priority="248">
      <formula>C$9&lt;8/24</formula>
    </cfRule>
  </conditionalFormatting>
  <conditionalFormatting sqref="A225">
    <cfRule type="expression" dxfId="2141" priority="249">
      <formula>$AH225=0</formula>
    </cfRule>
  </conditionalFormatting>
  <conditionalFormatting sqref="AG237">
    <cfRule type="expression" dxfId="2140" priority="250">
      <formula>B$9&gt;=20/24</formula>
    </cfRule>
    <cfRule type="expression" dxfId="2139" priority="251">
      <formula>AND(B$9&gt;=14/24,B$9&lt;20/24)</formula>
    </cfRule>
    <cfRule type="expression" dxfId="2138" priority="252">
      <formula>AND(B$9&gt;=8/24,B$9&lt;14/24)</formula>
    </cfRule>
    <cfRule type="expression" dxfId="2137" priority="253">
      <formula>B$9&lt;8/24</formula>
    </cfRule>
  </conditionalFormatting>
  <conditionalFormatting sqref="S8">
    <cfRule type="expression" dxfId="2136" priority="214">
      <formula>U$9&gt;=20/24</formula>
    </cfRule>
    <cfRule type="expression" dxfId="2135" priority="215">
      <formula>AND(U$9&gt;=14/24,U$9&lt;20/24)</formula>
    </cfRule>
    <cfRule type="expression" dxfId="2134" priority="216">
      <formula>AND(U$9&gt;=8/24,U$9&lt;14/24)</formula>
    </cfRule>
    <cfRule type="expression" dxfId="2133" priority="217">
      <formula>U$9&lt;8/24</formula>
    </cfRule>
  </conditionalFormatting>
  <conditionalFormatting sqref="AB8">
    <cfRule type="expression" dxfId="2132" priority="210">
      <formula>AD$9&gt;=20/24</formula>
    </cfRule>
    <cfRule type="expression" dxfId="2131" priority="211">
      <formula>AND(AD$9&gt;=14/24,AD$9&lt;20/24)</formula>
    </cfRule>
    <cfRule type="expression" dxfId="2130" priority="212">
      <formula>AND(AD$9&gt;=8/24,AD$9&lt;14/24)</formula>
    </cfRule>
    <cfRule type="expression" dxfId="2129" priority="213">
      <formula>AD$9&lt;8/24</formula>
    </cfRule>
  </conditionalFormatting>
  <conditionalFormatting sqref="AH237:AX237">
    <cfRule type="expression" dxfId="2128" priority="254">
      <formula>AG$9&gt;=20/24</formula>
    </cfRule>
    <cfRule type="expression" dxfId="2127" priority="255">
      <formula>AND(AG$9&gt;=14/24,AG$9&lt;20/24)</formula>
    </cfRule>
    <cfRule type="expression" dxfId="2126" priority="256">
      <formula>AND(AG$9&gt;=8/24,AG$9&lt;14/24)</formula>
    </cfRule>
    <cfRule type="expression" dxfId="2125" priority="257">
      <formula>AG$9&lt;8/24</formula>
    </cfRule>
  </conditionalFormatting>
  <conditionalFormatting sqref="T237">
    <cfRule type="expression" dxfId="2124" priority="258">
      <formula>AX$9&gt;=20/24</formula>
    </cfRule>
    <cfRule type="expression" dxfId="2123" priority="259">
      <formula>AND(AX$9&gt;=14/24,AX$9&lt;20/24)</formula>
    </cfRule>
    <cfRule type="expression" dxfId="2122" priority="260">
      <formula>AND(AX$9&gt;=8/24,AX$9&lt;14/24)</formula>
    </cfRule>
    <cfRule type="expression" dxfId="2121" priority="261">
      <formula>AX$9&lt;8/24</formula>
    </cfRule>
  </conditionalFormatting>
  <conditionalFormatting sqref="A107:A108">
    <cfRule type="expression" dxfId="2120" priority="209">
      <formula>$AH107=0</formula>
    </cfRule>
  </conditionalFormatting>
  <conditionalFormatting sqref="I63:AF63 AB46:AF47 AB38:AF38">
    <cfRule type="expression" dxfId="2119" priority="205">
      <formula>I$9&gt;=20/24</formula>
    </cfRule>
    <cfRule type="expression" dxfId="2118" priority="206">
      <formula>AND(I$9&gt;=14/24,I$9&lt;20/24)</formula>
    </cfRule>
    <cfRule type="expression" dxfId="2117" priority="207">
      <formula>AND(I$9&gt;=8/24,I$9&lt;14/24)</formula>
    </cfRule>
    <cfRule type="expression" dxfId="2116" priority="208">
      <formula>I$9&lt;8/24</formula>
    </cfRule>
  </conditionalFormatting>
  <conditionalFormatting sqref="AB45:AF45">
    <cfRule type="expression" dxfId="2115" priority="201">
      <formula>AB$9&gt;=20/24</formula>
    </cfRule>
    <cfRule type="expression" dxfId="2114" priority="202">
      <formula>AND(AB$9&gt;=14/24,AB$9&lt;20/24)</formula>
    </cfRule>
    <cfRule type="expression" dxfId="2113" priority="203">
      <formula>AND(AB$9&gt;=8/24,AB$9&lt;14/24)</formula>
    </cfRule>
    <cfRule type="expression" dxfId="2112" priority="204">
      <formula>AB$9&lt;8/24</formula>
    </cfRule>
  </conditionalFormatting>
  <conditionalFormatting sqref="AB45:AF47 AB38:AF38">
    <cfRule type="expression" dxfId="2111" priority="200">
      <formula>AB38&gt;$AG38</formula>
    </cfRule>
  </conditionalFormatting>
  <conditionalFormatting sqref="C88:AF88 M39:R39 X59:AF61 AB64:AF73 C75:AF78 T38:AA38 J92:AF98 I64:AA65 Y25:AF27 Y29:AF29 Y12:AF14 Y18:AF18 Y31:AF34">
    <cfRule type="expression" dxfId="2110" priority="196">
      <formula>C$9&gt;=20/24</formula>
    </cfRule>
    <cfRule type="expression" dxfId="2109" priority="197">
      <formula>AND(C$9&gt;=14/24,C$9&lt;20/24)</formula>
    </cfRule>
    <cfRule type="expression" dxfId="2108" priority="198">
      <formula>AND(C$9&gt;=8/24,C$9&lt;14/24)</formula>
    </cfRule>
    <cfRule type="expression" dxfId="2107" priority="199">
      <formula>C$9&lt;8/24</formula>
    </cfRule>
  </conditionalFormatting>
  <conditionalFormatting sqref="Y35:AF35">
    <cfRule type="expression" dxfId="2106" priority="192">
      <formula>Y$9&gt;=20/24</formula>
    </cfRule>
    <cfRule type="expression" dxfId="2105" priority="193">
      <formula>AND(Y$9&gt;=14/24,Y$9&lt;20/24)</formula>
    </cfRule>
    <cfRule type="expression" dxfId="2104" priority="194">
      <formula>AND(Y$9&gt;=8/24,Y$9&lt;14/24)</formula>
    </cfRule>
    <cfRule type="expression" dxfId="2103" priority="195">
      <formula>Y$9&lt;8/24</formula>
    </cfRule>
  </conditionalFormatting>
  <conditionalFormatting sqref="C57:AF57 M39:R39 X59:AF61 T38:AA38 Y25:AF29 Y31:AF35 AB48:AF49">
    <cfRule type="expression" dxfId="2102" priority="191">
      <formula>C25&gt;$AG25</formula>
    </cfRule>
  </conditionalFormatting>
  <conditionalFormatting sqref="Y37:AF37">
    <cfRule type="expression" dxfId="2101" priority="187">
      <formula>Y$9&gt;=20/24</formula>
    </cfRule>
    <cfRule type="expression" dxfId="2100" priority="188">
      <formula>AND(Y$9&gt;=14/24,Y$9&lt;20/24)</formula>
    </cfRule>
    <cfRule type="expression" dxfId="2099" priority="189">
      <formula>AND(Y$9&gt;=8/24,Y$9&lt;14/24)</formula>
    </cfRule>
    <cfRule type="expression" dxfId="2098" priority="190">
      <formula>Y$9&lt;8/24</formula>
    </cfRule>
  </conditionalFormatting>
  <conditionalFormatting sqref="Y15:AF15">
    <cfRule type="expression" dxfId="2097" priority="183">
      <formula>Y$9&gt;=20/24</formula>
    </cfRule>
    <cfRule type="expression" dxfId="2096" priority="184">
      <formula>AND(Y$9&gt;=14/24,Y$9&lt;20/24)</formula>
    </cfRule>
    <cfRule type="expression" dxfId="2095" priority="185">
      <formula>AND(Y$9&gt;=8/24,Y$9&lt;14/24)</formula>
    </cfRule>
    <cfRule type="expression" dxfId="2094" priority="186">
      <formula>Y$9&lt;8/24</formula>
    </cfRule>
  </conditionalFormatting>
  <conditionalFormatting sqref="Y36:AF36">
    <cfRule type="expression" dxfId="2093" priority="179">
      <formula>Y$9&gt;=20/24</formula>
    </cfRule>
    <cfRule type="expression" dxfId="2092" priority="180">
      <formula>AND(Y$9&gt;=14/24,Y$9&lt;20/24)</formula>
    </cfRule>
    <cfRule type="expression" dxfId="2091" priority="181">
      <formula>AND(Y$9&gt;=8/24,Y$9&lt;14/24)</formula>
    </cfRule>
    <cfRule type="expression" dxfId="2090" priority="182">
      <formula>Y$9&lt;8/24</formula>
    </cfRule>
  </conditionalFormatting>
  <conditionalFormatting sqref="Y36:AF36">
    <cfRule type="expression" dxfId="2089" priority="178">
      <formula>Y36&gt;$AG36</formula>
    </cfRule>
  </conditionalFormatting>
  <conditionalFormatting sqref="AB50:AF56">
    <cfRule type="expression" dxfId="2088" priority="174">
      <formula>AB$9&gt;=20/24</formula>
    </cfRule>
    <cfRule type="expression" dxfId="2087" priority="175">
      <formula>AND(AB$9&gt;=14/24,AB$9&lt;20/24)</formula>
    </cfRule>
    <cfRule type="expression" dxfId="2086" priority="176">
      <formula>AND(AB$9&gt;=8/24,AB$9&lt;14/24)</formula>
    </cfRule>
    <cfRule type="expression" dxfId="2085" priority="177">
      <formula>AB$9&lt;8/24</formula>
    </cfRule>
  </conditionalFormatting>
  <conditionalFormatting sqref="AB50:AF56">
    <cfRule type="expression" dxfId="2084" priority="173">
      <formula>AB50&gt;$AG50</formula>
    </cfRule>
  </conditionalFormatting>
  <conditionalFormatting sqref="Y28:AF28">
    <cfRule type="expression" dxfId="2083" priority="164">
      <formula>Y$9&gt;=20/24</formula>
    </cfRule>
    <cfRule type="expression" dxfId="2082" priority="165">
      <formula>AND(Y$9&gt;=14/24,Y$9&lt;20/24)</formula>
    </cfRule>
    <cfRule type="expression" dxfId="2081" priority="166">
      <formula>AND(Y$9&gt;=8/24,Y$9&lt;14/24)</formula>
    </cfRule>
    <cfRule type="expression" dxfId="2080" priority="167">
      <formula>Y$9&lt;8/24</formula>
    </cfRule>
  </conditionalFormatting>
  <conditionalFormatting sqref="Y19:AF19 Y24:AF24">
    <cfRule type="expression" dxfId="2079" priority="160">
      <formula>Y$9&gt;=20/24</formula>
    </cfRule>
    <cfRule type="expression" dxfId="2078" priority="161">
      <formula>AND(Y$9&gt;=14/24,Y$9&lt;20/24)</formula>
    </cfRule>
    <cfRule type="expression" dxfId="2077" priority="162">
      <formula>AND(Y$9&gt;=8/24,Y$9&lt;14/24)</formula>
    </cfRule>
    <cfRule type="expression" dxfId="2076" priority="163">
      <formula>Y$9&lt;8/24</formula>
    </cfRule>
  </conditionalFormatting>
  <conditionalFormatting sqref="Y19:AF19 Y24:AF24">
    <cfRule type="expression" dxfId="2075" priority="159">
      <formula>Y19&gt;$AG19</formula>
    </cfRule>
  </conditionalFormatting>
  <conditionalFormatting sqref="D45:AA45">
    <cfRule type="expression" dxfId="2074" priority="155">
      <formula>D$9&gt;=20/24</formula>
    </cfRule>
    <cfRule type="expression" dxfId="2073" priority="156">
      <formula>AND(D$9&gt;=14/24,D$9&lt;20/24)</formula>
    </cfRule>
    <cfRule type="expression" dxfId="2072" priority="157">
      <formula>AND(D$9&gt;=8/24,D$9&lt;14/24)</formula>
    </cfRule>
    <cfRule type="expression" dxfId="2071" priority="158">
      <formula>D$9&lt;8/24</formula>
    </cfRule>
  </conditionalFormatting>
  <conditionalFormatting sqref="D45:AA45">
    <cfRule type="expression" dxfId="2070" priority="154">
      <formula>D45&gt;$AG45</formula>
    </cfRule>
  </conditionalFormatting>
  <conditionalFormatting sqref="B101 B80:AF80 B89:AF89 B103:B108 B11:X11">
    <cfRule type="expression" dxfId="2069" priority="141">
      <formula>B$9&gt;=20/24</formula>
    </cfRule>
    <cfRule type="expression" dxfId="2068" priority="142">
      <formula>AND(B$9&gt;=14/24,B$9&lt;20/24)</formula>
    </cfRule>
    <cfRule type="expression" dxfId="2067" priority="143">
      <formula>AND(B$9&gt;=8/24,B$9&lt;14/24)</formula>
    </cfRule>
    <cfRule type="expression" dxfId="2066" priority="144">
      <formula>B$9&lt;8/24</formula>
    </cfRule>
  </conditionalFormatting>
  <conditionalFormatting sqref="B39:L39">
    <cfRule type="expression" dxfId="2065" priority="137">
      <formula>B$9&gt;=20/24</formula>
    </cfRule>
    <cfRule type="expression" dxfId="2064" priority="138">
      <formula>AND(B$9&gt;=14/24,B$9&lt;20/24)</formula>
    </cfRule>
    <cfRule type="expression" dxfId="2063" priority="139">
      <formula>AND(B$9&gt;=8/24,B$9&lt;14/24)</formula>
    </cfRule>
    <cfRule type="expression" dxfId="2062" priority="140">
      <formula>B$9&lt;8/24</formula>
    </cfRule>
  </conditionalFormatting>
  <conditionalFormatting sqref="B39:L39 B11:X11">
    <cfRule type="expression" dxfId="2061" priority="136">
      <formula>B11&gt;$AG11</formula>
    </cfRule>
  </conditionalFormatting>
  <conditionalFormatting sqref="B91:I91">
    <cfRule type="expression" dxfId="2060" priority="132">
      <formula>B$9&gt;=20/24</formula>
    </cfRule>
    <cfRule type="expression" dxfId="2059" priority="133">
      <formula>AND(B$9&gt;=14/24,B$9&lt;20/24)</formula>
    </cfRule>
    <cfRule type="expression" dxfId="2058" priority="134">
      <formula>AND(B$9&gt;=8/24,B$9&lt;14/24)</formula>
    </cfRule>
    <cfRule type="expression" dxfId="2057" priority="135">
      <formula>B$9&lt;8/24</formula>
    </cfRule>
  </conditionalFormatting>
  <conditionalFormatting sqref="B63:H63 B38:S38 B46:AA47">
    <cfRule type="expression" dxfId="2056" priority="128">
      <formula>B$9&gt;=20/24</formula>
    </cfRule>
    <cfRule type="expression" dxfId="2055" priority="129">
      <formula>AND(B$9&gt;=14/24,B$9&lt;20/24)</formula>
    </cfRule>
    <cfRule type="expression" dxfId="2054" priority="130">
      <formula>AND(B$9&gt;=8/24,B$9&lt;14/24)</formula>
    </cfRule>
    <cfRule type="expression" dxfId="2053" priority="131">
      <formula>B$9&lt;8/24</formula>
    </cfRule>
  </conditionalFormatting>
  <conditionalFormatting sqref="B45:C45">
    <cfRule type="expression" dxfId="2052" priority="124">
      <formula>B$9&gt;=20/24</formula>
    </cfRule>
    <cfRule type="expression" dxfId="2051" priority="125">
      <formula>AND(B$9&gt;=14/24,B$9&lt;20/24)</formula>
    </cfRule>
    <cfRule type="expression" dxfId="2050" priority="126">
      <formula>AND(B$9&gt;=8/24,B$9&lt;14/24)</formula>
    </cfRule>
    <cfRule type="expression" dxfId="2049" priority="127">
      <formula>B$9&lt;8/24</formula>
    </cfRule>
  </conditionalFormatting>
  <conditionalFormatting sqref="B45:C47 B38:S38 D46:AA47">
    <cfRule type="expression" dxfId="2048" priority="123">
      <formula>B38&gt;$AG38</formula>
    </cfRule>
  </conditionalFormatting>
  <conditionalFormatting sqref="B59:B62 B75:B79 B81:AF81 B88 C62:AG62 C79:AG79 B90:AF90 B64:H73 B92:I98 C59:W61 B12:X14 B18:X18 B29:X29 B31:X34 B25:X27 I66:AA73">
    <cfRule type="expression" dxfId="2047" priority="119">
      <formula>B$9&gt;=20/24</formula>
    </cfRule>
    <cfRule type="expression" dxfId="2046" priority="120">
      <formula>AND(B$9&gt;=14/24,B$9&lt;20/24)</formula>
    </cfRule>
    <cfRule type="expression" dxfId="2045" priority="121">
      <formula>AND(B$9&gt;=8/24,B$9&lt;14/24)</formula>
    </cfRule>
    <cfRule type="expression" dxfId="2044" priority="122">
      <formula>B$9&lt;8/24</formula>
    </cfRule>
  </conditionalFormatting>
  <conditionalFormatting sqref="B35:X35">
    <cfRule type="expression" dxfId="2043" priority="115">
      <formula>B$9&gt;=20/24</formula>
    </cfRule>
    <cfRule type="expression" dxfId="2042" priority="116">
      <formula>AND(B$9&gt;=14/24,B$9&lt;20/24)</formula>
    </cfRule>
    <cfRule type="expression" dxfId="2041" priority="117">
      <formula>AND(B$9&gt;=8/24,B$9&lt;14/24)</formula>
    </cfRule>
    <cfRule type="expression" dxfId="2040" priority="118">
      <formula>B$9&lt;8/24</formula>
    </cfRule>
  </conditionalFormatting>
  <conditionalFormatting sqref="B57:B62 B40:AG40 C58:AG58 C62:AG62 C59:W61 B25:X29 B31:X35 B48:AA49">
    <cfRule type="expression" dxfId="2039" priority="114">
      <formula>B25&gt;$AG25</formula>
    </cfRule>
  </conditionalFormatting>
  <conditionalFormatting sqref="B37:X37">
    <cfRule type="expression" dxfId="2038" priority="110">
      <formula>B$9&gt;=20/24</formula>
    </cfRule>
    <cfRule type="expression" dxfId="2037" priority="111">
      <formula>AND(B$9&gt;=14/24,B$9&lt;20/24)</formula>
    </cfRule>
    <cfRule type="expression" dxfId="2036" priority="112">
      <formula>AND(B$9&gt;=8/24,B$9&lt;14/24)</formula>
    </cfRule>
    <cfRule type="expression" dxfId="2035" priority="113">
      <formula>B$9&lt;8/24</formula>
    </cfRule>
  </conditionalFormatting>
  <conditionalFormatting sqref="B15:X15">
    <cfRule type="expression" dxfId="2034" priority="106">
      <formula>B$9&gt;=20/24</formula>
    </cfRule>
    <cfRule type="expression" dxfId="2033" priority="107">
      <formula>AND(B$9&gt;=14/24,B$9&lt;20/24)</formula>
    </cfRule>
    <cfRule type="expression" dxfId="2032" priority="108">
      <formula>AND(B$9&gt;=8/24,B$9&lt;14/24)</formula>
    </cfRule>
    <cfRule type="expression" dxfId="2031" priority="109">
      <formula>B$9&lt;8/24</formula>
    </cfRule>
  </conditionalFormatting>
  <conditionalFormatting sqref="B36:X36">
    <cfRule type="expression" dxfId="2030" priority="102">
      <formula>B$9&gt;=20/24</formula>
    </cfRule>
    <cfRule type="expression" dxfId="2029" priority="103">
      <formula>AND(B$9&gt;=14/24,B$9&lt;20/24)</formula>
    </cfRule>
    <cfRule type="expression" dxfId="2028" priority="104">
      <formula>AND(B$9&gt;=8/24,B$9&lt;14/24)</formula>
    </cfRule>
    <cfRule type="expression" dxfId="2027" priority="105">
      <formula>B$9&lt;8/24</formula>
    </cfRule>
  </conditionalFormatting>
  <conditionalFormatting sqref="B36:X36">
    <cfRule type="expression" dxfId="2026" priority="101">
      <formula>B36&gt;$AG36</formula>
    </cfRule>
  </conditionalFormatting>
  <conditionalFormatting sqref="B50:AA56">
    <cfRule type="expression" dxfId="2025" priority="97">
      <formula>B$9&gt;=20/24</formula>
    </cfRule>
    <cfRule type="expression" dxfId="2024" priority="98">
      <formula>AND(B$9&gt;=14/24,B$9&lt;20/24)</formula>
    </cfRule>
    <cfRule type="expression" dxfId="2023" priority="99">
      <formula>AND(B$9&gt;=8/24,B$9&lt;14/24)</formula>
    </cfRule>
    <cfRule type="expression" dxfId="2022" priority="100">
      <formula>B$9&lt;8/24</formula>
    </cfRule>
  </conditionalFormatting>
  <conditionalFormatting sqref="B50:AA56">
    <cfRule type="expression" dxfId="2021" priority="96">
      <formula>B50&gt;$AG50</formula>
    </cfRule>
  </conditionalFormatting>
  <conditionalFormatting sqref="B28:X28">
    <cfRule type="expression" dxfId="2020" priority="92">
      <formula>B$9&gt;=20/24</formula>
    </cfRule>
    <cfRule type="expression" dxfId="2019" priority="93">
      <formula>AND(B$9&gt;=14/24,B$9&lt;20/24)</formula>
    </cfRule>
    <cfRule type="expression" dxfId="2018" priority="94">
      <formula>AND(B$9&gt;=8/24,B$9&lt;14/24)</formula>
    </cfRule>
    <cfRule type="expression" dxfId="2017" priority="95">
      <formula>B$9&lt;8/24</formula>
    </cfRule>
  </conditionalFormatting>
  <conditionalFormatting sqref="B19:X19 B24:X24">
    <cfRule type="expression" dxfId="2016" priority="88">
      <formula>B$9&gt;=20/24</formula>
    </cfRule>
    <cfRule type="expression" dxfId="2015" priority="89">
      <formula>AND(B$9&gt;=14/24,B$9&lt;20/24)</formula>
    </cfRule>
    <cfRule type="expression" dxfId="2014" priority="90">
      <formula>AND(B$9&gt;=8/24,B$9&lt;14/24)</formula>
    </cfRule>
    <cfRule type="expression" dxfId="2013" priority="91">
      <formula>B$9&lt;8/24</formula>
    </cfRule>
  </conditionalFormatting>
  <conditionalFormatting sqref="B19:X19 B24:X24">
    <cfRule type="expression" dxfId="2012" priority="87">
      <formula>B19&gt;$AG19</formula>
    </cfRule>
  </conditionalFormatting>
  <conditionalFormatting sqref="A36">
    <cfRule type="expression" dxfId="2011" priority="86">
      <formula>$AH36=0</formula>
    </cfRule>
  </conditionalFormatting>
  <conditionalFormatting sqref="B74:AF74">
    <cfRule type="expression" dxfId="2010" priority="82">
      <formula>B$9&gt;=20/24</formula>
    </cfRule>
    <cfRule type="expression" dxfId="2009" priority="83">
      <formula>AND(B$9&gt;=14/24,B$9&lt;20/24)</formula>
    </cfRule>
    <cfRule type="expression" dxfId="2008" priority="84">
      <formula>AND(B$9&gt;=8/24,B$9&lt;14/24)</formula>
    </cfRule>
    <cfRule type="expression" dxfId="2007" priority="85">
      <formula>B$9&lt;8/24</formula>
    </cfRule>
  </conditionalFormatting>
  <conditionalFormatting sqref="B83:AF87">
    <cfRule type="expression" dxfId="2006" priority="78">
      <formula>B$9&gt;=20/24</formula>
    </cfRule>
    <cfRule type="expression" dxfId="2005" priority="79">
      <formula>AND(B$9&gt;=14/24,B$9&lt;20/24)</formula>
    </cfRule>
    <cfRule type="expression" dxfId="2004" priority="80">
      <formula>AND(B$9&gt;=8/24,B$9&lt;14/24)</formula>
    </cfRule>
    <cfRule type="expression" dxfId="2003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M41:AF43">
    <cfRule type="expression" dxfId="2002" priority="74">
      <formula>M$9&gt;=20/24</formula>
    </cfRule>
    <cfRule type="expression" dxfId="2001" priority="75">
      <formula>AND(M$9&gt;=14/24,M$9&lt;20/24)</formula>
    </cfRule>
    <cfRule type="expression" dxfId="2000" priority="76">
      <formula>AND(M$9&gt;=8/24,M$9&lt;14/24)</formula>
    </cfRule>
    <cfRule type="expression" dxfId="1999" priority="77">
      <formula>M$9&lt;8/24</formula>
    </cfRule>
  </conditionalFormatting>
  <conditionalFormatting sqref="M41:AF43">
    <cfRule type="expression" dxfId="1998" priority="73">
      <formula>M41&gt;$AG41</formula>
    </cfRule>
  </conditionalFormatting>
  <conditionalFormatting sqref="B41:B44 C44:AG44 C41:L43">
    <cfRule type="expression" dxfId="1997" priority="69">
      <formula>B$9&gt;=20/24</formula>
    </cfRule>
    <cfRule type="expression" dxfId="1996" priority="70">
      <formula>AND(B$9&gt;=14/24,B$9&lt;20/24)</formula>
    </cfRule>
    <cfRule type="expression" dxfId="1995" priority="71">
      <formula>AND(B$9&gt;=8/24,B$9&lt;14/24)</formula>
    </cfRule>
    <cfRule type="expression" dxfId="1994" priority="72">
      <formula>B$9&lt;8/24</formula>
    </cfRule>
  </conditionalFormatting>
  <conditionalFormatting sqref="B41:B44 C44:AG44 C41:L43">
    <cfRule type="expression" dxfId="1993" priority="68">
      <formula>B41&gt;$AG41</formula>
    </cfRule>
  </conditionalFormatting>
  <conditionalFormatting sqref="C99:AF99">
    <cfRule type="expression" dxfId="1992" priority="64">
      <formula>C$9&gt;=20/24</formula>
    </cfRule>
    <cfRule type="expression" dxfId="1991" priority="65">
      <formula>AND(C$9&gt;=14/24,C$9&lt;20/24)</formula>
    </cfRule>
    <cfRule type="expression" dxfId="1990" priority="66">
      <formula>AND(C$9&gt;=8/24,C$9&lt;14/24)</formula>
    </cfRule>
    <cfRule type="expression" dxfId="1989" priority="67">
      <formula>C$9&lt;8/24</formula>
    </cfRule>
  </conditionalFormatting>
  <conditionalFormatting sqref="B99">
    <cfRule type="expression" dxfId="1988" priority="60">
      <formula>B$9&gt;=20/24</formula>
    </cfRule>
    <cfRule type="expression" dxfId="1987" priority="61">
      <formula>AND(B$9&gt;=14/24,B$9&lt;20/24)</formula>
    </cfRule>
    <cfRule type="expression" dxfId="1986" priority="62">
      <formula>AND(B$9&gt;=8/24,B$9&lt;14/24)</formula>
    </cfRule>
    <cfRule type="expression" dxfId="1985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1984" priority="54">
      <formula>$AH33=0</formula>
    </cfRule>
  </conditionalFormatting>
  <conditionalFormatting sqref="A82">
    <cfRule type="expression" dxfId="1983" priority="52">
      <formula>$AH82=0</formula>
    </cfRule>
  </conditionalFormatting>
  <conditionalFormatting sqref="A79">
    <cfRule type="expression" dxfId="1982" priority="53">
      <formula>$AH79=0</formula>
    </cfRule>
  </conditionalFormatting>
  <conditionalFormatting sqref="A109">
    <cfRule type="expression" dxfId="1981" priority="43">
      <formula>$AH109=0</formula>
    </cfRule>
  </conditionalFormatting>
  <conditionalFormatting sqref="C102:AF102">
    <cfRule type="expression" dxfId="1980" priority="39">
      <formula>C$9&gt;=20/24</formula>
    </cfRule>
    <cfRule type="expression" dxfId="1979" priority="40">
      <formula>AND(C$9&gt;=14/24,C$9&lt;20/24)</formula>
    </cfRule>
    <cfRule type="expression" dxfId="1978" priority="41">
      <formula>AND(C$9&gt;=8/24,C$9&lt;14/24)</formula>
    </cfRule>
    <cfRule type="expression" dxfId="1977" priority="42">
      <formula>C$9&lt;8/24</formula>
    </cfRule>
  </conditionalFormatting>
  <conditionalFormatting sqref="A102">
    <cfRule type="expression" dxfId="1976" priority="38">
      <formula>$AH102=0</formula>
    </cfRule>
  </conditionalFormatting>
  <conditionalFormatting sqref="B102">
    <cfRule type="expression" dxfId="1975" priority="34">
      <formula>B$9&gt;=20/24</formula>
    </cfRule>
    <cfRule type="expression" dxfId="1974" priority="35">
      <formula>AND(B$9&gt;=14/24,B$9&lt;20/24)</formula>
    </cfRule>
    <cfRule type="expression" dxfId="1973" priority="36">
      <formula>AND(B$9&gt;=8/24,B$9&lt;14/24)</formula>
    </cfRule>
    <cfRule type="expression" dxfId="1972" priority="37">
      <formula>B$9&lt;8/24</formula>
    </cfRule>
  </conditionalFormatting>
  <conditionalFormatting sqref="B17:AF17">
    <cfRule type="expression" dxfId="1971" priority="27">
      <formula>B17&gt;$AG17</formula>
    </cfRule>
  </conditionalFormatting>
  <conditionalFormatting sqref="A17">
    <cfRule type="expression" dxfId="1970" priority="26">
      <formula>$AH17=0</formula>
    </cfRule>
  </conditionalFormatting>
  <conditionalFormatting sqref="Y17:AF17">
    <cfRule type="expression" dxfId="1969" priority="22">
      <formula>Y$9&gt;=20/24</formula>
    </cfRule>
    <cfRule type="expression" dxfId="1968" priority="23">
      <formula>AND(Y$9&gt;=14/24,Y$9&lt;20/24)</formula>
    </cfRule>
    <cfRule type="expression" dxfId="1967" priority="24">
      <formula>AND(Y$9&gt;=8/24,Y$9&lt;14/24)</formula>
    </cfRule>
    <cfRule type="expression" dxfId="1966" priority="25">
      <formula>Y$9&lt;8/24</formula>
    </cfRule>
  </conditionalFormatting>
  <conditionalFormatting sqref="B17:X17">
    <cfRule type="expression" dxfId="1965" priority="18">
      <formula>B$9&gt;=20/24</formula>
    </cfRule>
    <cfRule type="expression" dxfId="1964" priority="19">
      <formula>AND(B$9&gt;=14/24,B$9&lt;20/24)</formula>
    </cfRule>
    <cfRule type="expression" dxfId="1963" priority="20">
      <formula>AND(B$9&gt;=8/24,B$9&lt;14/24)</formula>
    </cfRule>
    <cfRule type="expression" dxfId="1962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1961" priority="16">
      <formula>$AH30=0</formula>
    </cfRule>
  </conditionalFormatting>
  <conditionalFormatting sqref="Y30:AF30">
    <cfRule type="expression" dxfId="1960" priority="12">
      <formula>Y$9&gt;=20/24</formula>
    </cfRule>
    <cfRule type="expression" dxfId="1959" priority="13">
      <formula>AND(Y$9&gt;=14/24,Y$9&lt;20/24)</formula>
    </cfRule>
    <cfRule type="expression" dxfId="1958" priority="14">
      <formula>AND(Y$9&gt;=8/24,Y$9&lt;14/24)</formula>
    </cfRule>
    <cfRule type="expression" dxfId="1957" priority="15">
      <formula>Y$9&lt;8/24</formula>
    </cfRule>
  </conditionalFormatting>
  <conditionalFormatting sqref="Y30:AF30">
    <cfRule type="expression" dxfId="1956" priority="11">
      <formula>Y30&gt;$AG30</formula>
    </cfRule>
  </conditionalFormatting>
  <conditionalFormatting sqref="B30:X30">
    <cfRule type="expression" dxfId="1955" priority="2">
      <formula>B$9&gt;=20/24</formula>
    </cfRule>
    <cfRule type="expression" dxfId="1954" priority="3">
      <formula>AND(B$9&gt;=14/24,B$9&lt;20/24)</formula>
    </cfRule>
    <cfRule type="expression" dxfId="1953" priority="4">
      <formula>AND(B$9&gt;=8/24,B$9&lt;14/24)</formula>
    </cfRule>
    <cfRule type="expression" dxfId="1952" priority="5">
      <formula>B$9&lt;8/24</formula>
    </cfRule>
  </conditionalFormatting>
  <conditionalFormatting sqref="B30:X30">
    <cfRule type="expression" dxfId="1951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66B8298B-1BD2-4162-A2F6-2894155F33F0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0F7FAA8F-A3D6-4DF8-A709-90F37B304CA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4D9545AB-1BB0-457E-8740-1165DF17C9F3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1A8800D7-05AB-47EC-B954-8CA1370C490F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A54B3B30-DCA0-4B33-89F3-6135F646F94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4A7A49A8-63F7-48BA-9B67-6D3BD10F180C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E6FE54A3-61F7-4B47-A4F6-CE3CDAEC6124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99C9E73D-176F-40AF-BDDE-7392C34EC6C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600C6D5F-9A8F-43D5-8775-796F87C95A1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1BA943F8-305E-4271-9FA8-70D7908C84F0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43693C3E-87BF-4095-8A1E-191C11D3BB77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E9444559-84C2-4D28-8F24-32D9196E6F21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J270"/>
  <sheetViews>
    <sheetView zoomScale="90" zoomScaleNormal="90" workbookViewId="0">
      <pane xSplit="1" ySplit="10" topLeftCell="B94" activePane="bottomRight" state="frozen"/>
      <selection activeCell="AF88" sqref="AF88"/>
      <selection pane="topRight" activeCell="AF88" sqref="AF88"/>
      <selection pane="bottomLeft" activeCell="AF88" sqref="AF88"/>
      <selection pane="bottomRight" activeCell="AH11" sqref="AH11:AI10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2079/06/30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52.7</v>
      </c>
      <c r="V5" s="148">
        <f t="shared" si="0"/>
        <v>52.7</v>
      </c>
      <c r="W5" s="148">
        <f t="shared" si="0"/>
        <v>56</v>
      </c>
      <c r="X5" s="148">
        <f t="shared" si="0"/>
        <v>71.099999999999994</v>
      </c>
      <c r="Y5" s="148">
        <f t="shared" si="0"/>
        <v>72.3</v>
      </c>
      <c r="Z5" s="148">
        <f t="shared" si="0"/>
        <v>68</v>
      </c>
      <c r="AA5" s="148">
        <f t="shared" si="0"/>
        <v>14</v>
      </c>
      <c r="AB5" s="148">
        <f t="shared" si="0"/>
        <v>0</v>
      </c>
      <c r="AC5" s="148">
        <f t="shared" si="0"/>
        <v>0</v>
      </c>
      <c r="AD5" s="148">
        <f t="shared" si="0"/>
        <v>55</v>
      </c>
      <c r="AE5" s="148">
        <f t="shared" si="0"/>
        <v>0</v>
      </c>
      <c r="AF5" s="148">
        <f>B74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1652MW at 9:00hr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Load=460</v>
      </c>
      <c r="B7" s="137">
        <f t="shared" ref="B7:AF7" si="1">B81</f>
        <v>1482.74</v>
      </c>
      <c r="C7" s="137">
        <f t="shared" si="1"/>
        <v>1464.1399999999999</v>
      </c>
      <c r="D7" s="137">
        <f t="shared" si="1"/>
        <v>1476.34</v>
      </c>
      <c r="E7" s="137">
        <f t="shared" si="1"/>
        <v>1425.54</v>
      </c>
      <c r="F7" s="137">
        <f t="shared" si="1"/>
        <v>1445.54</v>
      </c>
      <c r="G7" s="137">
        <f t="shared" si="1"/>
        <v>1415.54</v>
      </c>
      <c r="H7" s="137">
        <f t="shared" si="1"/>
        <v>1414.6399999999999</v>
      </c>
      <c r="I7" s="137">
        <f t="shared" si="1"/>
        <v>1464.6399999999999</v>
      </c>
      <c r="J7" s="137">
        <f t="shared" si="1"/>
        <v>1464.6399999999999</v>
      </c>
      <c r="K7" s="137">
        <f t="shared" si="1"/>
        <v>1552.34</v>
      </c>
      <c r="L7" s="137">
        <f t="shared" si="1"/>
        <v>1608.74</v>
      </c>
      <c r="M7" s="137">
        <f t="shared" si="1"/>
        <v>1633.8400000000001</v>
      </c>
      <c r="N7" s="137">
        <f t="shared" si="1"/>
        <v>1651.94</v>
      </c>
      <c r="O7" s="137">
        <f t="shared" si="1"/>
        <v>1603.54</v>
      </c>
      <c r="P7" s="137">
        <f t="shared" si="1"/>
        <v>1608.6399999999999</v>
      </c>
      <c r="Q7" s="137">
        <f t="shared" si="1"/>
        <v>1583.44</v>
      </c>
      <c r="R7" s="137">
        <f t="shared" si="1"/>
        <v>1587.7400000000002</v>
      </c>
      <c r="S7" s="137">
        <f t="shared" si="1"/>
        <v>1464.3400000000001</v>
      </c>
      <c r="T7" s="137">
        <f t="shared" si="1"/>
        <v>1607.64</v>
      </c>
      <c r="U7" s="137">
        <f t="shared" si="1"/>
        <v>1631.64</v>
      </c>
      <c r="V7" s="137">
        <f t="shared" si="1"/>
        <v>1705.74</v>
      </c>
      <c r="W7" s="137">
        <f t="shared" si="1"/>
        <v>1706.74</v>
      </c>
      <c r="X7" s="137">
        <f t="shared" si="1"/>
        <v>1730.04</v>
      </c>
      <c r="Y7" s="137">
        <f t="shared" si="1"/>
        <v>1753.04</v>
      </c>
      <c r="Z7" s="137">
        <f t="shared" si="1"/>
        <v>1754.24</v>
      </c>
      <c r="AA7" s="137">
        <f t="shared" si="1"/>
        <v>1749.94</v>
      </c>
      <c r="AB7" s="137">
        <f t="shared" si="1"/>
        <v>1695.94</v>
      </c>
      <c r="AC7" s="137">
        <f t="shared" si="1"/>
        <v>1681.94</v>
      </c>
      <c r="AD7" s="137">
        <f t="shared" si="1"/>
        <v>459.54</v>
      </c>
      <c r="AE7" s="137">
        <f t="shared" si="1"/>
        <v>1527.14</v>
      </c>
      <c r="AF7" s="137">
        <f t="shared" si="1"/>
        <v>1580.74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52.1</v>
      </c>
      <c r="C11" s="105">
        <v>52.1</v>
      </c>
      <c r="D11" s="105">
        <v>52.1</v>
      </c>
      <c r="E11" s="105">
        <v>52.1</v>
      </c>
      <c r="F11" s="105">
        <v>52.1</v>
      </c>
      <c r="G11" s="105">
        <v>52.1</v>
      </c>
      <c r="H11" s="105">
        <v>52.1</v>
      </c>
      <c r="I11" s="105">
        <v>52.1</v>
      </c>
      <c r="J11" s="105">
        <v>52.1</v>
      </c>
      <c r="K11" s="105">
        <v>52.1</v>
      </c>
      <c r="L11" s="105">
        <v>52.1</v>
      </c>
      <c r="M11" s="105">
        <v>52.1</v>
      </c>
      <c r="N11" s="105">
        <v>52.1</v>
      </c>
      <c r="O11" s="105">
        <v>52.1</v>
      </c>
      <c r="P11" s="105">
        <v>52.1</v>
      </c>
      <c r="Q11" s="105">
        <v>52.1</v>
      </c>
      <c r="R11" s="105">
        <v>52.1</v>
      </c>
      <c r="S11" s="105">
        <v>52.1</v>
      </c>
      <c r="T11" s="105">
        <v>52.1</v>
      </c>
      <c r="U11" s="105">
        <v>52.1</v>
      </c>
      <c r="V11" s="105">
        <v>52.1</v>
      </c>
      <c r="W11" s="105">
        <v>52.1</v>
      </c>
      <c r="X11" s="105">
        <v>52.1</v>
      </c>
      <c r="Y11" s="128">
        <v>52.1</v>
      </c>
      <c r="Z11" s="128">
        <v>52.1</v>
      </c>
      <c r="AA11" s="128">
        <v>52.1</v>
      </c>
      <c r="AB11" s="128">
        <v>52.1</v>
      </c>
      <c r="AC11" s="128">
        <v>52.1</v>
      </c>
      <c r="AD11" s="128"/>
      <c r="AE11" s="128">
        <v>52.1</v>
      </c>
      <c r="AF11" s="128">
        <v>52.1</v>
      </c>
      <c r="AG11" s="127">
        <v>52.4</v>
      </c>
      <c r="AH11" s="20">
        <f>MAX(B11:AF11)</f>
        <v>52.1</v>
      </c>
      <c r="AI11" s="19">
        <f>MIN(B11:AF11)</f>
        <v>52.1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50.5</v>
      </c>
      <c r="C12" s="105">
        <v>50.5</v>
      </c>
      <c r="D12" s="105">
        <v>50.5</v>
      </c>
      <c r="E12" s="105">
        <v>50.5</v>
      </c>
      <c r="F12" s="105">
        <v>50.5</v>
      </c>
      <c r="G12" s="105">
        <v>50.5</v>
      </c>
      <c r="H12" s="105">
        <v>50.5</v>
      </c>
      <c r="I12" s="105">
        <v>50.5</v>
      </c>
      <c r="J12" s="105">
        <v>50.5</v>
      </c>
      <c r="K12" s="105">
        <v>50.5</v>
      </c>
      <c r="L12" s="105">
        <v>50.5</v>
      </c>
      <c r="M12" s="105">
        <v>50.5</v>
      </c>
      <c r="N12" s="105">
        <v>50.5</v>
      </c>
      <c r="O12" s="105">
        <v>50.5</v>
      </c>
      <c r="P12" s="105">
        <v>50.5</v>
      </c>
      <c r="Q12" s="105">
        <v>50.5</v>
      </c>
      <c r="R12" s="105">
        <v>50.5</v>
      </c>
      <c r="S12" s="105">
        <v>50.5</v>
      </c>
      <c r="T12" s="105">
        <v>50.5</v>
      </c>
      <c r="U12" s="105">
        <v>50.5</v>
      </c>
      <c r="V12" s="105">
        <v>50.5</v>
      </c>
      <c r="W12" s="105">
        <v>50.5</v>
      </c>
      <c r="X12" s="105">
        <v>50.5</v>
      </c>
      <c r="Y12" s="105">
        <v>50.5</v>
      </c>
      <c r="Z12" s="105">
        <v>50.5</v>
      </c>
      <c r="AA12" s="105">
        <v>50.5</v>
      </c>
      <c r="AB12" s="105">
        <v>50.5</v>
      </c>
      <c r="AC12" s="105">
        <v>50.5</v>
      </c>
      <c r="AD12" s="105"/>
      <c r="AE12" s="105">
        <v>50.5</v>
      </c>
      <c r="AF12" s="105">
        <v>50.5</v>
      </c>
      <c r="AG12" s="126">
        <v>50</v>
      </c>
      <c r="AH12" s="20">
        <f t="shared" ref="AH12:AH75" si="2">MAX(B12:AF12)</f>
        <v>50.5</v>
      </c>
      <c r="AI12" s="19">
        <f t="shared" ref="AI12:AI75" si="3">MIN(B12:AF12)</f>
        <v>50.5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37.1</v>
      </c>
      <c r="C13" s="105">
        <v>37.1</v>
      </c>
      <c r="D13" s="105">
        <v>37.1</v>
      </c>
      <c r="E13" s="105">
        <v>37.1</v>
      </c>
      <c r="F13" s="105">
        <v>37.1</v>
      </c>
      <c r="G13" s="105">
        <v>37.1</v>
      </c>
      <c r="H13" s="105">
        <v>37.1</v>
      </c>
      <c r="I13" s="105">
        <v>37.1</v>
      </c>
      <c r="J13" s="105">
        <v>37.1</v>
      </c>
      <c r="K13" s="105">
        <v>37.1</v>
      </c>
      <c r="L13" s="105">
        <v>37.1</v>
      </c>
      <c r="M13" s="105">
        <v>37.1</v>
      </c>
      <c r="N13" s="105">
        <v>46</v>
      </c>
      <c r="O13" s="105">
        <v>46</v>
      </c>
      <c r="P13" s="105">
        <v>46</v>
      </c>
      <c r="Q13" s="105">
        <v>46</v>
      </c>
      <c r="R13" s="105">
        <v>46</v>
      </c>
      <c r="S13" s="105">
        <v>46</v>
      </c>
      <c r="T13" s="105">
        <v>46</v>
      </c>
      <c r="U13" s="105">
        <v>46</v>
      </c>
      <c r="V13" s="105">
        <v>46</v>
      </c>
      <c r="W13" s="105">
        <v>46</v>
      </c>
      <c r="X13" s="105">
        <v>46</v>
      </c>
      <c r="Y13" s="105">
        <v>46</v>
      </c>
      <c r="Z13" s="105">
        <v>46</v>
      </c>
      <c r="AA13" s="105">
        <v>46</v>
      </c>
      <c r="AB13" s="105">
        <v>46</v>
      </c>
      <c r="AC13" s="105">
        <v>46</v>
      </c>
      <c r="AD13" s="105"/>
      <c r="AE13" s="105">
        <v>46</v>
      </c>
      <c r="AF13" s="105">
        <v>46</v>
      </c>
      <c r="AG13" s="126">
        <v>45</v>
      </c>
      <c r="AH13" s="20">
        <f t="shared" si="2"/>
        <v>46</v>
      </c>
      <c r="AI13" s="19">
        <f t="shared" si="3"/>
        <v>37.1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20</v>
      </c>
      <c r="C14" s="105">
        <v>20</v>
      </c>
      <c r="D14" s="105">
        <v>20</v>
      </c>
      <c r="E14" s="105">
        <v>20</v>
      </c>
      <c r="F14" s="105">
        <v>20</v>
      </c>
      <c r="G14" s="105">
        <v>20</v>
      </c>
      <c r="H14" s="105">
        <v>20</v>
      </c>
      <c r="I14" s="105">
        <v>20</v>
      </c>
      <c r="J14" s="105">
        <v>20</v>
      </c>
      <c r="K14" s="105">
        <v>20</v>
      </c>
      <c r="L14" s="105">
        <v>28</v>
      </c>
      <c r="M14" s="105">
        <v>28</v>
      </c>
      <c r="N14" s="105">
        <v>28</v>
      </c>
      <c r="O14" s="105">
        <v>28</v>
      </c>
      <c r="P14" s="105">
        <v>28</v>
      </c>
      <c r="Q14" s="105">
        <v>28</v>
      </c>
      <c r="R14" s="105">
        <v>28</v>
      </c>
      <c r="S14" s="105">
        <v>28</v>
      </c>
      <c r="T14" s="105">
        <v>28</v>
      </c>
      <c r="U14" s="105">
        <v>28</v>
      </c>
      <c r="V14" s="105">
        <v>28</v>
      </c>
      <c r="W14" s="105">
        <v>28</v>
      </c>
      <c r="X14" s="105">
        <v>28</v>
      </c>
      <c r="Y14" s="105">
        <v>28</v>
      </c>
      <c r="Z14" s="105">
        <v>28</v>
      </c>
      <c r="AA14" s="105">
        <v>28</v>
      </c>
      <c r="AB14" s="105">
        <v>28</v>
      </c>
      <c r="AC14" s="105">
        <v>28</v>
      </c>
      <c r="AD14" s="105"/>
      <c r="AE14" s="105">
        <v>0</v>
      </c>
      <c r="AF14" s="105">
        <v>20</v>
      </c>
      <c r="AG14" s="126">
        <v>42</v>
      </c>
      <c r="AH14" s="20">
        <f t="shared" si="2"/>
        <v>28</v>
      </c>
      <c r="AI14" s="19">
        <f t="shared" si="3"/>
        <v>0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0</v>
      </c>
      <c r="K15" s="105">
        <v>0</v>
      </c>
      <c r="L15" s="105">
        <v>10</v>
      </c>
      <c r="M15" s="105">
        <v>20.3</v>
      </c>
      <c r="N15" s="105">
        <v>20.3</v>
      </c>
      <c r="O15" s="105">
        <v>14.9</v>
      </c>
      <c r="P15" s="105">
        <v>14.9</v>
      </c>
      <c r="Q15" s="105">
        <v>14.9</v>
      </c>
      <c r="R15" s="105">
        <v>20</v>
      </c>
      <c r="S15" s="105">
        <v>20</v>
      </c>
      <c r="T15" s="105">
        <v>30</v>
      </c>
      <c r="U15" s="105">
        <v>20</v>
      </c>
      <c r="V15" s="105">
        <v>15</v>
      </c>
      <c r="W15" s="105">
        <v>15</v>
      </c>
      <c r="X15" s="105">
        <v>25</v>
      </c>
      <c r="Y15" s="105">
        <v>25</v>
      </c>
      <c r="Z15" s="105">
        <v>25</v>
      </c>
      <c r="AA15" s="105">
        <v>25</v>
      </c>
      <c r="AB15" s="105">
        <v>25</v>
      </c>
      <c r="AC15" s="105">
        <v>25</v>
      </c>
      <c r="AD15" s="105"/>
      <c r="AE15" s="105">
        <v>0</v>
      </c>
      <c r="AF15" s="105">
        <v>0</v>
      </c>
      <c r="AG15" s="96">
        <v>30</v>
      </c>
      <c r="AH15" s="20">
        <f t="shared" si="2"/>
        <v>30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26.1</v>
      </c>
      <c r="C16" s="105">
        <v>26.1</v>
      </c>
      <c r="D16" s="105">
        <v>18.600000000000001</v>
      </c>
      <c r="E16" s="105">
        <v>18.600000000000001</v>
      </c>
      <c r="F16" s="105">
        <v>18.600000000000001</v>
      </c>
      <c r="G16" s="105">
        <v>18.600000000000001</v>
      </c>
      <c r="H16" s="105">
        <v>18.600000000000001</v>
      </c>
      <c r="I16" s="105">
        <v>18.600000000000001</v>
      </c>
      <c r="J16" s="105">
        <v>18.600000000000001</v>
      </c>
      <c r="K16" s="105">
        <v>18.600000000000001</v>
      </c>
      <c r="L16" s="105">
        <v>30</v>
      </c>
      <c r="M16" s="105">
        <v>30</v>
      </c>
      <c r="N16" s="105">
        <v>33</v>
      </c>
      <c r="O16" s="105">
        <v>26</v>
      </c>
      <c r="P16" s="105">
        <v>26</v>
      </c>
      <c r="Q16" s="105">
        <v>33</v>
      </c>
      <c r="R16" s="105">
        <v>33</v>
      </c>
      <c r="S16" s="105">
        <v>33</v>
      </c>
      <c r="T16" s="105">
        <v>25.3</v>
      </c>
      <c r="U16" s="105">
        <v>25.3</v>
      </c>
      <c r="V16" s="105">
        <v>25.3</v>
      </c>
      <c r="W16" s="105">
        <v>25.3</v>
      </c>
      <c r="X16" s="105">
        <v>25.3</v>
      </c>
      <c r="Y16" s="105">
        <v>33.200000000000003</v>
      </c>
      <c r="Z16" s="105">
        <v>33.200000000000003</v>
      </c>
      <c r="AA16" s="105">
        <v>33.200000000000003</v>
      </c>
      <c r="AB16" s="105">
        <v>33.200000000000003</v>
      </c>
      <c r="AC16" s="105">
        <v>33.200000000000003</v>
      </c>
      <c r="AD16" s="105"/>
      <c r="AE16" s="105">
        <v>25</v>
      </c>
      <c r="AF16" s="105">
        <v>25</v>
      </c>
      <c r="AG16" s="126">
        <v>24.2</v>
      </c>
      <c r="AH16" s="20">
        <f t="shared" si="2"/>
        <v>33.200000000000003</v>
      </c>
      <c r="AI16" s="19">
        <f t="shared" si="3"/>
        <v>18.600000000000001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0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0</v>
      </c>
      <c r="K17" s="105">
        <v>0</v>
      </c>
      <c r="L17" s="105">
        <v>15</v>
      </c>
      <c r="M17" s="105">
        <v>15</v>
      </c>
      <c r="N17" s="105">
        <v>15</v>
      </c>
      <c r="O17" s="105">
        <v>15</v>
      </c>
      <c r="P17" s="105">
        <v>15</v>
      </c>
      <c r="Q17" s="105">
        <v>15</v>
      </c>
      <c r="R17" s="105">
        <v>18</v>
      </c>
      <c r="S17" s="105">
        <v>18</v>
      </c>
      <c r="T17" s="105">
        <v>18</v>
      </c>
      <c r="U17" s="105">
        <v>18</v>
      </c>
      <c r="V17" s="105">
        <v>18</v>
      </c>
      <c r="W17" s="105">
        <v>12</v>
      </c>
      <c r="X17" s="105">
        <v>12</v>
      </c>
      <c r="Y17" s="105">
        <v>12</v>
      </c>
      <c r="Z17" s="105">
        <v>12</v>
      </c>
      <c r="AA17" s="105">
        <v>12</v>
      </c>
      <c r="AB17" s="105">
        <v>12</v>
      </c>
      <c r="AC17" s="105">
        <v>12</v>
      </c>
      <c r="AD17" s="105"/>
      <c r="AE17" s="105">
        <v>12</v>
      </c>
      <c r="AF17" s="105">
        <v>12</v>
      </c>
      <c r="AG17" s="96">
        <v>30</v>
      </c>
      <c r="AH17" s="20">
        <f t="shared" si="2"/>
        <v>18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20.8</v>
      </c>
      <c r="C18" s="105">
        <v>20.8</v>
      </c>
      <c r="D18" s="105">
        <v>20.8</v>
      </c>
      <c r="E18" s="105">
        <v>20.8</v>
      </c>
      <c r="F18" s="105">
        <v>20.8</v>
      </c>
      <c r="G18" s="105">
        <v>20.8</v>
      </c>
      <c r="H18" s="105">
        <v>20.8</v>
      </c>
      <c r="I18" s="105">
        <v>20.8</v>
      </c>
      <c r="J18" s="105">
        <v>20.8</v>
      </c>
      <c r="K18" s="105">
        <v>20.8</v>
      </c>
      <c r="L18" s="105">
        <v>20.8</v>
      </c>
      <c r="M18" s="105">
        <v>20.8</v>
      </c>
      <c r="N18" s="105">
        <v>20.8</v>
      </c>
      <c r="O18" s="105">
        <v>20.8</v>
      </c>
      <c r="P18" s="105">
        <v>20.8</v>
      </c>
      <c r="Q18" s="105">
        <v>20.8</v>
      </c>
      <c r="R18" s="105">
        <v>25</v>
      </c>
      <c r="S18" s="105">
        <v>25</v>
      </c>
      <c r="T18" s="105">
        <v>25</v>
      </c>
      <c r="U18" s="105">
        <v>25</v>
      </c>
      <c r="V18" s="105">
        <v>25.4</v>
      </c>
      <c r="W18" s="105">
        <v>25.4</v>
      </c>
      <c r="X18" s="105">
        <v>25.4</v>
      </c>
      <c r="Y18" s="105">
        <v>25.4</v>
      </c>
      <c r="Z18" s="105">
        <v>25.4</v>
      </c>
      <c r="AA18" s="105">
        <v>25.4</v>
      </c>
      <c r="AB18" s="105">
        <v>25.4</v>
      </c>
      <c r="AC18" s="105">
        <v>25.4</v>
      </c>
      <c r="AD18" s="105"/>
      <c r="AE18" s="105">
        <v>20</v>
      </c>
      <c r="AF18" s="105">
        <v>25.4</v>
      </c>
      <c r="AG18" s="126">
        <v>25</v>
      </c>
      <c r="AH18" s="20">
        <f t="shared" si="2"/>
        <v>25.4</v>
      </c>
      <c r="AI18" s="19">
        <f t="shared" si="3"/>
        <v>20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22</v>
      </c>
      <c r="C19" s="105">
        <v>22</v>
      </c>
      <c r="D19" s="105">
        <v>22</v>
      </c>
      <c r="E19" s="105">
        <v>22</v>
      </c>
      <c r="F19" s="105">
        <v>22</v>
      </c>
      <c r="G19" s="105">
        <v>22</v>
      </c>
      <c r="H19" s="105">
        <v>22</v>
      </c>
      <c r="I19" s="105">
        <v>22</v>
      </c>
      <c r="J19" s="105">
        <v>22</v>
      </c>
      <c r="K19" s="105">
        <v>22</v>
      </c>
      <c r="L19" s="105">
        <v>22</v>
      </c>
      <c r="M19" s="105">
        <v>22</v>
      </c>
      <c r="N19" s="105">
        <v>22</v>
      </c>
      <c r="O19" s="105">
        <v>22</v>
      </c>
      <c r="P19" s="105">
        <v>22</v>
      </c>
      <c r="Q19" s="105">
        <v>22</v>
      </c>
      <c r="R19" s="105">
        <v>22</v>
      </c>
      <c r="S19" s="105">
        <v>22</v>
      </c>
      <c r="T19" s="105">
        <v>0</v>
      </c>
      <c r="U19" s="105">
        <v>0</v>
      </c>
      <c r="V19" s="105">
        <v>0</v>
      </c>
      <c r="W19" s="105">
        <v>25</v>
      </c>
      <c r="X19" s="105">
        <v>25</v>
      </c>
      <c r="Y19" s="105">
        <v>25</v>
      </c>
      <c r="Z19" s="105">
        <v>25</v>
      </c>
      <c r="AA19" s="105">
        <v>25</v>
      </c>
      <c r="AB19" s="105">
        <v>25</v>
      </c>
      <c r="AC19" s="105">
        <v>25</v>
      </c>
      <c r="AD19" s="105"/>
      <c r="AE19" s="105">
        <v>25</v>
      </c>
      <c r="AF19" s="105">
        <v>25</v>
      </c>
      <c r="AG19" s="126">
        <v>25</v>
      </c>
      <c r="AH19" s="20">
        <f t="shared" si="2"/>
        <v>25</v>
      </c>
      <c r="AI19" s="19">
        <f t="shared" si="3"/>
        <v>0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20</v>
      </c>
      <c r="C20" s="105">
        <v>20</v>
      </c>
      <c r="D20" s="105">
        <v>20</v>
      </c>
      <c r="E20" s="105">
        <v>20</v>
      </c>
      <c r="F20" s="105">
        <v>20</v>
      </c>
      <c r="G20" s="105">
        <v>20</v>
      </c>
      <c r="H20" s="105">
        <v>20</v>
      </c>
      <c r="I20" s="105">
        <v>20</v>
      </c>
      <c r="J20" s="105">
        <v>20</v>
      </c>
      <c r="K20" s="105">
        <v>20</v>
      </c>
      <c r="L20" s="105">
        <v>20</v>
      </c>
      <c r="M20" s="105">
        <v>20</v>
      </c>
      <c r="N20" s="105">
        <v>20</v>
      </c>
      <c r="O20" s="105">
        <v>20</v>
      </c>
      <c r="P20" s="105">
        <v>20</v>
      </c>
      <c r="Q20" s="105">
        <v>20</v>
      </c>
      <c r="R20" s="105">
        <v>20</v>
      </c>
      <c r="S20" s="105">
        <v>25</v>
      </c>
      <c r="T20" s="105">
        <v>25</v>
      </c>
      <c r="U20" s="105">
        <v>25</v>
      </c>
      <c r="V20" s="105">
        <v>25</v>
      </c>
      <c r="W20" s="105">
        <v>25</v>
      </c>
      <c r="X20" s="105">
        <v>25</v>
      </c>
      <c r="Y20" s="105">
        <v>25</v>
      </c>
      <c r="Z20" s="105">
        <v>25</v>
      </c>
      <c r="AA20" s="105">
        <v>25</v>
      </c>
      <c r="AB20" s="105">
        <v>25</v>
      </c>
      <c r="AC20" s="105">
        <v>25</v>
      </c>
      <c r="AD20" s="105"/>
      <c r="AE20" s="105">
        <v>25</v>
      </c>
      <c r="AF20" s="105">
        <v>25</v>
      </c>
      <c r="AG20" s="126">
        <v>25</v>
      </c>
      <c r="AH20" s="20">
        <f t="shared" si="2"/>
        <v>25</v>
      </c>
      <c r="AI20" s="19">
        <f t="shared" si="3"/>
        <v>20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18.399999999999999</v>
      </c>
      <c r="C21" s="105">
        <v>18.399999999999999</v>
      </c>
      <c r="D21" s="105">
        <v>18.399999999999999</v>
      </c>
      <c r="E21" s="105">
        <v>18.399999999999999</v>
      </c>
      <c r="F21" s="105">
        <v>18.399999999999999</v>
      </c>
      <c r="G21" s="105">
        <v>18.399999999999999</v>
      </c>
      <c r="H21" s="105">
        <v>18.399999999999999</v>
      </c>
      <c r="I21" s="105">
        <v>18.399999999999999</v>
      </c>
      <c r="J21" s="105">
        <v>18.399999999999999</v>
      </c>
      <c r="K21" s="105">
        <v>18.399999999999999</v>
      </c>
      <c r="L21" s="105">
        <v>18.399999999999999</v>
      </c>
      <c r="M21" s="105">
        <v>18.399999999999999</v>
      </c>
      <c r="N21" s="105">
        <v>18.399999999999999</v>
      </c>
      <c r="O21" s="105">
        <v>18.399999999999999</v>
      </c>
      <c r="P21" s="105">
        <v>18.399999999999999</v>
      </c>
      <c r="Q21" s="105">
        <v>24</v>
      </c>
      <c r="R21" s="105">
        <v>24</v>
      </c>
      <c r="S21" s="105">
        <v>24</v>
      </c>
      <c r="T21" s="105">
        <v>24</v>
      </c>
      <c r="U21" s="105">
        <v>24</v>
      </c>
      <c r="V21" s="105">
        <v>24</v>
      </c>
      <c r="W21" s="105">
        <v>24</v>
      </c>
      <c r="X21" s="105">
        <v>24</v>
      </c>
      <c r="Y21" s="105">
        <v>24</v>
      </c>
      <c r="Z21" s="105">
        <v>24</v>
      </c>
      <c r="AA21" s="105">
        <v>24</v>
      </c>
      <c r="AB21" s="105">
        <v>24</v>
      </c>
      <c r="AC21" s="105">
        <v>24</v>
      </c>
      <c r="AD21" s="105"/>
      <c r="AE21" s="105">
        <v>24</v>
      </c>
      <c r="AF21" s="105">
        <v>24</v>
      </c>
      <c r="AG21" s="126">
        <v>23.5</v>
      </c>
      <c r="AH21" s="20">
        <f t="shared" si="2"/>
        <v>24</v>
      </c>
      <c r="AI21" s="19">
        <f t="shared" si="3"/>
        <v>18.399999999999999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18</v>
      </c>
      <c r="C22" s="105">
        <v>18</v>
      </c>
      <c r="D22" s="105">
        <v>18</v>
      </c>
      <c r="E22" s="105">
        <v>18</v>
      </c>
      <c r="F22" s="105">
        <v>18</v>
      </c>
      <c r="G22" s="105">
        <v>18</v>
      </c>
      <c r="H22" s="105">
        <v>18</v>
      </c>
      <c r="I22" s="105">
        <v>18</v>
      </c>
      <c r="J22" s="105">
        <v>18</v>
      </c>
      <c r="K22" s="105">
        <v>18</v>
      </c>
      <c r="L22" s="105">
        <v>18</v>
      </c>
      <c r="M22" s="105">
        <v>18</v>
      </c>
      <c r="N22" s="105">
        <v>18</v>
      </c>
      <c r="O22" s="105">
        <v>18</v>
      </c>
      <c r="P22" s="105">
        <v>18</v>
      </c>
      <c r="Q22" s="105">
        <v>18</v>
      </c>
      <c r="R22" s="105">
        <v>18</v>
      </c>
      <c r="S22" s="105">
        <v>18</v>
      </c>
      <c r="T22" s="105">
        <v>18</v>
      </c>
      <c r="U22" s="105">
        <v>18</v>
      </c>
      <c r="V22" s="105">
        <v>18</v>
      </c>
      <c r="W22" s="105">
        <v>18</v>
      </c>
      <c r="X22" s="105">
        <v>18</v>
      </c>
      <c r="Y22" s="105">
        <v>18</v>
      </c>
      <c r="Z22" s="105">
        <v>18</v>
      </c>
      <c r="AA22" s="105">
        <v>18</v>
      </c>
      <c r="AB22" s="105">
        <v>18</v>
      </c>
      <c r="AC22" s="105">
        <v>18</v>
      </c>
      <c r="AD22" s="105"/>
      <c r="AE22" s="105">
        <v>18</v>
      </c>
      <c r="AF22" s="105">
        <v>18</v>
      </c>
      <c r="AG22" s="126">
        <v>22.2</v>
      </c>
      <c r="AH22" s="20">
        <f t="shared" si="2"/>
        <v>18</v>
      </c>
      <c r="AI22" s="19">
        <f t="shared" si="3"/>
        <v>18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20</v>
      </c>
      <c r="C23" s="105">
        <v>20</v>
      </c>
      <c r="D23" s="105">
        <v>20</v>
      </c>
      <c r="E23" s="105">
        <v>20</v>
      </c>
      <c r="F23" s="105">
        <v>20</v>
      </c>
      <c r="G23" s="105">
        <v>20</v>
      </c>
      <c r="H23" s="105">
        <v>20</v>
      </c>
      <c r="I23" s="105">
        <v>20</v>
      </c>
      <c r="J23" s="105">
        <v>20</v>
      </c>
      <c r="K23" s="105">
        <v>20</v>
      </c>
      <c r="L23" s="105">
        <v>20</v>
      </c>
      <c r="M23" s="105">
        <v>20</v>
      </c>
      <c r="N23" s="105">
        <v>20</v>
      </c>
      <c r="O23" s="105">
        <v>20</v>
      </c>
      <c r="P23" s="105">
        <v>20</v>
      </c>
      <c r="Q23" s="105">
        <v>20</v>
      </c>
      <c r="R23" s="105">
        <v>21</v>
      </c>
      <c r="S23" s="105">
        <v>21</v>
      </c>
      <c r="T23" s="105">
        <v>21</v>
      </c>
      <c r="U23" s="105">
        <v>21</v>
      </c>
      <c r="V23" s="105">
        <v>21</v>
      </c>
      <c r="W23" s="105">
        <v>21</v>
      </c>
      <c r="X23" s="105">
        <v>21</v>
      </c>
      <c r="Y23" s="105">
        <v>21</v>
      </c>
      <c r="Z23" s="105">
        <v>21</v>
      </c>
      <c r="AA23" s="105">
        <v>21</v>
      </c>
      <c r="AB23" s="105">
        <v>21</v>
      </c>
      <c r="AC23" s="105">
        <v>21</v>
      </c>
      <c r="AD23" s="105"/>
      <c r="AE23" s="105">
        <v>21</v>
      </c>
      <c r="AF23" s="105">
        <v>21</v>
      </c>
      <c r="AG23" s="126">
        <v>22.1</v>
      </c>
      <c r="AH23" s="20">
        <f t="shared" si="2"/>
        <v>21</v>
      </c>
      <c r="AI23" s="19">
        <f t="shared" si="3"/>
        <v>20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22</v>
      </c>
      <c r="C24" s="105">
        <v>22</v>
      </c>
      <c r="D24" s="105">
        <v>22</v>
      </c>
      <c r="E24" s="105">
        <v>22</v>
      </c>
      <c r="F24" s="105">
        <v>22</v>
      </c>
      <c r="G24" s="105">
        <v>22</v>
      </c>
      <c r="H24" s="105">
        <v>22</v>
      </c>
      <c r="I24" s="105">
        <v>22</v>
      </c>
      <c r="J24" s="105">
        <v>22</v>
      </c>
      <c r="K24" s="105">
        <v>22</v>
      </c>
      <c r="L24" s="105">
        <v>22</v>
      </c>
      <c r="M24" s="105">
        <v>22</v>
      </c>
      <c r="N24" s="105">
        <v>22</v>
      </c>
      <c r="O24" s="105">
        <v>22</v>
      </c>
      <c r="P24" s="105">
        <v>22</v>
      </c>
      <c r="Q24" s="105">
        <v>22</v>
      </c>
      <c r="R24" s="105">
        <v>22</v>
      </c>
      <c r="S24" s="105">
        <v>22</v>
      </c>
      <c r="T24" s="105">
        <v>22</v>
      </c>
      <c r="U24" s="105">
        <v>22</v>
      </c>
      <c r="V24" s="105">
        <v>22</v>
      </c>
      <c r="W24" s="105">
        <v>22</v>
      </c>
      <c r="X24" s="105">
        <v>22</v>
      </c>
      <c r="Y24" s="105">
        <v>22</v>
      </c>
      <c r="Z24" s="105">
        <v>22</v>
      </c>
      <c r="AA24" s="105">
        <v>22</v>
      </c>
      <c r="AB24" s="105">
        <v>22</v>
      </c>
      <c r="AC24" s="105">
        <v>22</v>
      </c>
      <c r="AD24" s="105"/>
      <c r="AE24" s="105">
        <v>22</v>
      </c>
      <c r="AF24" s="105">
        <v>22</v>
      </c>
      <c r="AG24" s="126">
        <v>22</v>
      </c>
      <c r="AH24" s="20">
        <f t="shared" si="2"/>
        <v>22</v>
      </c>
      <c r="AI24" s="19">
        <f t="shared" si="3"/>
        <v>22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20</v>
      </c>
      <c r="C25" s="105">
        <v>20</v>
      </c>
      <c r="D25" s="105">
        <v>20</v>
      </c>
      <c r="E25" s="105">
        <v>20</v>
      </c>
      <c r="F25" s="105">
        <v>20</v>
      </c>
      <c r="G25" s="105">
        <v>20</v>
      </c>
      <c r="H25" s="105">
        <v>20</v>
      </c>
      <c r="I25" s="105">
        <v>20</v>
      </c>
      <c r="J25" s="105">
        <v>20</v>
      </c>
      <c r="K25" s="105">
        <v>20</v>
      </c>
      <c r="L25" s="105">
        <v>20</v>
      </c>
      <c r="M25" s="105">
        <v>20</v>
      </c>
      <c r="N25" s="105">
        <v>20</v>
      </c>
      <c r="O25" s="105">
        <v>20</v>
      </c>
      <c r="P25" s="105">
        <v>20</v>
      </c>
      <c r="Q25" s="105">
        <v>20</v>
      </c>
      <c r="R25" s="105">
        <v>20</v>
      </c>
      <c r="S25" s="105">
        <v>20</v>
      </c>
      <c r="T25" s="105">
        <v>20</v>
      </c>
      <c r="U25" s="105">
        <v>20</v>
      </c>
      <c r="V25" s="105">
        <v>20</v>
      </c>
      <c r="W25" s="105">
        <v>20</v>
      </c>
      <c r="X25" s="105">
        <v>22</v>
      </c>
      <c r="Y25" s="105">
        <v>22</v>
      </c>
      <c r="Z25" s="105">
        <v>22</v>
      </c>
      <c r="AA25" s="105">
        <v>22</v>
      </c>
      <c r="AB25" s="105">
        <v>22</v>
      </c>
      <c r="AC25" s="105">
        <v>22</v>
      </c>
      <c r="AD25" s="105"/>
      <c r="AE25" s="105">
        <v>22</v>
      </c>
      <c r="AF25" s="105">
        <v>22</v>
      </c>
      <c r="AG25" s="126">
        <v>22</v>
      </c>
      <c r="AH25" s="20">
        <f t="shared" si="2"/>
        <v>22</v>
      </c>
      <c r="AI25" s="19">
        <f t="shared" si="3"/>
        <v>20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0</v>
      </c>
      <c r="K26" s="105">
        <v>0</v>
      </c>
      <c r="L26" s="105">
        <v>0</v>
      </c>
      <c r="M26" s="105">
        <v>5</v>
      </c>
      <c r="N26" s="105">
        <v>10</v>
      </c>
      <c r="O26" s="105">
        <v>10</v>
      </c>
      <c r="P26" s="105">
        <v>10</v>
      </c>
      <c r="Q26" s="105">
        <v>10</v>
      </c>
      <c r="R26" s="105">
        <v>10</v>
      </c>
      <c r="S26" s="105">
        <v>10</v>
      </c>
      <c r="T26" s="105">
        <v>10</v>
      </c>
      <c r="U26" s="105">
        <v>10</v>
      </c>
      <c r="V26" s="105">
        <v>10</v>
      </c>
      <c r="W26" s="105">
        <v>10</v>
      </c>
      <c r="X26" s="105">
        <v>10</v>
      </c>
      <c r="Y26" s="105">
        <v>10</v>
      </c>
      <c r="Z26" s="105">
        <v>10</v>
      </c>
      <c r="AA26" s="105">
        <v>10</v>
      </c>
      <c r="AB26" s="105">
        <v>10</v>
      </c>
      <c r="AC26" s="105">
        <v>10</v>
      </c>
      <c r="AD26" s="105"/>
      <c r="AE26" s="105">
        <v>0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</v>
      </c>
      <c r="C27" s="105">
        <v>14</v>
      </c>
      <c r="D27" s="105">
        <v>14</v>
      </c>
      <c r="E27" s="105">
        <v>14</v>
      </c>
      <c r="F27" s="105">
        <v>14</v>
      </c>
      <c r="G27" s="105">
        <v>14</v>
      </c>
      <c r="H27" s="105">
        <v>14</v>
      </c>
      <c r="I27" s="105">
        <v>14</v>
      </c>
      <c r="J27" s="105">
        <v>14</v>
      </c>
      <c r="K27" s="105">
        <v>14</v>
      </c>
      <c r="L27" s="105">
        <v>14</v>
      </c>
      <c r="M27" s="105">
        <v>14</v>
      </c>
      <c r="N27" s="105">
        <v>14</v>
      </c>
      <c r="O27" s="105">
        <v>14</v>
      </c>
      <c r="P27" s="105">
        <v>14</v>
      </c>
      <c r="Q27" s="105">
        <v>14</v>
      </c>
      <c r="R27" s="105">
        <v>14</v>
      </c>
      <c r="S27" s="105">
        <v>14</v>
      </c>
      <c r="T27" s="105">
        <v>14</v>
      </c>
      <c r="U27" s="105">
        <v>14</v>
      </c>
      <c r="V27" s="105">
        <v>14</v>
      </c>
      <c r="W27" s="105">
        <v>14</v>
      </c>
      <c r="X27" s="105">
        <v>14</v>
      </c>
      <c r="Y27" s="105">
        <v>14</v>
      </c>
      <c r="Z27" s="105">
        <v>14</v>
      </c>
      <c r="AA27" s="105">
        <v>14</v>
      </c>
      <c r="AB27" s="105">
        <v>14</v>
      </c>
      <c r="AC27" s="105">
        <v>14</v>
      </c>
      <c r="AD27" s="105"/>
      <c r="AE27" s="105">
        <v>14</v>
      </c>
      <c r="AF27" s="105">
        <v>14</v>
      </c>
      <c r="AG27" s="126">
        <v>14.9</v>
      </c>
      <c r="AH27" s="20">
        <f t="shared" si="2"/>
        <v>14</v>
      </c>
      <c r="AI27" s="19">
        <f t="shared" si="3"/>
        <v>14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>
        <v>6.8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/>
      <c r="AE28" s="105">
        <v>6.8</v>
      </c>
      <c r="AF28" s="105">
        <v>6.8</v>
      </c>
      <c r="AG28" s="126">
        <v>13.6</v>
      </c>
      <c r="AH28" s="20">
        <f t="shared" si="2"/>
        <v>6.8</v>
      </c>
      <c r="AI28" s="19">
        <f t="shared" si="3"/>
        <v>6.8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12</v>
      </c>
      <c r="C29" s="105">
        <v>12</v>
      </c>
      <c r="D29" s="105">
        <v>12</v>
      </c>
      <c r="E29" s="105">
        <v>12</v>
      </c>
      <c r="F29" s="105">
        <v>12</v>
      </c>
      <c r="G29" s="105">
        <v>12</v>
      </c>
      <c r="H29" s="105">
        <v>12</v>
      </c>
      <c r="I29" s="105">
        <v>12</v>
      </c>
      <c r="J29" s="105">
        <v>12</v>
      </c>
      <c r="K29" s="105">
        <v>12</v>
      </c>
      <c r="L29" s="105">
        <v>12</v>
      </c>
      <c r="M29" s="105">
        <v>12</v>
      </c>
      <c r="N29" s="105">
        <v>12</v>
      </c>
      <c r="O29" s="105">
        <v>12</v>
      </c>
      <c r="P29" s="105">
        <v>12</v>
      </c>
      <c r="Q29" s="105">
        <v>12</v>
      </c>
      <c r="R29" s="105">
        <v>12</v>
      </c>
      <c r="S29" s="105">
        <v>12</v>
      </c>
      <c r="T29" s="105">
        <v>12</v>
      </c>
      <c r="U29" s="105">
        <v>12</v>
      </c>
      <c r="V29" s="105">
        <v>12</v>
      </c>
      <c r="W29" s="105">
        <v>12</v>
      </c>
      <c r="X29" s="105">
        <v>12</v>
      </c>
      <c r="Y29" s="105">
        <v>12</v>
      </c>
      <c r="Z29" s="105">
        <v>12</v>
      </c>
      <c r="AA29" s="105">
        <v>12</v>
      </c>
      <c r="AB29" s="105">
        <v>12</v>
      </c>
      <c r="AC29" s="105">
        <v>12</v>
      </c>
      <c r="AD29" s="105"/>
      <c r="AE29" s="105">
        <v>12</v>
      </c>
      <c r="AF29" s="105">
        <v>12</v>
      </c>
      <c r="AG29" s="126">
        <v>13</v>
      </c>
      <c r="AH29" s="20">
        <f t="shared" si="2"/>
        <v>12</v>
      </c>
      <c r="AI29" s="19">
        <f t="shared" si="3"/>
        <v>12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12</v>
      </c>
      <c r="M30" s="105">
        <v>8</v>
      </c>
      <c r="N30" s="105">
        <v>5</v>
      </c>
      <c r="O30" s="105">
        <v>10</v>
      </c>
      <c r="P30" s="105">
        <v>12</v>
      </c>
      <c r="Q30" s="105">
        <v>12</v>
      </c>
      <c r="R30" s="105">
        <v>12</v>
      </c>
      <c r="S30" s="105">
        <v>12</v>
      </c>
      <c r="T30" s="105">
        <v>12</v>
      </c>
      <c r="U30" s="105">
        <v>12</v>
      </c>
      <c r="V30" s="105">
        <v>12</v>
      </c>
      <c r="W30" s="105">
        <v>12</v>
      </c>
      <c r="X30" s="105">
        <v>12</v>
      </c>
      <c r="Y30" s="105">
        <v>12</v>
      </c>
      <c r="Z30" s="105">
        <v>12</v>
      </c>
      <c r="AA30" s="105">
        <v>12</v>
      </c>
      <c r="AB30" s="105">
        <v>12</v>
      </c>
      <c r="AC30" s="105">
        <v>12</v>
      </c>
      <c r="AD30" s="105"/>
      <c r="AE30" s="105">
        <v>12</v>
      </c>
      <c r="AF30" s="105">
        <v>12</v>
      </c>
      <c r="AG30" s="126">
        <v>12</v>
      </c>
      <c r="AH30" s="20">
        <f t="shared" si="2"/>
        <v>12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12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/>
      <c r="AE31" s="105">
        <v>12</v>
      </c>
      <c r="AF31" s="105">
        <v>12</v>
      </c>
      <c r="AG31" s="126">
        <v>12</v>
      </c>
      <c r="AH31" s="20">
        <f t="shared" si="2"/>
        <v>12</v>
      </c>
      <c r="AI31" s="19">
        <f t="shared" si="3"/>
        <v>12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0</v>
      </c>
      <c r="C32" s="105">
        <v>0</v>
      </c>
      <c r="D32" s="105">
        <v>0</v>
      </c>
      <c r="E32" s="105">
        <v>0</v>
      </c>
      <c r="F32" s="105">
        <v>0</v>
      </c>
      <c r="G32" s="105">
        <v>0</v>
      </c>
      <c r="H32" s="105">
        <v>0</v>
      </c>
      <c r="I32" s="105">
        <v>0</v>
      </c>
      <c r="J32" s="105">
        <v>0</v>
      </c>
      <c r="K32" s="105">
        <v>0</v>
      </c>
      <c r="L32" s="105">
        <v>0</v>
      </c>
      <c r="M32" s="105">
        <v>0</v>
      </c>
      <c r="N32" s="105">
        <v>0</v>
      </c>
      <c r="O32" s="105">
        <v>0</v>
      </c>
      <c r="P32" s="105">
        <v>0</v>
      </c>
      <c r="Q32" s="105">
        <v>0</v>
      </c>
      <c r="R32" s="105">
        <v>0</v>
      </c>
      <c r="S32" s="105">
        <v>0</v>
      </c>
      <c r="T32" s="105">
        <v>0</v>
      </c>
      <c r="U32" s="105">
        <v>4</v>
      </c>
      <c r="V32" s="105">
        <v>4</v>
      </c>
      <c r="W32" s="105">
        <v>4</v>
      </c>
      <c r="X32" s="105">
        <v>12</v>
      </c>
      <c r="Y32" s="105">
        <v>12</v>
      </c>
      <c r="Z32" s="105">
        <v>12</v>
      </c>
      <c r="AA32" s="105">
        <v>12</v>
      </c>
      <c r="AB32" s="105">
        <v>12</v>
      </c>
      <c r="AC32" s="105">
        <v>12</v>
      </c>
      <c r="AD32" s="105"/>
      <c r="AE32" s="105">
        <v>12</v>
      </c>
      <c r="AF32" s="105">
        <v>12</v>
      </c>
      <c r="AG32" s="126">
        <v>12</v>
      </c>
      <c r="AH32" s="20">
        <f t="shared" si="2"/>
        <v>12</v>
      </c>
      <c r="AI32" s="19">
        <f t="shared" si="3"/>
        <v>0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9</v>
      </c>
      <c r="C33" s="105">
        <v>9</v>
      </c>
      <c r="D33" s="105">
        <v>9</v>
      </c>
      <c r="E33" s="105">
        <v>9</v>
      </c>
      <c r="F33" s="105">
        <v>9</v>
      </c>
      <c r="G33" s="105">
        <v>9</v>
      </c>
      <c r="H33" s="105">
        <v>9</v>
      </c>
      <c r="I33" s="105">
        <v>9</v>
      </c>
      <c r="J33" s="105">
        <v>9</v>
      </c>
      <c r="K33" s="105">
        <v>9</v>
      </c>
      <c r="L33" s="105">
        <v>9</v>
      </c>
      <c r="M33" s="105">
        <v>5</v>
      </c>
      <c r="N33" s="105">
        <v>5</v>
      </c>
      <c r="O33" s="105">
        <v>5</v>
      </c>
      <c r="P33" s="105">
        <v>5</v>
      </c>
      <c r="Q33" s="105">
        <v>5</v>
      </c>
      <c r="R33" s="105">
        <v>5</v>
      </c>
      <c r="S33" s="105">
        <v>5</v>
      </c>
      <c r="T33" s="105">
        <v>5</v>
      </c>
      <c r="U33" s="105">
        <v>5</v>
      </c>
      <c r="V33" s="105">
        <v>5</v>
      </c>
      <c r="W33" s="105">
        <v>5</v>
      </c>
      <c r="X33" s="105">
        <v>5</v>
      </c>
      <c r="Y33" s="105">
        <v>5</v>
      </c>
      <c r="Z33" s="105">
        <v>5</v>
      </c>
      <c r="AA33" s="105">
        <v>5</v>
      </c>
      <c r="AB33" s="105">
        <v>5</v>
      </c>
      <c r="AC33" s="105">
        <v>5</v>
      </c>
      <c r="AD33" s="105"/>
      <c r="AE33" s="105">
        <v>5</v>
      </c>
      <c r="AF33" s="105">
        <v>5</v>
      </c>
      <c r="AG33" s="125">
        <v>22</v>
      </c>
      <c r="AH33" s="20">
        <f t="shared" si="2"/>
        <v>9</v>
      </c>
      <c r="AI33" s="19">
        <f t="shared" si="3"/>
        <v>5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12</v>
      </c>
      <c r="C34" s="105">
        <v>12</v>
      </c>
      <c r="D34" s="105">
        <v>12</v>
      </c>
      <c r="E34" s="105">
        <v>12</v>
      </c>
      <c r="F34" s="105">
        <v>12</v>
      </c>
      <c r="G34" s="105">
        <v>12</v>
      </c>
      <c r="H34" s="105">
        <v>12</v>
      </c>
      <c r="I34" s="105">
        <v>12</v>
      </c>
      <c r="J34" s="105">
        <v>12</v>
      </c>
      <c r="K34" s="105">
        <v>12</v>
      </c>
      <c r="L34" s="105">
        <v>12</v>
      </c>
      <c r="M34" s="105">
        <v>12</v>
      </c>
      <c r="N34" s="105">
        <v>12</v>
      </c>
      <c r="O34" s="105">
        <v>12</v>
      </c>
      <c r="P34" s="105">
        <v>12</v>
      </c>
      <c r="Q34" s="105">
        <v>12</v>
      </c>
      <c r="R34" s="105">
        <v>12</v>
      </c>
      <c r="S34" s="105">
        <v>12</v>
      </c>
      <c r="T34" s="105">
        <v>12</v>
      </c>
      <c r="U34" s="105">
        <v>12</v>
      </c>
      <c r="V34" s="105">
        <v>12</v>
      </c>
      <c r="W34" s="105">
        <v>12</v>
      </c>
      <c r="X34" s="105">
        <v>12</v>
      </c>
      <c r="Y34" s="105">
        <v>12</v>
      </c>
      <c r="Z34" s="105">
        <v>12</v>
      </c>
      <c r="AA34" s="105">
        <v>12</v>
      </c>
      <c r="AB34" s="105">
        <v>12</v>
      </c>
      <c r="AC34" s="105">
        <v>12</v>
      </c>
      <c r="AD34" s="105"/>
      <c r="AE34" s="105">
        <v>12</v>
      </c>
      <c r="AF34" s="105">
        <v>12</v>
      </c>
      <c r="AG34" s="96">
        <v>11.88</v>
      </c>
      <c r="AH34" s="20">
        <f t="shared" si="2"/>
        <v>12</v>
      </c>
      <c r="AI34" s="19">
        <f t="shared" si="3"/>
        <v>12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8</v>
      </c>
      <c r="C35" s="105">
        <v>8</v>
      </c>
      <c r="D35" s="105">
        <v>8</v>
      </c>
      <c r="E35" s="105">
        <v>8</v>
      </c>
      <c r="F35" s="105">
        <v>8</v>
      </c>
      <c r="G35" s="105">
        <v>8</v>
      </c>
      <c r="H35" s="105">
        <v>8</v>
      </c>
      <c r="I35" s="105">
        <v>8</v>
      </c>
      <c r="J35" s="105">
        <v>8</v>
      </c>
      <c r="K35" s="105">
        <v>8</v>
      </c>
      <c r="L35" s="105">
        <v>8</v>
      </c>
      <c r="M35" s="105">
        <v>8</v>
      </c>
      <c r="N35" s="105">
        <v>8</v>
      </c>
      <c r="O35" s="105">
        <v>8</v>
      </c>
      <c r="P35" s="105">
        <v>8</v>
      </c>
      <c r="Q35" s="105">
        <v>8</v>
      </c>
      <c r="R35" s="105">
        <v>8</v>
      </c>
      <c r="S35" s="105">
        <v>8</v>
      </c>
      <c r="T35" s="105">
        <v>8</v>
      </c>
      <c r="U35" s="105">
        <v>8</v>
      </c>
      <c r="V35" s="105">
        <v>8</v>
      </c>
      <c r="W35" s="105">
        <v>8</v>
      </c>
      <c r="X35" s="105">
        <v>8</v>
      </c>
      <c r="Y35" s="105">
        <v>8</v>
      </c>
      <c r="Z35" s="105">
        <v>8</v>
      </c>
      <c r="AA35" s="105">
        <v>8</v>
      </c>
      <c r="AB35" s="105">
        <v>8</v>
      </c>
      <c r="AC35" s="105">
        <v>8</v>
      </c>
      <c r="AD35" s="105"/>
      <c r="AE35" s="105">
        <v>8</v>
      </c>
      <c r="AF35" s="105">
        <v>8</v>
      </c>
      <c r="AG35" s="94">
        <v>11</v>
      </c>
      <c r="AH35" s="20">
        <f t="shared" si="2"/>
        <v>8</v>
      </c>
      <c r="AI35" s="19">
        <f t="shared" si="3"/>
        <v>8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>
        <v>9</v>
      </c>
      <c r="E36" s="105">
        <v>9</v>
      </c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>
        <v>9</v>
      </c>
      <c r="N36" s="105">
        <v>9</v>
      </c>
      <c r="O36" s="105">
        <v>9</v>
      </c>
      <c r="P36" s="105">
        <v>9</v>
      </c>
      <c r="Q36" s="105">
        <v>9</v>
      </c>
      <c r="R36" s="105">
        <v>9</v>
      </c>
      <c r="S36" s="105">
        <v>9</v>
      </c>
      <c r="T36" s="105">
        <v>9</v>
      </c>
      <c r="U36" s="105">
        <v>9</v>
      </c>
      <c r="V36" s="105">
        <v>9</v>
      </c>
      <c r="W36" s="105">
        <v>9</v>
      </c>
      <c r="X36" s="105">
        <v>9</v>
      </c>
      <c r="Y36" s="105">
        <v>9</v>
      </c>
      <c r="Z36" s="105">
        <v>9</v>
      </c>
      <c r="AA36" s="105">
        <v>9</v>
      </c>
      <c r="AB36" s="105">
        <v>9</v>
      </c>
      <c r="AC36" s="105">
        <v>9</v>
      </c>
      <c r="AD36" s="105"/>
      <c r="AE36" s="105">
        <v>9</v>
      </c>
      <c r="AF36" s="105">
        <v>9</v>
      </c>
      <c r="AG36" s="94">
        <v>10</v>
      </c>
      <c r="AH36" s="20">
        <f t="shared" si="2"/>
        <v>9</v>
      </c>
      <c r="AI36" s="19">
        <f t="shared" si="3"/>
        <v>9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2</v>
      </c>
      <c r="N37" s="105">
        <v>2</v>
      </c>
      <c r="O37" s="105">
        <v>2</v>
      </c>
      <c r="P37" s="105">
        <v>2</v>
      </c>
      <c r="Q37" s="105">
        <v>2</v>
      </c>
      <c r="R37" s="105">
        <v>2</v>
      </c>
      <c r="S37" s="105">
        <v>2</v>
      </c>
      <c r="T37" s="105">
        <v>2</v>
      </c>
      <c r="U37" s="105">
        <v>2</v>
      </c>
      <c r="V37" s="105">
        <v>2</v>
      </c>
      <c r="W37" s="105">
        <v>0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/>
      <c r="AE37" s="105">
        <v>0</v>
      </c>
      <c r="AF37" s="105">
        <v>0</v>
      </c>
      <c r="AG37" s="94">
        <v>10</v>
      </c>
      <c r="AH37" s="20">
        <f t="shared" si="2"/>
        <v>2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280</v>
      </c>
      <c r="C38" s="113">
        <v>280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/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280</v>
      </c>
      <c r="AK38" s="41"/>
    </row>
    <row r="39" spans="1:88" ht="15.75" thickBot="1" x14ac:dyDescent="0.3">
      <c r="A39" s="120" t="s">
        <v>196</v>
      </c>
      <c r="B39" s="119">
        <f>82.8+76.8</f>
        <v>159.6</v>
      </c>
      <c r="C39" s="119">
        <f>75.7+60.5</f>
        <v>136.19999999999999</v>
      </c>
      <c r="D39" s="119">
        <f>88.1+77.4</f>
        <v>165.5</v>
      </c>
      <c r="E39" s="119">
        <f t="shared" ref="E39:G39" si="4">88.1+77.4</f>
        <v>165.5</v>
      </c>
      <c r="F39" s="119">
        <f t="shared" si="4"/>
        <v>165.5</v>
      </c>
      <c r="G39" s="119">
        <f t="shared" si="4"/>
        <v>165.5</v>
      </c>
      <c r="H39" s="119">
        <f>63.7+83.1</f>
        <v>146.80000000000001</v>
      </c>
      <c r="I39" s="119">
        <f t="shared" ref="I39:L39" si="5">63.7+83.1</f>
        <v>146.80000000000001</v>
      </c>
      <c r="J39" s="119">
        <f t="shared" si="5"/>
        <v>146.80000000000001</v>
      </c>
      <c r="K39" s="119">
        <f>74.7+85</f>
        <v>159.69999999999999</v>
      </c>
      <c r="L39" s="119">
        <f t="shared" si="5"/>
        <v>146.80000000000001</v>
      </c>
      <c r="M39" s="113">
        <f>62.8+88.1</f>
        <v>150.89999999999998</v>
      </c>
      <c r="N39" s="113">
        <f>75.6+93</f>
        <v>168.6</v>
      </c>
      <c r="O39" s="113">
        <f>75.3+93.1</f>
        <v>168.39999999999998</v>
      </c>
      <c r="P39" s="113">
        <v>159</v>
      </c>
      <c r="Q39" s="113">
        <v>159</v>
      </c>
      <c r="R39" s="113">
        <f>75.7+91.8</f>
        <v>167.5</v>
      </c>
      <c r="S39" s="119">
        <f>70.4+92.3</f>
        <v>162.69999999999999</v>
      </c>
      <c r="T39" s="119">
        <f>92.8+45.8</f>
        <v>138.6</v>
      </c>
      <c r="U39" s="119">
        <f>92.6+50.9</f>
        <v>143.5</v>
      </c>
      <c r="V39" s="119">
        <f>92.1+49.1</f>
        <v>141.19999999999999</v>
      </c>
      <c r="W39" s="119">
        <f>91+72</f>
        <v>163</v>
      </c>
      <c r="X39" s="119">
        <f>89+73.7</f>
        <v>162.69999999999999</v>
      </c>
      <c r="Y39" s="119">
        <v>169.5</v>
      </c>
      <c r="Z39" s="119">
        <f>89.8+80.7</f>
        <v>170.5</v>
      </c>
      <c r="AA39" s="119">
        <f>90.7+81.2</f>
        <v>171.9</v>
      </c>
      <c r="AB39" s="119">
        <f>90.7+81.2</f>
        <v>171.9</v>
      </c>
      <c r="AC39" s="119">
        <f>90.7+81.2</f>
        <v>171.9</v>
      </c>
      <c r="AD39" s="119"/>
      <c r="AE39" s="119">
        <v>168</v>
      </c>
      <c r="AF39" s="119">
        <v>168</v>
      </c>
      <c r="AG39" s="94">
        <v>240</v>
      </c>
      <c r="AH39" s="20">
        <f t="shared" si="2"/>
        <v>171.9</v>
      </c>
      <c r="AI39" s="19">
        <f t="shared" si="3"/>
        <v>136.19999999999999</v>
      </c>
      <c r="AK39" s="41"/>
    </row>
    <row r="40" spans="1:88" ht="15.75" thickBot="1" x14ac:dyDescent="0.3">
      <c r="A40" s="118" t="s">
        <v>195</v>
      </c>
      <c r="B40" s="86">
        <f t="shared" ref="B40:AG40" si="6">SUM(B11:B38)</f>
        <v>709.8</v>
      </c>
      <c r="C40" s="86">
        <f t="shared" si="6"/>
        <v>709.8</v>
      </c>
      <c r="D40" s="86">
        <f t="shared" si="6"/>
        <v>722.3</v>
      </c>
      <c r="E40" s="86">
        <f t="shared" si="6"/>
        <v>722.3</v>
      </c>
      <c r="F40" s="86">
        <f t="shared" si="6"/>
        <v>722.3</v>
      </c>
      <c r="G40" s="86">
        <f t="shared" si="6"/>
        <v>722.3</v>
      </c>
      <c r="H40" s="86">
        <f t="shared" si="6"/>
        <v>722.3</v>
      </c>
      <c r="I40" s="86">
        <f t="shared" si="6"/>
        <v>722.3</v>
      </c>
      <c r="J40" s="86">
        <f t="shared" si="6"/>
        <v>722.3</v>
      </c>
      <c r="K40" s="86">
        <f t="shared" si="6"/>
        <v>722.3</v>
      </c>
      <c r="L40" s="86">
        <f t="shared" si="6"/>
        <v>778.7</v>
      </c>
      <c r="M40" s="86">
        <f t="shared" si="6"/>
        <v>788</v>
      </c>
      <c r="N40" s="86">
        <f t="shared" si="6"/>
        <v>801.9</v>
      </c>
      <c r="O40" s="86">
        <f t="shared" si="6"/>
        <v>794.5</v>
      </c>
      <c r="P40" s="86">
        <f t="shared" si="6"/>
        <v>796.5</v>
      </c>
      <c r="Q40" s="86">
        <f t="shared" si="6"/>
        <v>809.1</v>
      </c>
      <c r="R40" s="86">
        <f t="shared" si="6"/>
        <v>822.40000000000009</v>
      </c>
      <c r="S40" s="86">
        <f t="shared" si="6"/>
        <v>827.40000000000009</v>
      </c>
      <c r="T40" s="86">
        <f t="shared" si="6"/>
        <v>807.7</v>
      </c>
      <c r="U40" s="86">
        <f t="shared" si="6"/>
        <v>801.7</v>
      </c>
      <c r="V40" s="86">
        <f t="shared" si="6"/>
        <v>797.1</v>
      </c>
      <c r="W40" s="86">
        <f t="shared" si="6"/>
        <v>814.1</v>
      </c>
      <c r="X40" s="86">
        <f t="shared" si="6"/>
        <v>834.1</v>
      </c>
      <c r="Y40" s="86">
        <f t="shared" si="6"/>
        <v>842</v>
      </c>
      <c r="Z40" s="86">
        <f t="shared" si="6"/>
        <v>842</v>
      </c>
      <c r="AA40" s="86">
        <f t="shared" si="6"/>
        <v>842</v>
      </c>
      <c r="AB40" s="86">
        <f t="shared" si="6"/>
        <v>842</v>
      </c>
      <c r="AC40" s="86">
        <f t="shared" si="6"/>
        <v>842</v>
      </c>
      <c r="AD40" s="86">
        <f t="shared" si="6"/>
        <v>0</v>
      </c>
      <c r="AE40" s="86">
        <f t="shared" si="6"/>
        <v>765.40000000000009</v>
      </c>
      <c r="AF40" s="86">
        <f t="shared" si="6"/>
        <v>790.8</v>
      </c>
      <c r="AG40" s="101">
        <f t="shared" si="6"/>
        <v>707.78000000000009</v>
      </c>
      <c r="AH40" s="20">
        <f t="shared" si="2"/>
        <v>842</v>
      </c>
      <c r="AI40" s="19">
        <f t="shared" si="3"/>
        <v>0</v>
      </c>
      <c r="AK40" s="41"/>
    </row>
    <row r="41" spans="1:88" x14ac:dyDescent="0.25">
      <c r="A41" s="117" t="s">
        <v>194</v>
      </c>
      <c r="B41" s="105">
        <v>400</v>
      </c>
      <c r="C41" s="105">
        <v>400</v>
      </c>
      <c r="D41" s="105">
        <v>400</v>
      </c>
      <c r="E41" s="105">
        <v>370</v>
      </c>
      <c r="F41" s="105">
        <v>390</v>
      </c>
      <c r="G41" s="105">
        <v>360</v>
      </c>
      <c r="H41" s="105">
        <v>360</v>
      </c>
      <c r="I41" s="105">
        <v>410</v>
      </c>
      <c r="J41" s="105">
        <v>410</v>
      </c>
      <c r="K41" s="105">
        <v>456</v>
      </c>
      <c r="L41" s="105">
        <v>456</v>
      </c>
      <c r="M41" s="105">
        <v>456</v>
      </c>
      <c r="N41" s="105">
        <v>456</v>
      </c>
      <c r="O41" s="105">
        <v>420</v>
      </c>
      <c r="P41" s="105">
        <v>420</v>
      </c>
      <c r="Q41" s="105">
        <v>405</v>
      </c>
      <c r="R41" s="105">
        <v>380</v>
      </c>
      <c r="S41" s="105">
        <v>245</v>
      </c>
      <c r="T41" s="105">
        <v>400</v>
      </c>
      <c r="U41" s="105">
        <v>430</v>
      </c>
      <c r="V41" s="105">
        <v>456</v>
      </c>
      <c r="W41" s="105">
        <v>456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456</v>
      </c>
      <c r="AC41" s="105">
        <v>456</v>
      </c>
      <c r="AD41" s="105">
        <v>456</v>
      </c>
      <c r="AE41" s="105">
        <v>406</v>
      </c>
      <c r="AF41" s="105">
        <v>406</v>
      </c>
      <c r="AG41" s="96">
        <v>456</v>
      </c>
      <c r="AH41" s="20">
        <f t="shared" si="2"/>
        <v>456</v>
      </c>
      <c r="AI41" s="19">
        <f t="shared" si="3"/>
        <v>245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>
        <v>60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/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>
        <v>22</v>
      </c>
      <c r="N43" s="107">
        <v>22</v>
      </c>
      <c r="O43" s="107">
        <v>22</v>
      </c>
      <c r="P43" s="107">
        <v>22</v>
      </c>
      <c r="Q43" s="107">
        <v>0</v>
      </c>
      <c r="R43" s="107">
        <v>14</v>
      </c>
      <c r="S43" s="107">
        <v>14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/>
      <c r="AE43" s="107">
        <v>22</v>
      </c>
      <c r="AF43" s="107">
        <v>22</v>
      </c>
      <c r="AG43" s="106">
        <v>22.1</v>
      </c>
      <c r="AH43" s="20">
        <f t="shared" si="2"/>
        <v>22</v>
      </c>
      <c r="AI43" s="19">
        <f t="shared" si="3"/>
        <v>0</v>
      </c>
      <c r="AK43" s="41"/>
    </row>
    <row r="44" spans="1:88" ht="15.75" thickBot="1" x14ac:dyDescent="0.3">
      <c r="A44" s="114" t="s">
        <v>191</v>
      </c>
      <c r="B44" s="86">
        <f t="shared" ref="B44:AG44" si="7">SUM(B41:B43)</f>
        <v>482</v>
      </c>
      <c r="C44" s="86">
        <f t="shared" si="7"/>
        <v>482</v>
      </c>
      <c r="D44" s="86">
        <f t="shared" si="7"/>
        <v>482</v>
      </c>
      <c r="E44" s="86">
        <f t="shared" si="7"/>
        <v>452</v>
      </c>
      <c r="F44" s="86">
        <f t="shared" si="7"/>
        <v>472</v>
      </c>
      <c r="G44" s="86">
        <f t="shared" si="7"/>
        <v>442</v>
      </c>
      <c r="H44" s="86">
        <f t="shared" si="7"/>
        <v>442</v>
      </c>
      <c r="I44" s="86">
        <f t="shared" si="7"/>
        <v>492</v>
      </c>
      <c r="J44" s="86">
        <f t="shared" si="7"/>
        <v>492</v>
      </c>
      <c r="K44" s="86">
        <f t="shared" si="7"/>
        <v>538</v>
      </c>
      <c r="L44" s="86">
        <f t="shared" si="7"/>
        <v>538</v>
      </c>
      <c r="M44" s="86">
        <f t="shared" si="7"/>
        <v>538</v>
      </c>
      <c r="N44" s="86">
        <f t="shared" si="7"/>
        <v>538</v>
      </c>
      <c r="O44" s="86">
        <f t="shared" si="7"/>
        <v>502</v>
      </c>
      <c r="P44" s="86">
        <f t="shared" si="7"/>
        <v>502</v>
      </c>
      <c r="Q44" s="86">
        <f t="shared" si="7"/>
        <v>465</v>
      </c>
      <c r="R44" s="86">
        <f t="shared" si="7"/>
        <v>454</v>
      </c>
      <c r="S44" s="86">
        <f t="shared" si="7"/>
        <v>319</v>
      </c>
      <c r="T44" s="86">
        <f t="shared" si="7"/>
        <v>482</v>
      </c>
      <c r="U44" s="86">
        <f t="shared" si="7"/>
        <v>512</v>
      </c>
      <c r="V44" s="86">
        <f t="shared" si="7"/>
        <v>538</v>
      </c>
      <c r="W44" s="86">
        <f t="shared" si="7"/>
        <v>538</v>
      </c>
      <c r="X44" s="86">
        <f t="shared" si="7"/>
        <v>538</v>
      </c>
      <c r="Y44" s="86">
        <f t="shared" si="7"/>
        <v>538</v>
      </c>
      <c r="Z44" s="86">
        <f t="shared" si="7"/>
        <v>538</v>
      </c>
      <c r="AA44" s="86">
        <f t="shared" si="7"/>
        <v>538</v>
      </c>
      <c r="AB44" s="86">
        <f t="shared" si="7"/>
        <v>538</v>
      </c>
      <c r="AC44" s="86">
        <f t="shared" si="7"/>
        <v>538</v>
      </c>
      <c r="AD44" s="86">
        <f t="shared" si="7"/>
        <v>456</v>
      </c>
      <c r="AE44" s="86">
        <f t="shared" si="7"/>
        <v>488</v>
      </c>
      <c r="AF44" s="86">
        <f t="shared" si="7"/>
        <v>488</v>
      </c>
      <c r="AG44" s="101">
        <f t="shared" si="7"/>
        <v>538.1</v>
      </c>
      <c r="AH44" s="20">
        <f t="shared" si="2"/>
        <v>538</v>
      </c>
      <c r="AI44" s="19">
        <f t="shared" si="3"/>
        <v>319</v>
      </c>
      <c r="AK44" s="41"/>
    </row>
    <row r="45" spans="1:88" x14ac:dyDescent="0.25">
      <c r="A45" s="97" t="s">
        <v>190</v>
      </c>
      <c r="B45" s="105">
        <v>92.1</v>
      </c>
      <c r="C45" s="105">
        <v>91.9</v>
      </c>
      <c r="D45" s="105">
        <v>92.1</v>
      </c>
      <c r="E45" s="105">
        <v>92.1</v>
      </c>
      <c r="F45" s="105">
        <v>92.1</v>
      </c>
      <c r="G45" s="105">
        <v>92.1</v>
      </c>
      <c r="H45" s="105">
        <v>92.1</v>
      </c>
      <c r="I45" s="105">
        <v>92.1</v>
      </c>
      <c r="J45" s="105">
        <v>92.1</v>
      </c>
      <c r="K45" s="105">
        <v>92.1</v>
      </c>
      <c r="L45" s="105">
        <v>92.1</v>
      </c>
      <c r="M45" s="105">
        <v>92.1</v>
      </c>
      <c r="N45" s="105">
        <v>92.1</v>
      </c>
      <c r="O45" s="105">
        <v>92.1</v>
      </c>
      <c r="P45" s="105">
        <v>92.1</v>
      </c>
      <c r="Q45" s="105">
        <v>92.1</v>
      </c>
      <c r="R45" s="105">
        <v>92.1</v>
      </c>
      <c r="S45" s="105">
        <v>92.1</v>
      </c>
      <c r="T45" s="105">
        <v>92.1</v>
      </c>
      <c r="U45" s="105">
        <v>92.1</v>
      </c>
      <c r="V45" s="105">
        <v>92.1</v>
      </c>
      <c r="W45" s="105">
        <v>92.1</v>
      </c>
      <c r="X45" s="105">
        <v>92.1</v>
      </c>
      <c r="Y45" s="105">
        <v>92.1</v>
      </c>
      <c r="Z45" s="105">
        <v>92.1</v>
      </c>
      <c r="AA45" s="105">
        <v>92.1</v>
      </c>
      <c r="AB45" s="105">
        <v>92.1</v>
      </c>
      <c r="AC45" s="105">
        <v>92.1</v>
      </c>
      <c r="AD45" s="105"/>
      <c r="AE45" s="105">
        <v>42</v>
      </c>
      <c r="AF45" s="105">
        <v>92.1</v>
      </c>
      <c r="AG45" s="96">
        <v>144</v>
      </c>
      <c r="AH45" s="20">
        <f t="shared" si="2"/>
        <v>92.1</v>
      </c>
      <c r="AI45" s="19">
        <f t="shared" si="3"/>
        <v>42</v>
      </c>
      <c r="AK45" s="41"/>
    </row>
    <row r="46" spans="1:88" x14ac:dyDescent="0.25">
      <c r="A46" s="95" t="s">
        <v>189</v>
      </c>
      <c r="B46" s="80">
        <v>71.3</v>
      </c>
      <c r="C46" s="80">
        <v>71.3</v>
      </c>
      <c r="D46" s="80">
        <v>70.8</v>
      </c>
      <c r="E46" s="80">
        <v>50</v>
      </c>
      <c r="F46" s="80">
        <v>50</v>
      </c>
      <c r="G46" s="80">
        <v>50</v>
      </c>
      <c r="H46" s="80">
        <v>50</v>
      </c>
      <c r="I46" s="80">
        <v>50</v>
      </c>
      <c r="J46" s="80">
        <v>50</v>
      </c>
      <c r="K46" s="80">
        <v>70.8</v>
      </c>
      <c r="L46" s="80">
        <v>70.8</v>
      </c>
      <c r="M46" s="80">
        <v>70.8</v>
      </c>
      <c r="N46" s="80">
        <v>73</v>
      </c>
      <c r="O46" s="80">
        <v>73</v>
      </c>
      <c r="P46" s="105">
        <v>73.3</v>
      </c>
      <c r="Q46" s="105">
        <v>72.5</v>
      </c>
      <c r="R46" s="105">
        <v>72.5</v>
      </c>
      <c r="S46" s="80">
        <v>70.900000000000006</v>
      </c>
      <c r="T46" s="80">
        <v>70.900000000000006</v>
      </c>
      <c r="U46" s="80">
        <v>70.900000000000006</v>
      </c>
      <c r="V46" s="80">
        <v>70.900000000000006</v>
      </c>
      <c r="W46" s="80">
        <v>70.900000000000006</v>
      </c>
      <c r="X46" s="80">
        <v>70.900000000000006</v>
      </c>
      <c r="Y46" s="80">
        <v>70.900000000000006</v>
      </c>
      <c r="Z46" s="80">
        <v>70.900000000000006</v>
      </c>
      <c r="AA46" s="80">
        <v>70.900000000000006</v>
      </c>
      <c r="AB46" s="80">
        <v>70.900000000000006</v>
      </c>
      <c r="AC46" s="80">
        <v>70.900000000000006</v>
      </c>
      <c r="AD46" s="80"/>
      <c r="AE46" s="80">
        <v>60</v>
      </c>
      <c r="AF46" s="80">
        <v>70.900000000000006</v>
      </c>
      <c r="AG46" s="94">
        <v>70</v>
      </c>
      <c r="AH46" s="20">
        <f t="shared" si="2"/>
        <v>73.3</v>
      </c>
      <c r="AI46" s="19">
        <f t="shared" si="3"/>
        <v>50</v>
      </c>
      <c r="AK46" s="41"/>
    </row>
    <row r="47" spans="1:88" x14ac:dyDescent="0.25">
      <c r="A47" s="95" t="s">
        <v>188</v>
      </c>
      <c r="B47" s="80">
        <v>41.1</v>
      </c>
      <c r="C47" s="80">
        <v>41.1</v>
      </c>
      <c r="D47" s="80">
        <v>41.1</v>
      </c>
      <c r="E47" s="80">
        <v>41.1</v>
      </c>
      <c r="F47" s="80">
        <v>41.1</v>
      </c>
      <c r="G47" s="80">
        <v>41.1</v>
      </c>
      <c r="H47" s="80">
        <v>41.1</v>
      </c>
      <c r="I47" s="80">
        <v>41.1</v>
      </c>
      <c r="J47" s="80">
        <v>41.1</v>
      </c>
      <c r="K47" s="80">
        <v>41.1</v>
      </c>
      <c r="L47" s="80">
        <v>41.1</v>
      </c>
      <c r="M47" s="80">
        <v>41.1</v>
      </c>
      <c r="N47" s="80">
        <v>41.1</v>
      </c>
      <c r="O47" s="80">
        <v>41.1</v>
      </c>
      <c r="P47" s="105">
        <v>41.9</v>
      </c>
      <c r="Q47" s="105">
        <v>41.9</v>
      </c>
      <c r="R47" s="105">
        <v>41.9</v>
      </c>
      <c r="S47" s="80">
        <v>41.7</v>
      </c>
      <c r="T47" s="80">
        <v>41.7</v>
      </c>
      <c r="U47" s="80">
        <v>41.7</v>
      </c>
      <c r="V47" s="80">
        <v>41.7</v>
      </c>
      <c r="W47" s="80">
        <v>41.7</v>
      </c>
      <c r="X47" s="80">
        <v>41.7</v>
      </c>
      <c r="Y47" s="80">
        <v>41.7</v>
      </c>
      <c r="Z47" s="80">
        <v>41.7</v>
      </c>
      <c r="AA47" s="80">
        <v>41.7</v>
      </c>
      <c r="AB47" s="80">
        <v>41.7</v>
      </c>
      <c r="AC47" s="80">
        <v>41.7</v>
      </c>
      <c r="AD47" s="80"/>
      <c r="AE47" s="80">
        <v>41</v>
      </c>
      <c r="AF47" s="80">
        <v>41.7</v>
      </c>
      <c r="AG47" s="94">
        <v>69</v>
      </c>
      <c r="AH47" s="20">
        <f t="shared" si="2"/>
        <v>41.9</v>
      </c>
      <c r="AI47" s="19">
        <f t="shared" si="3"/>
        <v>41</v>
      </c>
      <c r="AK47" s="41"/>
    </row>
    <row r="48" spans="1:88" x14ac:dyDescent="0.25">
      <c r="A48" s="95" t="s">
        <v>187</v>
      </c>
      <c r="B48" s="113">
        <v>60.9</v>
      </c>
      <c r="C48" s="113">
        <v>40</v>
      </c>
      <c r="D48" s="113">
        <v>40</v>
      </c>
      <c r="E48" s="113">
        <v>40</v>
      </c>
      <c r="F48" s="113">
        <v>40</v>
      </c>
      <c r="G48" s="113">
        <v>40</v>
      </c>
      <c r="H48" s="113">
        <v>39.1</v>
      </c>
      <c r="I48" s="113">
        <v>39.1</v>
      </c>
      <c r="J48" s="113">
        <v>39.1</v>
      </c>
      <c r="K48" s="113">
        <v>60</v>
      </c>
      <c r="L48" s="113">
        <v>60</v>
      </c>
      <c r="M48" s="113">
        <v>60</v>
      </c>
      <c r="N48" s="113">
        <v>60</v>
      </c>
      <c r="O48" s="113">
        <v>60</v>
      </c>
      <c r="P48" s="105">
        <v>60</v>
      </c>
      <c r="Q48" s="105">
        <v>60</v>
      </c>
      <c r="R48" s="105">
        <v>60</v>
      </c>
      <c r="S48" s="105">
        <v>61.5</v>
      </c>
      <c r="T48" s="105">
        <v>61.5</v>
      </c>
      <c r="U48" s="105">
        <v>61.5</v>
      </c>
      <c r="V48" s="105">
        <v>61.5</v>
      </c>
      <c r="W48" s="105">
        <v>61.5</v>
      </c>
      <c r="X48" s="105">
        <v>61.5</v>
      </c>
      <c r="Y48" s="105">
        <v>61.5</v>
      </c>
      <c r="Z48" s="105">
        <v>61.5</v>
      </c>
      <c r="AA48" s="105">
        <v>61.5</v>
      </c>
      <c r="AB48" s="105">
        <v>61.5</v>
      </c>
      <c r="AC48" s="105">
        <v>61.5</v>
      </c>
      <c r="AD48" s="113"/>
      <c r="AE48" s="113">
        <v>40</v>
      </c>
      <c r="AF48" s="113">
        <v>61.5</v>
      </c>
      <c r="AG48" s="94">
        <v>60</v>
      </c>
      <c r="AH48" s="20">
        <f t="shared" si="2"/>
        <v>61.5</v>
      </c>
      <c r="AI48" s="19">
        <f t="shared" si="3"/>
        <v>39.1</v>
      </c>
      <c r="AK48" s="41"/>
    </row>
    <row r="49" spans="1:41" x14ac:dyDescent="0.25">
      <c r="A49" s="95" t="s">
        <v>186</v>
      </c>
      <c r="B49" s="113">
        <v>0</v>
      </c>
      <c r="C49" s="113">
        <v>0</v>
      </c>
      <c r="D49" s="113">
        <v>0</v>
      </c>
      <c r="E49" s="113">
        <v>0</v>
      </c>
      <c r="F49" s="113">
        <v>0</v>
      </c>
      <c r="G49" s="113">
        <v>0</v>
      </c>
      <c r="H49" s="113">
        <v>0</v>
      </c>
      <c r="I49" s="113">
        <v>0</v>
      </c>
      <c r="J49" s="113">
        <v>0</v>
      </c>
      <c r="K49" s="113">
        <v>0</v>
      </c>
      <c r="L49" s="113">
        <v>0</v>
      </c>
      <c r="M49" s="113">
        <v>0</v>
      </c>
      <c r="N49" s="113">
        <v>0</v>
      </c>
      <c r="O49" s="113">
        <v>0</v>
      </c>
      <c r="P49" s="105">
        <v>0</v>
      </c>
      <c r="Q49" s="105">
        <v>0</v>
      </c>
      <c r="R49" s="105">
        <v>0</v>
      </c>
      <c r="S49" s="105">
        <v>0</v>
      </c>
      <c r="T49" s="105">
        <v>0</v>
      </c>
      <c r="U49" s="105">
        <v>0</v>
      </c>
      <c r="V49" s="105">
        <v>0</v>
      </c>
      <c r="W49" s="105">
        <v>0</v>
      </c>
      <c r="X49" s="105">
        <v>0</v>
      </c>
      <c r="Y49" s="105">
        <v>0</v>
      </c>
      <c r="Z49" s="105">
        <v>0</v>
      </c>
      <c r="AA49" s="105">
        <v>0</v>
      </c>
      <c r="AB49" s="105">
        <v>0</v>
      </c>
      <c r="AC49" s="105">
        <v>0</v>
      </c>
      <c r="AD49" s="113"/>
      <c r="AE49" s="113">
        <v>0</v>
      </c>
      <c r="AF49" s="113">
        <v>0</v>
      </c>
      <c r="AG49" s="94">
        <v>30</v>
      </c>
      <c r="AH49" s="20">
        <f t="shared" si="2"/>
        <v>0</v>
      </c>
      <c r="AI49" s="19">
        <f t="shared" si="3"/>
        <v>0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>
        <v>8</v>
      </c>
      <c r="N50" s="80">
        <v>10</v>
      </c>
      <c r="O50" s="80">
        <v>12</v>
      </c>
      <c r="P50" s="80">
        <v>14</v>
      </c>
      <c r="Q50" s="80">
        <v>14</v>
      </c>
      <c r="R50" s="105">
        <v>16</v>
      </c>
      <c r="S50" s="105">
        <v>16</v>
      </c>
      <c r="T50" s="105">
        <v>16</v>
      </c>
      <c r="U50" s="105">
        <v>16</v>
      </c>
      <c r="V50" s="105">
        <v>16</v>
      </c>
      <c r="W50" s="105">
        <v>0</v>
      </c>
      <c r="X50" s="105">
        <v>0</v>
      </c>
      <c r="Y50" s="105">
        <v>0</v>
      </c>
      <c r="Z50" s="105">
        <v>0</v>
      </c>
      <c r="AA50" s="105">
        <v>0</v>
      </c>
      <c r="AB50" s="105">
        <v>0</v>
      </c>
      <c r="AC50" s="105">
        <v>0</v>
      </c>
      <c r="AD50" s="80"/>
      <c r="AE50" s="80">
        <v>0</v>
      </c>
      <c r="AF50" s="80">
        <v>0</v>
      </c>
      <c r="AG50" s="94">
        <v>25</v>
      </c>
      <c r="AH50" s="20">
        <f t="shared" si="2"/>
        <v>16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0</v>
      </c>
      <c r="C51" s="80">
        <v>0</v>
      </c>
      <c r="D51" s="80">
        <v>0</v>
      </c>
      <c r="E51" s="80">
        <v>0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>
        <v>0</v>
      </c>
      <c r="L51" s="80">
        <v>0</v>
      </c>
      <c r="M51" s="80">
        <v>0</v>
      </c>
      <c r="N51" s="80">
        <v>0</v>
      </c>
      <c r="O51" s="80">
        <v>0</v>
      </c>
      <c r="P51" s="80">
        <v>0</v>
      </c>
      <c r="Q51" s="80">
        <v>0</v>
      </c>
      <c r="R51" s="80">
        <v>0</v>
      </c>
      <c r="S51" s="80">
        <v>0</v>
      </c>
      <c r="T51" s="80">
        <v>0</v>
      </c>
      <c r="U51" s="80">
        <v>0</v>
      </c>
      <c r="V51" s="80">
        <v>0</v>
      </c>
      <c r="W51" s="80">
        <v>0</v>
      </c>
      <c r="X51" s="80">
        <v>0</v>
      </c>
      <c r="Y51" s="80">
        <v>0</v>
      </c>
      <c r="Z51" s="80">
        <v>0</v>
      </c>
      <c r="AA51" s="80">
        <v>0</v>
      </c>
      <c r="AB51" s="80">
        <v>0</v>
      </c>
      <c r="AC51" s="80">
        <v>0</v>
      </c>
      <c r="AD51" s="80"/>
      <c r="AE51" s="80">
        <v>0</v>
      </c>
      <c r="AF51" s="80">
        <v>0</v>
      </c>
      <c r="AG51" s="94">
        <v>24</v>
      </c>
      <c r="AH51" s="20">
        <f t="shared" si="2"/>
        <v>0</v>
      </c>
      <c r="AI51" s="19">
        <f t="shared" si="3"/>
        <v>0</v>
      </c>
      <c r="AK51" s="41"/>
    </row>
    <row r="52" spans="1:41" x14ac:dyDescent="0.25">
      <c r="A52" s="95" t="s">
        <v>183</v>
      </c>
      <c r="B52" s="80">
        <v>2.5</v>
      </c>
      <c r="C52" s="80">
        <v>2.5</v>
      </c>
      <c r="D52" s="80">
        <v>2.5</v>
      </c>
      <c r="E52" s="80">
        <v>2.5</v>
      </c>
      <c r="F52" s="80">
        <v>2.5</v>
      </c>
      <c r="G52" s="80">
        <v>2.5</v>
      </c>
      <c r="H52" s="80">
        <v>2.5</v>
      </c>
      <c r="I52" s="80">
        <v>2.5</v>
      </c>
      <c r="J52" s="80">
        <v>2.5</v>
      </c>
      <c r="K52" s="80">
        <v>2.5</v>
      </c>
      <c r="L52" s="80">
        <v>2.5</v>
      </c>
      <c r="M52" s="80">
        <v>3</v>
      </c>
      <c r="N52" s="80">
        <v>3</v>
      </c>
      <c r="O52" s="80">
        <v>3</v>
      </c>
      <c r="P52" s="80">
        <v>3</v>
      </c>
      <c r="Q52" s="80">
        <v>3</v>
      </c>
      <c r="R52" s="80">
        <v>3</v>
      </c>
      <c r="S52" s="80">
        <v>3</v>
      </c>
      <c r="T52" s="80">
        <v>3</v>
      </c>
      <c r="U52" s="80">
        <v>3</v>
      </c>
      <c r="V52" s="80">
        <v>3</v>
      </c>
      <c r="W52" s="80">
        <v>3</v>
      </c>
      <c r="X52" s="80">
        <v>3</v>
      </c>
      <c r="Y52" s="80">
        <v>3</v>
      </c>
      <c r="Z52" s="80">
        <v>3</v>
      </c>
      <c r="AA52" s="80">
        <v>3</v>
      </c>
      <c r="AB52" s="80">
        <v>3</v>
      </c>
      <c r="AC52" s="80">
        <v>3</v>
      </c>
      <c r="AD52" s="80"/>
      <c r="AE52" s="80">
        <v>3</v>
      </c>
      <c r="AF52" s="80">
        <v>3</v>
      </c>
      <c r="AG52" s="94">
        <v>15</v>
      </c>
      <c r="AH52" s="20">
        <f t="shared" si="2"/>
        <v>3</v>
      </c>
      <c r="AI52" s="19">
        <f t="shared" si="3"/>
        <v>2.5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0</v>
      </c>
      <c r="C53" s="80">
        <v>0</v>
      </c>
      <c r="D53" s="80">
        <v>0</v>
      </c>
      <c r="E53" s="80">
        <v>0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>
        <v>0</v>
      </c>
      <c r="L53" s="80">
        <v>0</v>
      </c>
      <c r="M53" s="80">
        <v>0</v>
      </c>
      <c r="N53" s="80">
        <v>0</v>
      </c>
      <c r="O53" s="80">
        <v>0</v>
      </c>
      <c r="P53" s="80">
        <v>0</v>
      </c>
      <c r="Q53" s="80">
        <v>0</v>
      </c>
      <c r="R53" s="80">
        <v>0</v>
      </c>
      <c r="S53" s="80">
        <v>0</v>
      </c>
      <c r="T53" s="80">
        <v>0</v>
      </c>
      <c r="U53" s="80">
        <v>0</v>
      </c>
      <c r="V53" s="80">
        <v>0</v>
      </c>
      <c r="W53" s="80">
        <v>0</v>
      </c>
      <c r="X53" s="80">
        <v>0</v>
      </c>
      <c r="Y53" s="80">
        <v>0</v>
      </c>
      <c r="Z53" s="80">
        <v>0</v>
      </c>
      <c r="AA53" s="80">
        <v>0</v>
      </c>
      <c r="AB53" s="80">
        <v>0</v>
      </c>
      <c r="AC53" s="80">
        <v>0</v>
      </c>
      <c r="AD53" s="80"/>
      <c r="AE53" s="80">
        <v>0</v>
      </c>
      <c r="AF53" s="80">
        <v>0</v>
      </c>
      <c r="AG53" s="94">
        <v>14.1</v>
      </c>
      <c r="AH53" s="20">
        <f t="shared" si="2"/>
        <v>0</v>
      </c>
      <c r="AI53" s="19">
        <f t="shared" si="3"/>
        <v>0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7.3</v>
      </c>
      <c r="C54" s="80">
        <v>9.8000000000000007</v>
      </c>
      <c r="D54" s="80">
        <v>9.8000000000000007</v>
      </c>
      <c r="E54" s="80">
        <v>9.8000000000000007</v>
      </c>
      <c r="F54" s="80">
        <v>9.8000000000000007</v>
      </c>
      <c r="G54" s="80">
        <v>9.8000000000000007</v>
      </c>
      <c r="H54" s="80">
        <v>9.8000000000000007</v>
      </c>
      <c r="I54" s="80">
        <v>9.8000000000000007</v>
      </c>
      <c r="J54" s="80">
        <v>9.8000000000000007</v>
      </c>
      <c r="K54" s="80">
        <v>9.8000000000000007</v>
      </c>
      <c r="L54" s="80">
        <v>9.8000000000000007</v>
      </c>
      <c r="M54" s="80">
        <v>14.1</v>
      </c>
      <c r="N54" s="80">
        <v>14.1</v>
      </c>
      <c r="O54" s="80">
        <v>7.1</v>
      </c>
      <c r="P54" s="80">
        <v>7.1</v>
      </c>
      <c r="Q54" s="80">
        <v>7.1</v>
      </c>
      <c r="R54" s="80">
        <v>7.1</v>
      </c>
      <c r="S54" s="80">
        <v>14</v>
      </c>
      <c r="T54" s="80">
        <v>14</v>
      </c>
      <c r="U54" s="80">
        <v>14</v>
      </c>
      <c r="V54" s="80">
        <v>14</v>
      </c>
      <c r="W54" s="80">
        <v>14</v>
      </c>
      <c r="X54" s="80">
        <v>14</v>
      </c>
      <c r="Y54" s="80">
        <v>14</v>
      </c>
      <c r="Z54" s="80">
        <v>14</v>
      </c>
      <c r="AA54" s="80">
        <v>14</v>
      </c>
      <c r="AB54" s="80">
        <v>14</v>
      </c>
      <c r="AC54" s="80">
        <v>14</v>
      </c>
      <c r="AD54" s="80"/>
      <c r="AE54" s="80">
        <v>14</v>
      </c>
      <c r="AF54" s="80">
        <v>14</v>
      </c>
      <c r="AG54" s="94">
        <v>14</v>
      </c>
      <c r="AH54" s="20">
        <f t="shared" si="2"/>
        <v>14.1</v>
      </c>
      <c r="AI54" s="19">
        <f t="shared" si="3"/>
        <v>7.1</v>
      </c>
      <c r="AK54" s="41"/>
    </row>
    <row r="55" spans="1:41" x14ac:dyDescent="0.25">
      <c r="A55" s="95" t="s">
        <v>180</v>
      </c>
      <c r="B55" s="80">
        <v>6</v>
      </c>
      <c r="C55" s="80">
        <v>6</v>
      </c>
      <c r="D55" s="80">
        <v>6</v>
      </c>
      <c r="E55" s="80">
        <v>6</v>
      </c>
      <c r="F55" s="80">
        <v>6</v>
      </c>
      <c r="G55" s="80">
        <v>6</v>
      </c>
      <c r="H55" s="80">
        <v>6</v>
      </c>
      <c r="I55" s="80">
        <v>6</v>
      </c>
      <c r="J55" s="80">
        <v>6</v>
      </c>
      <c r="K55" s="80">
        <v>6</v>
      </c>
      <c r="L55" s="80">
        <v>6</v>
      </c>
      <c r="M55" s="80">
        <v>9</v>
      </c>
      <c r="N55" s="80">
        <v>9</v>
      </c>
      <c r="O55" s="80">
        <v>9</v>
      </c>
      <c r="P55" s="80">
        <v>9</v>
      </c>
      <c r="Q55" s="80">
        <v>9</v>
      </c>
      <c r="R55" s="80">
        <v>9</v>
      </c>
      <c r="S55" s="80">
        <v>9</v>
      </c>
      <c r="T55" s="80">
        <v>9</v>
      </c>
      <c r="U55" s="80">
        <v>9</v>
      </c>
      <c r="V55" s="80">
        <v>9</v>
      </c>
      <c r="W55" s="80">
        <v>9</v>
      </c>
      <c r="X55" s="80">
        <v>9</v>
      </c>
      <c r="Y55" s="80">
        <v>9</v>
      </c>
      <c r="Z55" s="80">
        <v>9</v>
      </c>
      <c r="AA55" s="80">
        <v>9</v>
      </c>
      <c r="AB55" s="80">
        <v>9</v>
      </c>
      <c r="AC55" s="80">
        <v>9</v>
      </c>
      <c r="AD55" s="80"/>
      <c r="AE55" s="80">
        <v>9</v>
      </c>
      <c r="AF55" s="80">
        <v>9</v>
      </c>
      <c r="AG55" s="94">
        <v>10.050000000000001</v>
      </c>
      <c r="AH55" s="20">
        <f t="shared" si="2"/>
        <v>9</v>
      </c>
      <c r="AI55" s="19">
        <f t="shared" si="3"/>
        <v>6</v>
      </c>
      <c r="AK55" s="41"/>
    </row>
    <row r="56" spans="1:41" x14ac:dyDescent="0.25">
      <c r="A56" s="95" t="s">
        <v>179</v>
      </c>
      <c r="B56" s="80">
        <v>6.2</v>
      </c>
      <c r="C56" s="80">
        <v>6.2</v>
      </c>
      <c r="D56" s="80">
        <v>6.2</v>
      </c>
      <c r="E56" s="80">
        <v>6.2</v>
      </c>
      <c r="F56" s="80">
        <v>6.2</v>
      </c>
      <c r="G56" s="80">
        <v>6.2</v>
      </c>
      <c r="H56" s="80">
        <v>6.2</v>
      </c>
      <c r="I56" s="80">
        <v>6.2</v>
      </c>
      <c r="J56" s="80">
        <v>6.2</v>
      </c>
      <c r="K56" s="80">
        <v>6.2</v>
      </c>
      <c r="L56" s="80">
        <v>6.2</v>
      </c>
      <c r="M56" s="80">
        <v>6.2</v>
      </c>
      <c r="N56" s="80">
        <v>6.2</v>
      </c>
      <c r="O56" s="80">
        <v>6.2</v>
      </c>
      <c r="P56" s="80">
        <v>6.2</v>
      </c>
      <c r="Q56" s="80">
        <v>6.2</v>
      </c>
      <c r="R56" s="80">
        <v>6.2</v>
      </c>
      <c r="S56" s="80">
        <v>6.2</v>
      </c>
      <c r="T56" s="80">
        <v>6.2</v>
      </c>
      <c r="U56" s="80">
        <v>6.2</v>
      </c>
      <c r="V56" s="80">
        <v>6.2</v>
      </c>
      <c r="W56" s="80">
        <v>6.2</v>
      </c>
      <c r="X56" s="80">
        <v>6.2</v>
      </c>
      <c r="Y56" s="80">
        <v>6.2</v>
      </c>
      <c r="Z56" s="80">
        <v>6.2</v>
      </c>
      <c r="AA56" s="80">
        <v>6.2</v>
      </c>
      <c r="AB56" s="80">
        <v>6.2</v>
      </c>
      <c r="AC56" s="80">
        <v>6.2</v>
      </c>
      <c r="AD56" s="80"/>
      <c r="AE56" s="80">
        <v>6.2</v>
      </c>
      <c r="AF56" s="80">
        <v>6.2</v>
      </c>
      <c r="AG56" s="94">
        <v>6.2</v>
      </c>
      <c r="AH56" s="20">
        <f t="shared" si="2"/>
        <v>6.2</v>
      </c>
      <c r="AI56" s="19">
        <f t="shared" si="3"/>
        <v>6.2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8">SUM(B45:B57)</f>
        <v>290.94</v>
      </c>
      <c r="C58" s="86">
        <f t="shared" si="8"/>
        <v>272.33999999999997</v>
      </c>
      <c r="D58" s="86">
        <f t="shared" si="8"/>
        <v>272.03999999999996</v>
      </c>
      <c r="E58" s="86">
        <f t="shared" si="8"/>
        <v>251.23999999999998</v>
      </c>
      <c r="F58" s="86">
        <f t="shared" si="8"/>
        <v>251.23999999999998</v>
      </c>
      <c r="G58" s="86">
        <f t="shared" si="8"/>
        <v>251.23999999999998</v>
      </c>
      <c r="H58" s="86">
        <f t="shared" si="8"/>
        <v>250.33999999999997</v>
      </c>
      <c r="I58" s="86">
        <f t="shared" si="8"/>
        <v>250.33999999999997</v>
      </c>
      <c r="J58" s="86">
        <f t="shared" si="8"/>
        <v>250.33999999999997</v>
      </c>
      <c r="K58" s="86">
        <f t="shared" si="8"/>
        <v>292.04000000000002</v>
      </c>
      <c r="L58" s="86">
        <f t="shared" si="8"/>
        <v>292.04000000000002</v>
      </c>
      <c r="M58" s="86">
        <f t="shared" si="8"/>
        <v>307.84000000000003</v>
      </c>
      <c r="N58" s="86">
        <f t="shared" si="8"/>
        <v>312.04000000000002</v>
      </c>
      <c r="O58" s="86">
        <f t="shared" si="8"/>
        <v>307.04000000000002</v>
      </c>
      <c r="P58" s="86">
        <f t="shared" si="8"/>
        <v>310.14</v>
      </c>
      <c r="Q58" s="86">
        <f t="shared" si="8"/>
        <v>309.34000000000003</v>
      </c>
      <c r="R58" s="86">
        <f t="shared" si="8"/>
        <v>311.34000000000003</v>
      </c>
      <c r="S58" s="86">
        <f t="shared" si="8"/>
        <v>317.94</v>
      </c>
      <c r="T58" s="86">
        <f t="shared" si="8"/>
        <v>317.94</v>
      </c>
      <c r="U58" s="86">
        <f t="shared" si="8"/>
        <v>317.94</v>
      </c>
      <c r="V58" s="86">
        <f t="shared" si="8"/>
        <v>317.94</v>
      </c>
      <c r="W58" s="86">
        <f t="shared" si="8"/>
        <v>301.94</v>
      </c>
      <c r="X58" s="86">
        <f t="shared" si="8"/>
        <v>301.94</v>
      </c>
      <c r="Y58" s="86">
        <f t="shared" si="8"/>
        <v>301.94</v>
      </c>
      <c r="Z58" s="86">
        <f t="shared" si="8"/>
        <v>301.94</v>
      </c>
      <c r="AA58" s="86">
        <f t="shared" si="8"/>
        <v>301.94</v>
      </c>
      <c r="AB58" s="86">
        <f t="shared" si="8"/>
        <v>301.94</v>
      </c>
      <c r="AC58" s="86">
        <f t="shared" si="8"/>
        <v>301.94</v>
      </c>
      <c r="AD58" s="86">
        <f t="shared" si="8"/>
        <v>3.54</v>
      </c>
      <c r="AE58" s="86">
        <f t="shared" si="8"/>
        <v>218.73999999999998</v>
      </c>
      <c r="AF58" s="86">
        <f t="shared" si="8"/>
        <v>301.94</v>
      </c>
      <c r="AG58" s="101">
        <f t="shared" si="8"/>
        <v>489.91</v>
      </c>
      <c r="AH58" s="20">
        <f t="shared" si="2"/>
        <v>317.94</v>
      </c>
      <c r="AI58" s="19">
        <f t="shared" si="3"/>
        <v>3.54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>
        <v>0</v>
      </c>
      <c r="S59" s="105">
        <v>0</v>
      </c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>
        <v>0</v>
      </c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9">SUM(B59:B61)</f>
        <v>0</v>
      </c>
      <c r="C62" s="86">
        <f t="shared" si="9"/>
        <v>0</v>
      </c>
      <c r="D62" s="86">
        <f t="shared" si="9"/>
        <v>0</v>
      </c>
      <c r="E62" s="86">
        <f t="shared" si="9"/>
        <v>0</v>
      </c>
      <c r="F62" s="86">
        <f t="shared" si="9"/>
        <v>0</v>
      </c>
      <c r="G62" s="86">
        <f t="shared" si="9"/>
        <v>0</v>
      </c>
      <c r="H62" s="86">
        <f t="shared" si="9"/>
        <v>0</v>
      </c>
      <c r="I62" s="86">
        <f t="shared" si="9"/>
        <v>0</v>
      </c>
      <c r="J62" s="86">
        <f t="shared" si="9"/>
        <v>0</v>
      </c>
      <c r="K62" s="86">
        <f t="shared" si="9"/>
        <v>0</v>
      </c>
      <c r="L62" s="86">
        <f t="shared" si="9"/>
        <v>0</v>
      </c>
      <c r="M62" s="86">
        <f t="shared" si="9"/>
        <v>0</v>
      </c>
      <c r="N62" s="86">
        <f t="shared" si="9"/>
        <v>0</v>
      </c>
      <c r="O62" s="86">
        <f t="shared" si="9"/>
        <v>0</v>
      </c>
      <c r="P62" s="86">
        <f t="shared" si="9"/>
        <v>0</v>
      </c>
      <c r="Q62" s="86">
        <f t="shared" si="9"/>
        <v>0</v>
      </c>
      <c r="R62" s="86">
        <f t="shared" si="9"/>
        <v>0</v>
      </c>
      <c r="S62" s="86">
        <f t="shared" si="9"/>
        <v>0</v>
      </c>
      <c r="T62" s="86">
        <f t="shared" si="9"/>
        <v>0</v>
      </c>
      <c r="U62" s="86">
        <f t="shared" si="9"/>
        <v>0</v>
      </c>
      <c r="V62" s="86">
        <f t="shared" si="9"/>
        <v>0</v>
      </c>
      <c r="W62" s="86">
        <f t="shared" si="9"/>
        <v>0</v>
      </c>
      <c r="X62" s="86">
        <f t="shared" si="9"/>
        <v>0</v>
      </c>
      <c r="Y62" s="86">
        <f t="shared" si="9"/>
        <v>0</v>
      </c>
      <c r="Z62" s="86">
        <f t="shared" si="9"/>
        <v>0</v>
      </c>
      <c r="AA62" s="86">
        <f t="shared" si="9"/>
        <v>0</v>
      </c>
      <c r="AB62" s="86">
        <f t="shared" si="9"/>
        <v>0</v>
      </c>
      <c r="AC62" s="86">
        <f t="shared" si="9"/>
        <v>0</v>
      </c>
      <c r="AD62" s="86">
        <f t="shared" si="9"/>
        <v>0</v>
      </c>
      <c r="AE62" s="86">
        <f t="shared" si="9"/>
        <v>0</v>
      </c>
      <c r="AF62" s="86">
        <f t="shared" si="9"/>
        <v>0</v>
      </c>
      <c r="AG62" s="101">
        <f t="shared" si="9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>
        <v>0</v>
      </c>
      <c r="S63" s="105">
        <v>0</v>
      </c>
      <c r="T63" s="105">
        <v>0</v>
      </c>
      <c r="U63" s="105">
        <v>0</v>
      </c>
      <c r="V63" s="105">
        <v>52.7</v>
      </c>
      <c r="W63" s="105">
        <v>52.7</v>
      </c>
      <c r="X63" s="105">
        <v>56</v>
      </c>
      <c r="Y63" s="105">
        <v>71.099999999999994</v>
      </c>
      <c r="Z63" s="105">
        <v>72.3</v>
      </c>
      <c r="AA63" s="105">
        <v>68</v>
      </c>
      <c r="AB63" s="105">
        <v>14</v>
      </c>
      <c r="AC63" s="105">
        <v>0</v>
      </c>
      <c r="AD63" s="105"/>
      <c r="AE63" s="105">
        <v>55</v>
      </c>
      <c r="AF63" s="105">
        <v>0</v>
      </c>
      <c r="AG63" s="96"/>
      <c r="AH63" s="20">
        <f t="shared" si="2"/>
        <v>72.3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/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-440</v>
      </c>
      <c r="C65" s="80">
        <v>-435</v>
      </c>
      <c r="D65" s="80">
        <v>-440</v>
      </c>
      <c r="E65" s="80">
        <v>-420</v>
      </c>
      <c r="F65" s="80">
        <v>-430</v>
      </c>
      <c r="G65" s="80">
        <v>-411</v>
      </c>
      <c r="H65" s="80">
        <v>-420</v>
      </c>
      <c r="I65" s="80">
        <v>-368</v>
      </c>
      <c r="J65" s="80">
        <v>-420</v>
      </c>
      <c r="K65" s="80">
        <v>-402</v>
      </c>
      <c r="L65" s="80">
        <v>-364</v>
      </c>
      <c r="M65" s="80">
        <v>-380.2</v>
      </c>
      <c r="N65" s="80">
        <v>-389</v>
      </c>
      <c r="O65" s="80">
        <v>-381.2</v>
      </c>
      <c r="P65" s="80">
        <v>-365</v>
      </c>
      <c r="Q65" s="80">
        <v>-336</v>
      </c>
      <c r="R65" s="80">
        <v>-391.1</v>
      </c>
      <c r="S65" s="80">
        <v>-262</v>
      </c>
      <c r="T65" s="80">
        <v>-345</v>
      </c>
      <c r="U65" s="80">
        <v>-345</v>
      </c>
      <c r="V65" s="80">
        <v>-389</v>
      </c>
      <c r="W65" s="80">
        <v>-389</v>
      </c>
      <c r="X65" s="80">
        <v>-261</v>
      </c>
      <c r="Y65" s="80">
        <v>-265</v>
      </c>
      <c r="Z65" s="80">
        <v>-324</v>
      </c>
      <c r="AA65" s="80">
        <v>-382</v>
      </c>
      <c r="AB65" s="80">
        <v>-391</v>
      </c>
      <c r="AC65" s="80">
        <v>-406</v>
      </c>
      <c r="AD65" s="80"/>
      <c r="AE65" s="80">
        <v>-367</v>
      </c>
      <c r="AF65" s="80">
        <v>-410</v>
      </c>
      <c r="AG65" s="102"/>
      <c r="AH65" s="20">
        <f t="shared" si="2"/>
        <v>-261</v>
      </c>
      <c r="AI65" s="19">
        <f t="shared" si="3"/>
        <v>-440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/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93">
        <v>0</v>
      </c>
      <c r="R67" s="93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/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93">
        <v>0</v>
      </c>
      <c r="R68" s="9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/>
      <c r="AE68" s="103">
        <v>0</v>
      </c>
      <c r="AF68" s="10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93">
        <v>0</v>
      </c>
      <c r="R69" s="9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/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>
        <v>0</v>
      </c>
      <c r="C70" s="93">
        <v>0</v>
      </c>
      <c r="D70" s="9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>
        <v>0</v>
      </c>
      <c r="N70" s="93">
        <v>0</v>
      </c>
      <c r="O70" s="9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/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>
        <v>0</v>
      </c>
      <c r="C71" s="93">
        <v>0</v>
      </c>
      <c r="D71" s="9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>
        <v>0</v>
      </c>
      <c r="N71" s="93">
        <v>0</v>
      </c>
      <c r="O71" s="9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/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>
        <v>0</v>
      </c>
      <c r="C72" s="90">
        <v>0</v>
      </c>
      <c r="D72" s="90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>
        <v>0</v>
      </c>
      <c r="N72" s="90">
        <v>0</v>
      </c>
      <c r="O72" s="90">
        <v>0</v>
      </c>
      <c r="P72" s="90">
        <v>0</v>
      </c>
      <c r="Q72" s="93">
        <v>0</v>
      </c>
      <c r="R72" s="93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/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>
        <v>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3">
        <v>0</v>
      </c>
      <c r="R73" s="93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/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10">SUMIF(B63:B73,"&gt;0")</f>
        <v>0</v>
      </c>
      <c r="C74" s="86">
        <f t="shared" si="10"/>
        <v>0</v>
      </c>
      <c r="D74" s="86">
        <f t="shared" si="10"/>
        <v>0</v>
      </c>
      <c r="E74" s="86">
        <f t="shared" si="10"/>
        <v>0</v>
      </c>
      <c r="F74" s="86">
        <f t="shared" si="10"/>
        <v>0</v>
      </c>
      <c r="G74" s="86">
        <f t="shared" si="10"/>
        <v>0</v>
      </c>
      <c r="H74" s="86">
        <f t="shared" si="10"/>
        <v>0</v>
      </c>
      <c r="I74" s="86">
        <f t="shared" si="10"/>
        <v>0</v>
      </c>
      <c r="J74" s="86">
        <f t="shared" si="10"/>
        <v>0</v>
      </c>
      <c r="K74" s="86">
        <f t="shared" si="10"/>
        <v>0</v>
      </c>
      <c r="L74" s="86">
        <f t="shared" si="10"/>
        <v>0</v>
      </c>
      <c r="M74" s="86">
        <f t="shared" si="10"/>
        <v>0</v>
      </c>
      <c r="N74" s="86">
        <f t="shared" si="10"/>
        <v>0</v>
      </c>
      <c r="O74" s="86">
        <f t="shared" si="10"/>
        <v>0</v>
      </c>
      <c r="P74" s="86">
        <f t="shared" si="10"/>
        <v>0</v>
      </c>
      <c r="Q74" s="86">
        <f t="shared" si="10"/>
        <v>0</v>
      </c>
      <c r="R74" s="86">
        <f t="shared" si="10"/>
        <v>0</v>
      </c>
      <c r="S74" s="86">
        <f t="shared" si="10"/>
        <v>0</v>
      </c>
      <c r="T74" s="86">
        <f t="shared" si="10"/>
        <v>0</v>
      </c>
      <c r="U74" s="86">
        <f t="shared" si="10"/>
        <v>0</v>
      </c>
      <c r="V74" s="86">
        <f t="shared" si="10"/>
        <v>52.7</v>
      </c>
      <c r="W74" s="86">
        <f t="shared" si="10"/>
        <v>52.7</v>
      </c>
      <c r="X74" s="86">
        <f t="shared" si="10"/>
        <v>56</v>
      </c>
      <c r="Y74" s="86">
        <f t="shared" si="10"/>
        <v>71.099999999999994</v>
      </c>
      <c r="Z74" s="86">
        <f t="shared" si="10"/>
        <v>72.3</v>
      </c>
      <c r="AA74" s="86">
        <f t="shared" si="10"/>
        <v>68</v>
      </c>
      <c r="AB74" s="86">
        <f t="shared" si="10"/>
        <v>14</v>
      </c>
      <c r="AC74" s="86">
        <f t="shared" si="10"/>
        <v>0</v>
      </c>
      <c r="AD74" s="86">
        <f t="shared" si="10"/>
        <v>0</v>
      </c>
      <c r="AE74" s="86">
        <f t="shared" si="10"/>
        <v>55</v>
      </c>
      <c r="AF74" s="86">
        <f t="shared" si="10"/>
        <v>0</v>
      </c>
      <c r="AG74" s="85">
        <f>SUM(AG63:AG73)</f>
        <v>0</v>
      </c>
      <c r="AH74" s="20">
        <f t="shared" si="2"/>
        <v>72.3</v>
      </c>
      <c r="AI74" s="19">
        <f t="shared" si="3"/>
        <v>0</v>
      </c>
      <c r="AK74" s="41"/>
    </row>
    <row r="75" spans="1:37" x14ac:dyDescent="0.25">
      <c r="A75" s="97" t="s">
        <v>164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>
        <v>0</v>
      </c>
      <c r="N75" s="93">
        <v>0</v>
      </c>
      <c r="O75" s="93">
        <v>0</v>
      </c>
      <c r="P75" s="93">
        <v>0</v>
      </c>
      <c r="Q75" s="93">
        <v>0</v>
      </c>
      <c r="R75" s="93">
        <v>0</v>
      </c>
      <c r="S75" s="93">
        <v>0</v>
      </c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>
        <v>0</v>
      </c>
      <c r="N76" s="103">
        <v>0</v>
      </c>
      <c r="O76" s="103">
        <v>0</v>
      </c>
      <c r="P76" s="103">
        <v>0</v>
      </c>
      <c r="Q76" s="103">
        <v>0</v>
      </c>
      <c r="R76" s="103">
        <v>0</v>
      </c>
      <c r="S76" s="103">
        <v>0</v>
      </c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2">
        <v>14.4</v>
      </c>
      <c r="AH76" s="20">
        <f t="shared" ref="AH76:AH109" si="11">MAX(B76:AF76)</f>
        <v>0</v>
      </c>
      <c r="AI76" s="19">
        <f t="shared" ref="AI76:AI109" si="12">MIN(B76:AF76)</f>
        <v>0</v>
      </c>
      <c r="AK76" s="41"/>
    </row>
    <row r="77" spans="1:37" ht="15.75" thickBot="1" x14ac:dyDescent="0.3">
      <c r="A77" s="91" t="s">
        <v>162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 s="90">
        <v>0</v>
      </c>
      <c r="S77" s="90">
        <v>0</v>
      </c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89">
        <v>2</v>
      </c>
      <c r="AH77" s="20">
        <f t="shared" si="11"/>
        <v>0</v>
      </c>
      <c r="AI77" s="19">
        <f t="shared" si="12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11"/>
        <v>0</v>
      </c>
      <c r="AI78" s="19">
        <f t="shared" si="12"/>
        <v>0</v>
      </c>
    </row>
    <row r="79" spans="1:37" ht="15.75" thickBot="1" x14ac:dyDescent="0.3">
      <c r="A79" s="87" t="s">
        <v>160</v>
      </c>
      <c r="B79" s="98">
        <f t="shared" ref="B79:AG79" si="13">B40+B44+B62+B58+B74+B78</f>
        <v>1482.74</v>
      </c>
      <c r="C79" s="98">
        <f t="shared" si="13"/>
        <v>1464.1399999999999</v>
      </c>
      <c r="D79" s="98">
        <f t="shared" si="13"/>
        <v>1476.34</v>
      </c>
      <c r="E79" s="98">
        <f t="shared" si="13"/>
        <v>1425.54</v>
      </c>
      <c r="F79" s="98">
        <f t="shared" si="13"/>
        <v>1445.54</v>
      </c>
      <c r="G79" s="98">
        <f t="shared" si="13"/>
        <v>1415.54</v>
      </c>
      <c r="H79" s="98">
        <f t="shared" si="13"/>
        <v>1414.6399999999999</v>
      </c>
      <c r="I79" s="98">
        <f t="shared" si="13"/>
        <v>1464.6399999999999</v>
      </c>
      <c r="J79" s="98">
        <f t="shared" si="13"/>
        <v>1464.6399999999999</v>
      </c>
      <c r="K79" s="98">
        <f t="shared" si="13"/>
        <v>1552.34</v>
      </c>
      <c r="L79" s="98">
        <f t="shared" si="13"/>
        <v>1608.74</v>
      </c>
      <c r="M79" s="98">
        <f t="shared" si="13"/>
        <v>1633.8400000000001</v>
      </c>
      <c r="N79" s="98">
        <f t="shared" si="13"/>
        <v>1651.94</v>
      </c>
      <c r="O79" s="98">
        <f t="shared" si="13"/>
        <v>1603.54</v>
      </c>
      <c r="P79" s="98">
        <f t="shared" si="13"/>
        <v>1608.6399999999999</v>
      </c>
      <c r="Q79" s="98">
        <f t="shared" si="13"/>
        <v>1583.44</v>
      </c>
      <c r="R79" s="98">
        <f t="shared" si="13"/>
        <v>1587.7400000000002</v>
      </c>
      <c r="S79" s="98">
        <f t="shared" si="13"/>
        <v>1464.3400000000001</v>
      </c>
      <c r="T79" s="98">
        <f t="shared" si="13"/>
        <v>1607.64</v>
      </c>
      <c r="U79" s="98">
        <f t="shared" si="13"/>
        <v>1631.64</v>
      </c>
      <c r="V79" s="98">
        <f t="shared" si="13"/>
        <v>1705.74</v>
      </c>
      <c r="W79" s="98">
        <f t="shared" si="13"/>
        <v>1706.74</v>
      </c>
      <c r="X79" s="98">
        <f t="shared" si="13"/>
        <v>1730.04</v>
      </c>
      <c r="Y79" s="98">
        <f t="shared" si="13"/>
        <v>1753.04</v>
      </c>
      <c r="Z79" s="98">
        <f t="shared" si="13"/>
        <v>1754.24</v>
      </c>
      <c r="AA79" s="98">
        <f t="shared" si="13"/>
        <v>1749.94</v>
      </c>
      <c r="AB79" s="98">
        <f t="shared" si="13"/>
        <v>1695.94</v>
      </c>
      <c r="AC79" s="98">
        <f t="shared" si="13"/>
        <v>1681.94</v>
      </c>
      <c r="AD79" s="98">
        <f t="shared" si="13"/>
        <v>459.54</v>
      </c>
      <c r="AE79" s="98">
        <f t="shared" si="13"/>
        <v>1527.14</v>
      </c>
      <c r="AF79" s="98">
        <f t="shared" si="13"/>
        <v>1580.74</v>
      </c>
      <c r="AG79" s="101">
        <f t="shared" si="13"/>
        <v>1897.1900000000003</v>
      </c>
      <c r="AH79" s="20">
        <f t="shared" si="11"/>
        <v>1754.24</v>
      </c>
      <c r="AI79" s="19">
        <f t="shared" si="12"/>
        <v>459.54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11"/>
        <v>0</v>
      </c>
      <c r="AI80" s="19">
        <f t="shared" si="12"/>
        <v>0</v>
      </c>
    </row>
    <row r="81" spans="1:37" ht="15.75" thickBot="1" x14ac:dyDescent="0.3">
      <c r="A81" s="87" t="s">
        <v>158</v>
      </c>
      <c r="B81" s="98">
        <f t="shared" ref="B81:AF81" si="14">B79+B80</f>
        <v>1482.74</v>
      </c>
      <c r="C81" s="98">
        <f t="shared" si="14"/>
        <v>1464.1399999999999</v>
      </c>
      <c r="D81" s="98">
        <f t="shared" si="14"/>
        <v>1476.34</v>
      </c>
      <c r="E81" s="98">
        <f t="shared" si="14"/>
        <v>1425.54</v>
      </c>
      <c r="F81" s="98">
        <f t="shared" si="14"/>
        <v>1445.54</v>
      </c>
      <c r="G81" s="98">
        <f t="shared" si="14"/>
        <v>1415.54</v>
      </c>
      <c r="H81" s="98">
        <f t="shared" si="14"/>
        <v>1414.6399999999999</v>
      </c>
      <c r="I81" s="98">
        <f t="shared" si="14"/>
        <v>1464.6399999999999</v>
      </c>
      <c r="J81" s="98">
        <f t="shared" si="14"/>
        <v>1464.6399999999999</v>
      </c>
      <c r="K81" s="98">
        <f t="shared" si="14"/>
        <v>1552.34</v>
      </c>
      <c r="L81" s="98">
        <f t="shared" si="14"/>
        <v>1608.74</v>
      </c>
      <c r="M81" s="98">
        <f t="shared" si="14"/>
        <v>1633.8400000000001</v>
      </c>
      <c r="N81" s="98">
        <f t="shared" si="14"/>
        <v>1651.94</v>
      </c>
      <c r="O81" s="98">
        <f t="shared" si="14"/>
        <v>1603.54</v>
      </c>
      <c r="P81" s="98">
        <f t="shared" si="14"/>
        <v>1608.6399999999999</v>
      </c>
      <c r="Q81" s="98">
        <f t="shared" si="14"/>
        <v>1583.44</v>
      </c>
      <c r="R81" s="98">
        <f t="shared" si="14"/>
        <v>1587.7400000000002</v>
      </c>
      <c r="S81" s="98">
        <f t="shared" si="14"/>
        <v>1464.3400000000001</v>
      </c>
      <c r="T81" s="98">
        <f t="shared" si="14"/>
        <v>1607.64</v>
      </c>
      <c r="U81" s="98">
        <f t="shared" si="14"/>
        <v>1631.64</v>
      </c>
      <c r="V81" s="98">
        <f t="shared" si="14"/>
        <v>1705.74</v>
      </c>
      <c r="W81" s="98">
        <f t="shared" si="14"/>
        <v>1706.74</v>
      </c>
      <c r="X81" s="98">
        <f t="shared" si="14"/>
        <v>1730.04</v>
      </c>
      <c r="Y81" s="98">
        <f t="shared" si="14"/>
        <v>1753.04</v>
      </c>
      <c r="Z81" s="98">
        <f t="shared" si="14"/>
        <v>1754.24</v>
      </c>
      <c r="AA81" s="98">
        <f t="shared" si="14"/>
        <v>1749.94</v>
      </c>
      <c r="AB81" s="98">
        <f t="shared" si="14"/>
        <v>1695.94</v>
      </c>
      <c r="AC81" s="98">
        <f t="shared" si="14"/>
        <v>1681.94</v>
      </c>
      <c r="AD81" s="98">
        <f t="shared" si="14"/>
        <v>459.54</v>
      </c>
      <c r="AE81" s="98">
        <f t="shared" si="14"/>
        <v>1527.14</v>
      </c>
      <c r="AF81" s="98">
        <f t="shared" si="14"/>
        <v>1580.74</v>
      </c>
      <c r="AG81" s="85">
        <f>AG78+AG74+AG62+AG58+AG40+AG80</f>
        <v>1359.0900000000001</v>
      </c>
      <c r="AH81" s="20">
        <f t="shared" si="11"/>
        <v>1754.24</v>
      </c>
      <c r="AI81" s="19">
        <f t="shared" si="12"/>
        <v>459.54</v>
      </c>
    </row>
    <row r="82" spans="1:37" ht="15.75" thickBot="1" x14ac:dyDescent="0.3">
      <c r="A82" s="87" t="s">
        <v>157</v>
      </c>
      <c r="B82" s="98">
        <f t="shared" ref="B82:AF82" si="15">B81-B89</f>
        <v>1042.74</v>
      </c>
      <c r="C82" s="98">
        <f t="shared" si="15"/>
        <v>1029.1399999999999</v>
      </c>
      <c r="D82" s="98">
        <f t="shared" si="15"/>
        <v>1036.3399999999999</v>
      </c>
      <c r="E82" s="98">
        <f t="shared" si="15"/>
        <v>1005.54</v>
      </c>
      <c r="F82" s="98">
        <f t="shared" si="15"/>
        <v>1015.54</v>
      </c>
      <c r="G82" s="98">
        <f t="shared" si="15"/>
        <v>1004.54</v>
      </c>
      <c r="H82" s="98">
        <f t="shared" si="15"/>
        <v>994.63999999999987</v>
      </c>
      <c r="I82" s="98">
        <f t="shared" si="15"/>
        <v>1096.6399999999999</v>
      </c>
      <c r="J82" s="98">
        <f t="shared" si="15"/>
        <v>1044.6399999999999</v>
      </c>
      <c r="K82" s="98">
        <f t="shared" si="15"/>
        <v>1150.3399999999999</v>
      </c>
      <c r="L82" s="98">
        <f t="shared" si="15"/>
        <v>1244.74</v>
      </c>
      <c r="M82" s="98">
        <f t="shared" si="15"/>
        <v>1253.6400000000001</v>
      </c>
      <c r="N82" s="98">
        <f t="shared" si="15"/>
        <v>1262.94</v>
      </c>
      <c r="O82" s="98">
        <f t="shared" si="15"/>
        <v>1222.3399999999999</v>
      </c>
      <c r="P82" s="98">
        <f t="shared" si="15"/>
        <v>1243.6399999999999</v>
      </c>
      <c r="Q82" s="98">
        <f t="shared" si="15"/>
        <v>1247.44</v>
      </c>
      <c r="R82" s="98">
        <f t="shared" si="15"/>
        <v>1196.6400000000003</v>
      </c>
      <c r="S82" s="98">
        <f t="shared" si="15"/>
        <v>1202.3400000000001</v>
      </c>
      <c r="T82" s="98">
        <f t="shared" si="15"/>
        <v>1262.6400000000001</v>
      </c>
      <c r="U82" s="98">
        <f t="shared" si="15"/>
        <v>1286.6400000000001</v>
      </c>
      <c r="V82" s="98">
        <f t="shared" si="15"/>
        <v>1316.74</v>
      </c>
      <c r="W82" s="98">
        <f t="shared" si="15"/>
        <v>1317.74</v>
      </c>
      <c r="X82" s="98">
        <f t="shared" si="15"/>
        <v>1469.04</v>
      </c>
      <c r="Y82" s="98">
        <f t="shared" si="15"/>
        <v>1488.04</v>
      </c>
      <c r="Z82" s="98">
        <f t="shared" si="15"/>
        <v>1430.24</v>
      </c>
      <c r="AA82" s="98">
        <f t="shared" si="15"/>
        <v>1367.94</v>
      </c>
      <c r="AB82" s="98">
        <f t="shared" si="15"/>
        <v>1304.94</v>
      </c>
      <c r="AC82" s="98">
        <f t="shared" si="15"/>
        <v>1275.94</v>
      </c>
      <c r="AD82" s="98">
        <f t="shared" si="15"/>
        <v>459.54</v>
      </c>
      <c r="AE82" s="98">
        <f t="shared" si="15"/>
        <v>1160.1400000000001</v>
      </c>
      <c r="AF82" s="98">
        <f t="shared" si="15"/>
        <v>1170.74</v>
      </c>
      <c r="AG82" s="85"/>
      <c r="AH82" s="20">
        <f t="shared" si="11"/>
        <v>1488.04</v>
      </c>
      <c r="AI82" s="19">
        <f t="shared" si="12"/>
        <v>459.54</v>
      </c>
    </row>
    <row r="83" spans="1:37" x14ac:dyDescent="0.25">
      <c r="A83" s="97" t="s">
        <v>156</v>
      </c>
      <c r="B83" s="93">
        <f t="shared" ref="B83:AF83" si="16">IF(B66&lt;0,B66*-1,0)</f>
        <v>0</v>
      </c>
      <c r="C83" s="93">
        <f t="shared" si="16"/>
        <v>0</v>
      </c>
      <c r="D83" s="93">
        <f t="shared" si="16"/>
        <v>0</v>
      </c>
      <c r="E83" s="93">
        <f t="shared" si="16"/>
        <v>0</v>
      </c>
      <c r="F83" s="93">
        <f t="shared" si="16"/>
        <v>0</v>
      </c>
      <c r="G83" s="93">
        <f t="shared" si="16"/>
        <v>0</v>
      </c>
      <c r="H83" s="93">
        <f t="shared" si="16"/>
        <v>0</v>
      </c>
      <c r="I83" s="93">
        <f t="shared" si="16"/>
        <v>0</v>
      </c>
      <c r="J83" s="93">
        <f t="shared" si="16"/>
        <v>0</v>
      </c>
      <c r="K83" s="93">
        <f t="shared" si="16"/>
        <v>0</v>
      </c>
      <c r="L83" s="93">
        <f t="shared" si="16"/>
        <v>0</v>
      </c>
      <c r="M83" s="93">
        <f t="shared" si="16"/>
        <v>0</v>
      </c>
      <c r="N83" s="93">
        <f t="shared" si="16"/>
        <v>0</v>
      </c>
      <c r="O83" s="93">
        <f t="shared" si="16"/>
        <v>0</v>
      </c>
      <c r="P83" s="93">
        <f t="shared" si="16"/>
        <v>0</v>
      </c>
      <c r="Q83" s="93">
        <f t="shared" si="16"/>
        <v>0</v>
      </c>
      <c r="R83" s="93">
        <f t="shared" si="16"/>
        <v>0</v>
      </c>
      <c r="S83" s="93">
        <f t="shared" si="16"/>
        <v>0</v>
      </c>
      <c r="T83" s="93">
        <f t="shared" si="16"/>
        <v>0</v>
      </c>
      <c r="U83" s="93">
        <f t="shared" si="16"/>
        <v>0</v>
      </c>
      <c r="V83" s="93">
        <f t="shared" si="16"/>
        <v>0</v>
      </c>
      <c r="W83" s="93">
        <f t="shared" si="16"/>
        <v>0</v>
      </c>
      <c r="X83" s="93">
        <f t="shared" si="16"/>
        <v>0</v>
      </c>
      <c r="Y83" s="93">
        <f t="shared" si="16"/>
        <v>0</v>
      </c>
      <c r="Z83" s="93">
        <f t="shared" si="16"/>
        <v>0</v>
      </c>
      <c r="AA83" s="93">
        <f t="shared" si="16"/>
        <v>0</v>
      </c>
      <c r="AB83" s="93">
        <f t="shared" si="16"/>
        <v>0</v>
      </c>
      <c r="AC83" s="93">
        <f t="shared" si="16"/>
        <v>0</v>
      </c>
      <c r="AD83" s="93">
        <f t="shared" si="16"/>
        <v>0</v>
      </c>
      <c r="AE83" s="93">
        <f t="shared" si="16"/>
        <v>0</v>
      </c>
      <c r="AF83" s="93">
        <f t="shared" si="16"/>
        <v>0</v>
      </c>
      <c r="AG83" s="96"/>
      <c r="AH83" s="20">
        <f t="shared" si="11"/>
        <v>0</v>
      </c>
      <c r="AI83" s="19">
        <f t="shared" si="12"/>
        <v>0</v>
      </c>
    </row>
    <row r="84" spans="1:37" x14ac:dyDescent="0.25">
      <c r="A84" s="95" t="s">
        <v>155</v>
      </c>
      <c r="B84" s="93">
        <f t="shared" ref="B84:AF84" si="17">IF(B64&lt;0,B64*-1,0)</f>
        <v>0</v>
      </c>
      <c r="C84" s="93">
        <f t="shared" si="17"/>
        <v>0</v>
      </c>
      <c r="D84" s="93">
        <f t="shared" si="17"/>
        <v>0</v>
      </c>
      <c r="E84" s="93">
        <f t="shared" si="17"/>
        <v>0</v>
      </c>
      <c r="F84" s="93">
        <f t="shared" si="17"/>
        <v>0</v>
      </c>
      <c r="G84" s="93">
        <f t="shared" si="17"/>
        <v>0</v>
      </c>
      <c r="H84" s="93">
        <f t="shared" si="17"/>
        <v>0</v>
      </c>
      <c r="I84" s="93">
        <f t="shared" si="17"/>
        <v>0</v>
      </c>
      <c r="J84" s="93">
        <f t="shared" si="17"/>
        <v>0</v>
      </c>
      <c r="K84" s="93">
        <f t="shared" si="17"/>
        <v>0</v>
      </c>
      <c r="L84" s="93">
        <f t="shared" si="17"/>
        <v>0</v>
      </c>
      <c r="M84" s="93">
        <f t="shared" si="17"/>
        <v>0</v>
      </c>
      <c r="N84" s="93">
        <f t="shared" si="17"/>
        <v>0</v>
      </c>
      <c r="O84" s="93">
        <f t="shared" si="17"/>
        <v>0</v>
      </c>
      <c r="P84" s="93">
        <f t="shared" si="17"/>
        <v>0</v>
      </c>
      <c r="Q84" s="93">
        <f t="shared" si="17"/>
        <v>0</v>
      </c>
      <c r="R84" s="93">
        <f t="shared" si="17"/>
        <v>0</v>
      </c>
      <c r="S84" s="93">
        <f t="shared" si="17"/>
        <v>0</v>
      </c>
      <c r="T84" s="93">
        <f t="shared" si="17"/>
        <v>0</v>
      </c>
      <c r="U84" s="93">
        <f t="shared" si="17"/>
        <v>0</v>
      </c>
      <c r="V84" s="93">
        <f t="shared" si="17"/>
        <v>0</v>
      </c>
      <c r="W84" s="93">
        <f t="shared" si="17"/>
        <v>0</v>
      </c>
      <c r="X84" s="93">
        <f t="shared" si="17"/>
        <v>0</v>
      </c>
      <c r="Y84" s="93">
        <f t="shared" si="17"/>
        <v>0</v>
      </c>
      <c r="Z84" s="93">
        <f t="shared" si="17"/>
        <v>0</v>
      </c>
      <c r="AA84" s="93">
        <f t="shared" si="17"/>
        <v>0</v>
      </c>
      <c r="AB84" s="93">
        <f t="shared" si="17"/>
        <v>0</v>
      </c>
      <c r="AC84" s="93">
        <f t="shared" si="17"/>
        <v>0</v>
      </c>
      <c r="AD84" s="93">
        <f t="shared" si="17"/>
        <v>0</v>
      </c>
      <c r="AE84" s="93">
        <f t="shared" si="17"/>
        <v>0</v>
      </c>
      <c r="AF84" s="93">
        <f t="shared" si="17"/>
        <v>0</v>
      </c>
      <c r="AG84" s="94"/>
      <c r="AH84" s="20">
        <f t="shared" si="11"/>
        <v>0</v>
      </c>
      <c r="AI84" s="19">
        <f t="shared" si="12"/>
        <v>0</v>
      </c>
    </row>
    <row r="85" spans="1:37" x14ac:dyDescent="0.25">
      <c r="A85" s="91" t="s">
        <v>154</v>
      </c>
      <c r="B85" s="93">
        <f t="shared" ref="B85:AF85" si="18">IF(B67&lt;0,B67*-1,0)</f>
        <v>0</v>
      </c>
      <c r="C85" s="93">
        <f t="shared" si="18"/>
        <v>0</v>
      </c>
      <c r="D85" s="93">
        <f t="shared" si="18"/>
        <v>0</v>
      </c>
      <c r="E85" s="93">
        <f t="shared" si="18"/>
        <v>0</v>
      </c>
      <c r="F85" s="93">
        <f t="shared" si="18"/>
        <v>0</v>
      </c>
      <c r="G85" s="93">
        <f t="shared" si="18"/>
        <v>0</v>
      </c>
      <c r="H85" s="93">
        <f t="shared" si="18"/>
        <v>0</v>
      </c>
      <c r="I85" s="93">
        <f t="shared" si="18"/>
        <v>0</v>
      </c>
      <c r="J85" s="93">
        <f t="shared" si="18"/>
        <v>0</v>
      </c>
      <c r="K85" s="93">
        <f t="shared" si="18"/>
        <v>0</v>
      </c>
      <c r="L85" s="93">
        <f t="shared" si="18"/>
        <v>0</v>
      </c>
      <c r="M85" s="93">
        <f t="shared" si="18"/>
        <v>0</v>
      </c>
      <c r="N85" s="93">
        <f t="shared" si="18"/>
        <v>0</v>
      </c>
      <c r="O85" s="93">
        <f t="shared" si="18"/>
        <v>0</v>
      </c>
      <c r="P85" s="93">
        <f t="shared" si="18"/>
        <v>0</v>
      </c>
      <c r="Q85" s="93">
        <f t="shared" si="18"/>
        <v>0</v>
      </c>
      <c r="R85" s="93">
        <f t="shared" si="18"/>
        <v>0</v>
      </c>
      <c r="S85" s="93">
        <f t="shared" si="18"/>
        <v>0</v>
      </c>
      <c r="T85" s="93">
        <f t="shared" si="18"/>
        <v>0</v>
      </c>
      <c r="U85" s="93">
        <f t="shared" si="18"/>
        <v>0</v>
      </c>
      <c r="V85" s="93">
        <f t="shared" si="18"/>
        <v>0</v>
      </c>
      <c r="W85" s="93">
        <f t="shared" si="18"/>
        <v>0</v>
      </c>
      <c r="X85" s="93">
        <f t="shared" si="18"/>
        <v>0</v>
      </c>
      <c r="Y85" s="93">
        <f t="shared" si="18"/>
        <v>0</v>
      </c>
      <c r="Z85" s="93">
        <f t="shared" si="18"/>
        <v>0</v>
      </c>
      <c r="AA85" s="93">
        <f t="shared" si="18"/>
        <v>0</v>
      </c>
      <c r="AB85" s="93">
        <f t="shared" si="18"/>
        <v>0</v>
      </c>
      <c r="AC85" s="93">
        <f t="shared" si="18"/>
        <v>0</v>
      </c>
      <c r="AD85" s="93">
        <f t="shared" si="18"/>
        <v>0</v>
      </c>
      <c r="AE85" s="93">
        <f t="shared" si="18"/>
        <v>0</v>
      </c>
      <c r="AF85" s="93">
        <f t="shared" si="18"/>
        <v>0</v>
      </c>
      <c r="AG85" s="92"/>
      <c r="AH85" s="20">
        <f t="shared" si="11"/>
        <v>0</v>
      </c>
      <c r="AI85" s="19">
        <f t="shared" si="12"/>
        <v>0</v>
      </c>
    </row>
    <row r="86" spans="1:37" x14ac:dyDescent="0.25">
      <c r="A86" s="91" t="s">
        <v>153</v>
      </c>
      <c r="B86" s="93">
        <f t="shared" ref="B86:AF86" si="19">IF(B65&lt;0,B65*-1,0)</f>
        <v>440</v>
      </c>
      <c r="C86" s="93">
        <f t="shared" si="19"/>
        <v>435</v>
      </c>
      <c r="D86" s="93">
        <f t="shared" si="19"/>
        <v>440</v>
      </c>
      <c r="E86" s="93">
        <f t="shared" si="19"/>
        <v>420</v>
      </c>
      <c r="F86" s="93">
        <f t="shared" si="19"/>
        <v>430</v>
      </c>
      <c r="G86" s="93">
        <f t="shared" si="19"/>
        <v>411</v>
      </c>
      <c r="H86" s="93">
        <f t="shared" si="19"/>
        <v>420</v>
      </c>
      <c r="I86" s="93">
        <f t="shared" si="19"/>
        <v>368</v>
      </c>
      <c r="J86" s="93">
        <f t="shared" si="19"/>
        <v>420</v>
      </c>
      <c r="K86" s="93">
        <f t="shared" si="19"/>
        <v>402</v>
      </c>
      <c r="L86" s="93">
        <f t="shared" si="19"/>
        <v>364</v>
      </c>
      <c r="M86" s="93">
        <f t="shared" si="19"/>
        <v>380.2</v>
      </c>
      <c r="N86" s="93">
        <f t="shared" si="19"/>
        <v>389</v>
      </c>
      <c r="O86" s="93">
        <f t="shared" si="19"/>
        <v>381.2</v>
      </c>
      <c r="P86" s="93">
        <f t="shared" si="19"/>
        <v>365</v>
      </c>
      <c r="Q86" s="93">
        <f t="shared" si="19"/>
        <v>336</v>
      </c>
      <c r="R86" s="93">
        <f t="shared" si="19"/>
        <v>391.1</v>
      </c>
      <c r="S86" s="93">
        <f t="shared" si="19"/>
        <v>262</v>
      </c>
      <c r="T86" s="93">
        <f t="shared" si="19"/>
        <v>345</v>
      </c>
      <c r="U86" s="93">
        <f t="shared" si="19"/>
        <v>345</v>
      </c>
      <c r="V86" s="93">
        <f t="shared" si="19"/>
        <v>389</v>
      </c>
      <c r="W86" s="93">
        <f t="shared" si="19"/>
        <v>389</v>
      </c>
      <c r="X86" s="93">
        <f t="shared" si="19"/>
        <v>261</v>
      </c>
      <c r="Y86" s="93">
        <f t="shared" si="19"/>
        <v>265</v>
      </c>
      <c r="Z86" s="93">
        <f t="shared" si="19"/>
        <v>324</v>
      </c>
      <c r="AA86" s="93">
        <f t="shared" si="19"/>
        <v>382</v>
      </c>
      <c r="AB86" s="93">
        <f t="shared" si="19"/>
        <v>391</v>
      </c>
      <c r="AC86" s="93">
        <f t="shared" si="19"/>
        <v>406</v>
      </c>
      <c r="AD86" s="93">
        <f t="shared" si="19"/>
        <v>0</v>
      </c>
      <c r="AE86" s="93">
        <f t="shared" si="19"/>
        <v>367</v>
      </c>
      <c r="AF86" s="93">
        <f t="shared" si="19"/>
        <v>410</v>
      </c>
      <c r="AG86" s="92"/>
      <c r="AH86" s="20">
        <f t="shared" si="11"/>
        <v>440</v>
      </c>
      <c r="AI86" s="19">
        <f t="shared" si="12"/>
        <v>0</v>
      </c>
    </row>
    <row r="87" spans="1:37" x14ac:dyDescent="0.25">
      <c r="A87" s="91" t="s">
        <v>152</v>
      </c>
      <c r="B87" s="93">
        <f t="shared" ref="B87:AF87" si="20">IF(B63&lt;0,B63*-1,0)</f>
        <v>0</v>
      </c>
      <c r="C87" s="93">
        <f t="shared" si="20"/>
        <v>0</v>
      </c>
      <c r="D87" s="93">
        <f t="shared" si="20"/>
        <v>0</v>
      </c>
      <c r="E87" s="93">
        <f t="shared" si="20"/>
        <v>0</v>
      </c>
      <c r="F87" s="93">
        <f t="shared" si="20"/>
        <v>0</v>
      </c>
      <c r="G87" s="93">
        <f t="shared" si="20"/>
        <v>0</v>
      </c>
      <c r="H87" s="93">
        <f t="shared" si="20"/>
        <v>0</v>
      </c>
      <c r="I87" s="93">
        <f t="shared" si="20"/>
        <v>0</v>
      </c>
      <c r="J87" s="93">
        <f t="shared" si="20"/>
        <v>0</v>
      </c>
      <c r="K87" s="93">
        <f t="shared" si="20"/>
        <v>0</v>
      </c>
      <c r="L87" s="93">
        <f t="shared" si="20"/>
        <v>0</v>
      </c>
      <c r="M87" s="93">
        <f t="shared" si="20"/>
        <v>0</v>
      </c>
      <c r="N87" s="93">
        <f t="shared" si="20"/>
        <v>0</v>
      </c>
      <c r="O87" s="93">
        <f t="shared" si="20"/>
        <v>0</v>
      </c>
      <c r="P87" s="93">
        <f t="shared" si="20"/>
        <v>0</v>
      </c>
      <c r="Q87" s="93">
        <f t="shared" si="20"/>
        <v>0</v>
      </c>
      <c r="R87" s="93">
        <f t="shared" si="20"/>
        <v>0</v>
      </c>
      <c r="S87" s="93">
        <f t="shared" si="20"/>
        <v>0</v>
      </c>
      <c r="T87" s="93">
        <f t="shared" si="20"/>
        <v>0</v>
      </c>
      <c r="U87" s="93">
        <f t="shared" si="20"/>
        <v>0</v>
      </c>
      <c r="V87" s="93">
        <f t="shared" si="20"/>
        <v>0</v>
      </c>
      <c r="W87" s="93">
        <f t="shared" si="20"/>
        <v>0</v>
      </c>
      <c r="X87" s="93">
        <f t="shared" si="20"/>
        <v>0</v>
      </c>
      <c r="Y87" s="93">
        <f t="shared" si="20"/>
        <v>0</v>
      </c>
      <c r="Z87" s="93">
        <f t="shared" si="20"/>
        <v>0</v>
      </c>
      <c r="AA87" s="93">
        <f t="shared" si="20"/>
        <v>0</v>
      </c>
      <c r="AB87" s="93">
        <f t="shared" si="20"/>
        <v>0</v>
      </c>
      <c r="AC87" s="93">
        <f t="shared" si="20"/>
        <v>0</v>
      </c>
      <c r="AD87" s="93">
        <f t="shared" si="20"/>
        <v>0</v>
      </c>
      <c r="AE87" s="93">
        <f t="shared" si="20"/>
        <v>0</v>
      </c>
      <c r="AF87" s="93">
        <f t="shared" si="20"/>
        <v>0</v>
      </c>
      <c r="AG87" s="92"/>
      <c r="AH87" s="20">
        <f t="shared" si="11"/>
        <v>0</v>
      </c>
      <c r="AI87" s="19">
        <f t="shared" si="12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11"/>
        <v>0</v>
      </c>
      <c r="AI88" s="19">
        <f t="shared" si="12"/>
        <v>0</v>
      </c>
    </row>
    <row r="89" spans="1:37" ht="15.75" thickBot="1" x14ac:dyDescent="0.3">
      <c r="A89" s="88" t="s">
        <v>150</v>
      </c>
      <c r="B89" s="86">
        <f t="shared" ref="B89:AF89" si="21">SUM(B83:B88)</f>
        <v>440</v>
      </c>
      <c r="C89" s="86">
        <f t="shared" si="21"/>
        <v>435</v>
      </c>
      <c r="D89" s="86">
        <f t="shared" si="21"/>
        <v>440</v>
      </c>
      <c r="E89" s="86">
        <f t="shared" si="21"/>
        <v>420</v>
      </c>
      <c r="F89" s="86">
        <f t="shared" si="21"/>
        <v>430</v>
      </c>
      <c r="G89" s="86">
        <f t="shared" si="21"/>
        <v>411</v>
      </c>
      <c r="H89" s="86">
        <f t="shared" si="21"/>
        <v>420</v>
      </c>
      <c r="I89" s="86">
        <f t="shared" si="21"/>
        <v>368</v>
      </c>
      <c r="J89" s="86">
        <f t="shared" si="21"/>
        <v>420</v>
      </c>
      <c r="K89" s="86">
        <f t="shared" si="21"/>
        <v>402</v>
      </c>
      <c r="L89" s="86">
        <f t="shared" si="21"/>
        <v>364</v>
      </c>
      <c r="M89" s="86">
        <f t="shared" si="21"/>
        <v>380.2</v>
      </c>
      <c r="N89" s="86">
        <f t="shared" si="21"/>
        <v>389</v>
      </c>
      <c r="O89" s="86">
        <f t="shared" si="21"/>
        <v>381.2</v>
      </c>
      <c r="P89" s="86">
        <f t="shared" si="21"/>
        <v>365</v>
      </c>
      <c r="Q89" s="86">
        <f t="shared" si="21"/>
        <v>336</v>
      </c>
      <c r="R89" s="86">
        <f t="shared" si="21"/>
        <v>391.1</v>
      </c>
      <c r="S89" s="86">
        <f t="shared" si="21"/>
        <v>262</v>
      </c>
      <c r="T89" s="86">
        <f t="shared" si="21"/>
        <v>345</v>
      </c>
      <c r="U89" s="86">
        <f t="shared" si="21"/>
        <v>345</v>
      </c>
      <c r="V89" s="86">
        <f t="shared" si="21"/>
        <v>389</v>
      </c>
      <c r="W89" s="86">
        <f t="shared" si="21"/>
        <v>389</v>
      </c>
      <c r="X89" s="86">
        <f t="shared" si="21"/>
        <v>261</v>
      </c>
      <c r="Y89" s="86">
        <f t="shared" si="21"/>
        <v>265</v>
      </c>
      <c r="Z89" s="86">
        <f t="shared" si="21"/>
        <v>324</v>
      </c>
      <c r="AA89" s="86">
        <f t="shared" si="21"/>
        <v>382</v>
      </c>
      <c r="AB89" s="86">
        <f t="shared" si="21"/>
        <v>391</v>
      </c>
      <c r="AC89" s="86">
        <f t="shared" si="21"/>
        <v>406</v>
      </c>
      <c r="AD89" s="86">
        <f t="shared" si="21"/>
        <v>0</v>
      </c>
      <c r="AE89" s="86">
        <f t="shared" si="21"/>
        <v>367</v>
      </c>
      <c r="AF89" s="86">
        <f t="shared" si="21"/>
        <v>410</v>
      </c>
      <c r="AG89" s="85"/>
      <c r="AH89" s="20">
        <f t="shared" si="11"/>
        <v>440</v>
      </c>
      <c r="AI89" s="19">
        <f t="shared" si="12"/>
        <v>0</v>
      </c>
      <c r="AK89" s="41"/>
    </row>
    <row r="90" spans="1:37" ht="15.75" thickBot="1" x14ac:dyDescent="0.3">
      <c r="A90" s="87" t="s">
        <v>149</v>
      </c>
      <c r="B90" s="86">
        <f t="shared" ref="B90:AF90" si="22">B74-B89</f>
        <v>-440</v>
      </c>
      <c r="C90" s="86">
        <f t="shared" si="22"/>
        <v>-435</v>
      </c>
      <c r="D90" s="86">
        <f t="shared" si="22"/>
        <v>-440</v>
      </c>
      <c r="E90" s="86">
        <f t="shared" si="22"/>
        <v>-420</v>
      </c>
      <c r="F90" s="86">
        <f t="shared" si="22"/>
        <v>-430</v>
      </c>
      <c r="G90" s="86">
        <f t="shared" si="22"/>
        <v>-411</v>
      </c>
      <c r="H90" s="86">
        <f t="shared" si="22"/>
        <v>-420</v>
      </c>
      <c r="I90" s="86">
        <f t="shared" si="22"/>
        <v>-368</v>
      </c>
      <c r="J90" s="86">
        <f t="shared" si="22"/>
        <v>-420</v>
      </c>
      <c r="K90" s="86">
        <f t="shared" si="22"/>
        <v>-402</v>
      </c>
      <c r="L90" s="86">
        <f t="shared" si="22"/>
        <v>-364</v>
      </c>
      <c r="M90" s="86">
        <f t="shared" si="22"/>
        <v>-380.2</v>
      </c>
      <c r="N90" s="86">
        <f t="shared" si="22"/>
        <v>-389</v>
      </c>
      <c r="O90" s="86">
        <f t="shared" si="22"/>
        <v>-381.2</v>
      </c>
      <c r="P90" s="86">
        <f t="shared" si="22"/>
        <v>-365</v>
      </c>
      <c r="Q90" s="86">
        <f t="shared" si="22"/>
        <v>-336</v>
      </c>
      <c r="R90" s="86">
        <f t="shared" si="22"/>
        <v>-391.1</v>
      </c>
      <c r="S90" s="86">
        <f t="shared" si="22"/>
        <v>-262</v>
      </c>
      <c r="T90" s="86">
        <f t="shared" si="22"/>
        <v>-345</v>
      </c>
      <c r="U90" s="86">
        <f t="shared" si="22"/>
        <v>-345</v>
      </c>
      <c r="V90" s="86">
        <f t="shared" si="22"/>
        <v>-336.3</v>
      </c>
      <c r="W90" s="86">
        <f t="shared" si="22"/>
        <v>-336.3</v>
      </c>
      <c r="X90" s="86">
        <f t="shared" si="22"/>
        <v>-205</v>
      </c>
      <c r="Y90" s="86">
        <f t="shared" si="22"/>
        <v>-193.9</v>
      </c>
      <c r="Z90" s="86">
        <f t="shared" si="22"/>
        <v>-251.7</v>
      </c>
      <c r="AA90" s="86">
        <f t="shared" si="22"/>
        <v>-314</v>
      </c>
      <c r="AB90" s="86">
        <f t="shared" si="22"/>
        <v>-377</v>
      </c>
      <c r="AC90" s="86">
        <f t="shared" si="22"/>
        <v>-406</v>
      </c>
      <c r="AD90" s="86">
        <f t="shared" si="22"/>
        <v>0</v>
      </c>
      <c r="AE90" s="86">
        <f t="shared" si="22"/>
        <v>-312</v>
      </c>
      <c r="AF90" s="86">
        <f t="shared" si="22"/>
        <v>-410</v>
      </c>
      <c r="AG90" s="85"/>
      <c r="AH90" s="20">
        <f t="shared" si="11"/>
        <v>0</v>
      </c>
      <c r="AI90" s="19">
        <f t="shared" si="12"/>
        <v>-440</v>
      </c>
    </row>
    <row r="91" spans="1:37" x14ac:dyDescent="0.25">
      <c r="A91" s="47" t="s">
        <v>148</v>
      </c>
      <c r="B91" s="84">
        <v>50.048000000000002</v>
      </c>
      <c r="C91" s="84">
        <v>49.933999999999997</v>
      </c>
      <c r="D91" s="84">
        <v>49.996000000000002</v>
      </c>
      <c r="E91" s="84">
        <v>50.02</v>
      </c>
      <c r="F91" s="84">
        <v>49.96</v>
      </c>
      <c r="G91" s="84">
        <v>49.996000000000002</v>
      </c>
      <c r="H91" s="84">
        <v>50.02</v>
      </c>
      <c r="I91" s="84">
        <v>50.05</v>
      </c>
      <c r="J91" s="84">
        <v>50.04</v>
      </c>
      <c r="K91" s="84">
        <v>50.02</v>
      </c>
      <c r="L91" s="84">
        <v>50.02</v>
      </c>
      <c r="M91" s="84">
        <v>50.085000000000001</v>
      </c>
      <c r="N91" s="84">
        <v>50.027000000000001</v>
      </c>
      <c r="O91" s="84">
        <v>50.000999999999998</v>
      </c>
      <c r="P91" s="84">
        <v>50.042000000000002</v>
      </c>
      <c r="Q91" s="84">
        <v>50.023000000000003</v>
      </c>
      <c r="R91" s="84">
        <v>50.026000000000003</v>
      </c>
      <c r="S91" s="84">
        <v>50.45</v>
      </c>
      <c r="T91" s="84">
        <v>49.988</v>
      </c>
      <c r="U91" s="84">
        <v>49.933999999999997</v>
      </c>
      <c r="V91" s="84">
        <v>49.957000000000001</v>
      </c>
      <c r="W91" s="84">
        <v>50.045000000000002</v>
      </c>
      <c r="X91" s="84">
        <v>50.000999999999998</v>
      </c>
      <c r="Y91" s="84">
        <v>50.026000000000003</v>
      </c>
      <c r="Z91" s="84">
        <v>50.061999999999998</v>
      </c>
      <c r="AA91" s="84">
        <v>49.97</v>
      </c>
      <c r="AB91" s="84">
        <v>50.079000000000001</v>
      </c>
      <c r="AC91" s="84">
        <v>50.079000000000001</v>
      </c>
      <c r="AD91" s="84"/>
      <c r="AE91" s="84">
        <v>50.01</v>
      </c>
      <c r="AF91" s="84">
        <v>50.01</v>
      </c>
      <c r="AG91" s="83"/>
      <c r="AH91" s="20">
        <f t="shared" si="11"/>
        <v>50.45</v>
      </c>
      <c r="AI91" s="19">
        <f t="shared" si="12"/>
        <v>49.933999999999997</v>
      </c>
    </row>
    <row r="92" spans="1:37" x14ac:dyDescent="0.25">
      <c r="A92" s="44" t="s">
        <v>147</v>
      </c>
      <c r="B92" s="80">
        <v>126.1</v>
      </c>
      <c r="C92" s="80">
        <v>126.6</v>
      </c>
      <c r="D92" s="80">
        <v>127.2</v>
      </c>
      <c r="E92" s="80">
        <v>127.2</v>
      </c>
      <c r="F92" s="80">
        <v>127</v>
      </c>
      <c r="G92" s="80">
        <v>127.2</v>
      </c>
      <c r="H92" s="80">
        <v>125.9</v>
      </c>
      <c r="I92" s="80">
        <v>124.9</v>
      </c>
      <c r="J92" s="80">
        <v>124.7</v>
      </c>
      <c r="K92" s="80">
        <v>123.1</v>
      </c>
      <c r="L92" s="80">
        <v>123.1</v>
      </c>
      <c r="M92" s="80">
        <v>123.8</v>
      </c>
      <c r="N92" s="80">
        <v>122</v>
      </c>
      <c r="O92" s="80">
        <v>122.8</v>
      </c>
      <c r="P92" s="80">
        <v>122.2</v>
      </c>
      <c r="Q92" s="80">
        <v>122.2</v>
      </c>
      <c r="R92" s="80">
        <v>123.4</v>
      </c>
      <c r="S92" s="80">
        <v>121.9</v>
      </c>
      <c r="T92" s="80">
        <v>123.2</v>
      </c>
      <c r="U92" s="80">
        <v>123</v>
      </c>
      <c r="V92" s="80">
        <v>123</v>
      </c>
      <c r="W92" s="80">
        <v>124.6</v>
      </c>
      <c r="X92" s="80">
        <v>126</v>
      </c>
      <c r="Y92" s="80">
        <v>126</v>
      </c>
      <c r="Z92" s="80">
        <v>125.6</v>
      </c>
      <c r="AA92" s="80">
        <v>124.5</v>
      </c>
      <c r="AB92" s="80">
        <v>126</v>
      </c>
      <c r="AC92" s="80">
        <v>126</v>
      </c>
      <c r="AD92" s="80"/>
      <c r="AE92" s="80">
        <v>126</v>
      </c>
      <c r="AF92" s="80">
        <v>126</v>
      </c>
      <c r="AG92" s="79"/>
      <c r="AH92" s="20">
        <f t="shared" si="11"/>
        <v>127.2</v>
      </c>
      <c r="AI92" s="19">
        <f t="shared" si="12"/>
        <v>121.9</v>
      </c>
    </row>
    <row r="93" spans="1:37" x14ac:dyDescent="0.25">
      <c r="A93" s="44" t="s">
        <v>146</v>
      </c>
      <c r="B93" s="80">
        <v>130.80000000000001</v>
      </c>
      <c r="C93" s="80">
        <v>131.19999999999999</v>
      </c>
      <c r="D93" s="80">
        <v>131.30000000000001</v>
      </c>
      <c r="E93" s="80">
        <v>131.30000000000001</v>
      </c>
      <c r="F93" s="80">
        <v>131.4</v>
      </c>
      <c r="G93" s="80">
        <v>131.30000000000001</v>
      </c>
      <c r="H93" s="80">
        <v>129.6</v>
      </c>
      <c r="I93" s="80">
        <v>128.80000000000001</v>
      </c>
      <c r="J93" s="80">
        <v>128.5</v>
      </c>
      <c r="K93" s="80">
        <v>127</v>
      </c>
      <c r="L93" s="80">
        <v>127</v>
      </c>
      <c r="M93" s="80">
        <v>127.5</v>
      </c>
      <c r="N93" s="80">
        <v>127</v>
      </c>
      <c r="O93" s="80">
        <v>127.1</v>
      </c>
      <c r="P93" s="80">
        <v>126.3</v>
      </c>
      <c r="Q93" s="80">
        <v>126.3</v>
      </c>
      <c r="R93" s="80">
        <v>127.2</v>
      </c>
      <c r="S93" s="80">
        <v>125.5</v>
      </c>
      <c r="T93" s="80">
        <v>126.5</v>
      </c>
      <c r="U93" s="80">
        <v>127</v>
      </c>
      <c r="V93" s="80">
        <v>126.6</v>
      </c>
      <c r="W93" s="80">
        <v>128.1</v>
      </c>
      <c r="X93" s="80">
        <v>130</v>
      </c>
      <c r="Y93" s="80">
        <v>130</v>
      </c>
      <c r="Z93" s="80">
        <v>128.19999999999999</v>
      </c>
      <c r="AA93" s="80">
        <v>128</v>
      </c>
      <c r="AB93" s="80">
        <v>129</v>
      </c>
      <c r="AC93" s="80">
        <v>129</v>
      </c>
      <c r="AD93" s="80"/>
      <c r="AE93" s="80">
        <v>130</v>
      </c>
      <c r="AF93" s="80">
        <v>130</v>
      </c>
      <c r="AG93" s="79"/>
      <c r="AH93" s="20">
        <f t="shared" si="11"/>
        <v>131.4</v>
      </c>
      <c r="AI93" s="19">
        <f t="shared" si="12"/>
        <v>125.5</v>
      </c>
    </row>
    <row r="94" spans="1:37" x14ac:dyDescent="0.25">
      <c r="A94" s="44" t="s">
        <v>145</v>
      </c>
      <c r="B94" s="80">
        <v>130</v>
      </c>
      <c r="C94" s="80">
        <v>131.6</v>
      </c>
      <c r="D94" s="80">
        <v>130.69999999999999</v>
      </c>
      <c r="E94" s="80">
        <v>130.69999999999999</v>
      </c>
      <c r="F94" s="80">
        <v>130.4</v>
      </c>
      <c r="G94" s="80">
        <v>130.69999999999999</v>
      </c>
      <c r="H94" s="80">
        <v>129.09</v>
      </c>
      <c r="I94" s="80">
        <v>129.1</v>
      </c>
      <c r="J94" s="80">
        <v>128.33000000000001</v>
      </c>
      <c r="K94" s="80">
        <v>126.2</v>
      </c>
      <c r="L94" s="80">
        <v>126.2</v>
      </c>
      <c r="M94" s="80">
        <v>126</v>
      </c>
      <c r="N94" s="80">
        <v>126.1</v>
      </c>
      <c r="O94" s="80">
        <v>129.4</v>
      </c>
      <c r="P94" s="80">
        <v>129.19999999999999</v>
      </c>
      <c r="Q94" s="80">
        <v>129.19999999999999</v>
      </c>
      <c r="R94" s="80">
        <v>128.4</v>
      </c>
      <c r="S94" s="80">
        <v>127.2</v>
      </c>
      <c r="T94" s="80">
        <v>129</v>
      </c>
      <c r="U94" s="80">
        <v>128</v>
      </c>
      <c r="V94" s="80">
        <v>130</v>
      </c>
      <c r="W94" s="80">
        <v>127.1</v>
      </c>
      <c r="X94" s="80">
        <v>128</v>
      </c>
      <c r="Y94" s="80">
        <v>130</v>
      </c>
      <c r="Z94" s="80">
        <v>129.19999999999999</v>
      </c>
      <c r="AA94" s="80">
        <v>129.1</v>
      </c>
      <c r="AB94" s="80">
        <v>129</v>
      </c>
      <c r="AC94" s="80">
        <v>129</v>
      </c>
      <c r="AD94" s="80"/>
      <c r="AE94" s="80">
        <v>130</v>
      </c>
      <c r="AF94" s="80">
        <v>130</v>
      </c>
      <c r="AG94" s="79"/>
      <c r="AH94" s="20">
        <f t="shared" si="11"/>
        <v>131.6</v>
      </c>
      <c r="AI94" s="19">
        <f t="shared" si="12"/>
        <v>126</v>
      </c>
    </row>
    <row r="95" spans="1:37" x14ac:dyDescent="0.25">
      <c r="A95" s="82" t="s">
        <v>144</v>
      </c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79"/>
      <c r="AH95" s="20">
        <f t="shared" si="11"/>
        <v>0</v>
      </c>
      <c r="AI95" s="19">
        <f t="shared" si="12"/>
        <v>0</v>
      </c>
    </row>
    <row r="96" spans="1:37" x14ac:dyDescent="0.25">
      <c r="A96" s="82" t="s">
        <v>143</v>
      </c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>
        <v>131.69999999999999</v>
      </c>
      <c r="N96" s="66">
        <v>132</v>
      </c>
      <c r="O96" s="66">
        <v>130.1</v>
      </c>
      <c r="P96" s="66"/>
      <c r="Q96" s="66"/>
      <c r="R96" s="66">
        <v>132.5</v>
      </c>
      <c r="S96" s="66">
        <v>128.6</v>
      </c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>
        <v>133</v>
      </c>
      <c r="AF96" s="66">
        <v>133</v>
      </c>
      <c r="AG96" s="81"/>
      <c r="AH96" s="20">
        <f t="shared" si="11"/>
        <v>133</v>
      </c>
      <c r="AI96" s="19">
        <f t="shared" si="12"/>
        <v>128.6</v>
      </c>
    </row>
    <row r="97" spans="1:37" x14ac:dyDescent="0.25">
      <c r="A97" s="44" t="s">
        <v>142</v>
      </c>
      <c r="B97" s="80">
        <v>127.5</v>
      </c>
      <c r="C97" s="80">
        <v>128.30000000000001</v>
      </c>
      <c r="D97" s="80">
        <v>129.30000000000001</v>
      </c>
      <c r="E97" s="80">
        <v>129.30000000000001</v>
      </c>
      <c r="F97" s="80">
        <v>130.5</v>
      </c>
      <c r="G97" s="80">
        <v>129.30000000000001</v>
      </c>
      <c r="H97" s="80">
        <v>129.1</v>
      </c>
      <c r="I97" s="80">
        <v>128</v>
      </c>
      <c r="J97" s="80">
        <v>125.4</v>
      </c>
      <c r="K97" s="80">
        <v>125.9</v>
      </c>
      <c r="L97" s="80">
        <v>125.9</v>
      </c>
      <c r="M97" s="80">
        <v>127.2</v>
      </c>
      <c r="N97" s="80">
        <v>125</v>
      </c>
      <c r="O97" s="80">
        <v>123.5</v>
      </c>
      <c r="P97" s="80">
        <v>131.4</v>
      </c>
      <c r="Q97" s="80">
        <v>131.4</v>
      </c>
      <c r="R97" s="80">
        <v>132</v>
      </c>
      <c r="S97" s="80">
        <v>125.8</v>
      </c>
      <c r="T97" s="80">
        <v>125.6</v>
      </c>
      <c r="U97" s="80">
        <v>129</v>
      </c>
      <c r="V97" s="80">
        <v>126.2</v>
      </c>
      <c r="W97" s="80">
        <v>127.4</v>
      </c>
      <c r="X97" s="80">
        <v>132</v>
      </c>
      <c r="Y97" s="80">
        <v>135</v>
      </c>
      <c r="Z97" s="80">
        <v>134</v>
      </c>
      <c r="AA97" s="80">
        <v>130</v>
      </c>
      <c r="AB97" s="80">
        <v>130</v>
      </c>
      <c r="AC97" s="80">
        <v>130</v>
      </c>
      <c r="AD97" s="80"/>
      <c r="AE97" s="80">
        <v>129</v>
      </c>
      <c r="AF97" s="80">
        <v>129</v>
      </c>
      <c r="AG97" s="79"/>
      <c r="AH97" s="20">
        <f t="shared" si="11"/>
        <v>135</v>
      </c>
      <c r="AI97" s="19">
        <f t="shared" si="12"/>
        <v>123.5</v>
      </c>
    </row>
    <row r="98" spans="1:37" ht="15.75" thickBot="1" x14ac:dyDescent="0.3">
      <c r="A98" s="44" t="s">
        <v>141</v>
      </c>
      <c r="B98" s="77">
        <v>66.2</v>
      </c>
      <c r="C98" s="77">
        <v>66.5</v>
      </c>
      <c r="D98" s="77">
        <v>66.5</v>
      </c>
      <c r="E98" s="77">
        <v>66.5</v>
      </c>
      <c r="F98" s="77">
        <v>66.3</v>
      </c>
      <c r="G98" s="77">
        <v>66.5</v>
      </c>
      <c r="H98" s="77">
        <v>65.400000000000006</v>
      </c>
      <c r="I98" s="77">
        <v>64.8</v>
      </c>
      <c r="J98" s="77">
        <v>64.7</v>
      </c>
      <c r="K98" s="77">
        <v>64.099999999999994</v>
      </c>
      <c r="L98" s="77">
        <v>64.099999999999994</v>
      </c>
      <c r="M98" s="77">
        <v>64.5</v>
      </c>
      <c r="N98" s="77">
        <v>64</v>
      </c>
      <c r="O98" s="77">
        <v>64.2</v>
      </c>
      <c r="P98" s="77">
        <v>63.9</v>
      </c>
      <c r="Q98" s="77">
        <v>63.9</v>
      </c>
      <c r="R98" s="77">
        <v>64.099999999999994</v>
      </c>
      <c r="S98" s="77">
        <v>63.3</v>
      </c>
      <c r="T98" s="77">
        <v>63.8</v>
      </c>
      <c r="U98" s="77">
        <v>64</v>
      </c>
      <c r="V98" s="77">
        <v>63.7</v>
      </c>
      <c r="W98" s="77">
        <v>64.599999999999994</v>
      </c>
      <c r="X98" s="77">
        <v>65.400000000000006</v>
      </c>
      <c r="Y98" s="77">
        <v>66</v>
      </c>
      <c r="Z98" s="77">
        <v>64.599999999999994</v>
      </c>
      <c r="AA98" s="77">
        <v>65</v>
      </c>
      <c r="AB98" s="77">
        <v>66</v>
      </c>
      <c r="AC98" s="77">
        <v>66</v>
      </c>
      <c r="AD98" s="77"/>
      <c r="AE98" s="77">
        <v>65.900000000000006</v>
      </c>
      <c r="AF98" s="77">
        <v>65.900000000000006</v>
      </c>
      <c r="AG98" s="76"/>
      <c r="AH98" s="20">
        <f t="shared" si="11"/>
        <v>66.5</v>
      </c>
      <c r="AI98" s="19">
        <f t="shared" si="12"/>
        <v>63.3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11"/>
        <v>0</v>
      </c>
      <c r="AI99" s="19">
        <f t="shared" si="12"/>
        <v>0</v>
      </c>
    </row>
    <row r="100" spans="1:37" ht="15.75" thickBot="1" x14ac:dyDescent="0.3">
      <c r="A100" s="75" t="s">
        <v>140</v>
      </c>
      <c r="B100" s="74">
        <f t="shared" ref="B100:AF100" si="23">SUM(B15,B20,B22:B23,B48,B50:B51,B53,B55,B101:B105,B127,B133,B139,B148,B150,B162,B169,B172:B173,B180,B182,B184,B188:B190,B192:B194,B199,B205:B206,B208:B210,B218,B223)</f>
        <v>48.900000000000006</v>
      </c>
      <c r="C100" s="74">
        <f t="shared" si="23"/>
        <v>44.94</v>
      </c>
      <c r="D100" s="74">
        <f t="shared" si="23"/>
        <v>51.94</v>
      </c>
      <c r="E100" s="74">
        <f t="shared" si="23"/>
        <v>51.94</v>
      </c>
      <c r="F100" s="74">
        <f t="shared" si="23"/>
        <v>47.239999999999995</v>
      </c>
      <c r="G100" s="74">
        <f t="shared" si="23"/>
        <v>51.94</v>
      </c>
      <c r="H100" s="74">
        <f t="shared" si="23"/>
        <v>102.14</v>
      </c>
      <c r="I100" s="74">
        <f t="shared" si="23"/>
        <v>93.339999999999975</v>
      </c>
      <c r="J100" s="74">
        <f t="shared" si="23"/>
        <v>125.13999999999999</v>
      </c>
      <c r="K100" s="74">
        <f t="shared" si="23"/>
        <v>186.94</v>
      </c>
      <c r="L100" s="74">
        <f t="shared" si="23"/>
        <v>196.94</v>
      </c>
      <c r="M100" s="74">
        <f t="shared" si="23"/>
        <v>249.04000000000002</v>
      </c>
      <c r="N100" s="74">
        <f t="shared" si="23"/>
        <v>183.94</v>
      </c>
      <c r="O100" s="74">
        <f t="shared" si="23"/>
        <v>179.14</v>
      </c>
      <c r="P100" s="74">
        <f t="shared" si="23"/>
        <v>219.04000000000002</v>
      </c>
      <c r="Q100" s="74">
        <f t="shared" si="23"/>
        <v>218.10000000000002</v>
      </c>
      <c r="R100" s="74">
        <f t="shared" si="23"/>
        <v>196.1</v>
      </c>
      <c r="S100" s="74">
        <f t="shared" si="23"/>
        <v>188.60000000000002</v>
      </c>
      <c r="T100" s="74">
        <f t="shared" si="23"/>
        <v>214.70000000000002</v>
      </c>
      <c r="U100" s="74">
        <f t="shared" si="23"/>
        <v>195.3</v>
      </c>
      <c r="V100" s="74">
        <f t="shared" si="23"/>
        <v>200.4</v>
      </c>
      <c r="W100" s="74">
        <f t="shared" si="23"/>
        <v>226.5</v>
      </c>
      <c r="X100" s="74">
        <f t="shared" si="23"/>
        <v>280.7</v>
      </c>
      <c r="Y100" s="74">
        <f t="shared" si="23"/>
        <v>286.89999999999998</v>
      </c>
      <c r="Z100" s="74">
        <f t="shared" si="23"/>
        <v>268</v>
      </c>
      <c r="AA100" s="74">
        <f t="shared" si="23"/>
        <v>234.5</v>
      </c>
      <c r="AB100" s="74">
        <f t="shared" si="23"/>
        <v>199.5</v>
      </c>
      <c r="AC100" s="74">
        <f t="shared" si="23"/>
        <v>199.5</v>
      </c>
      <c r="AD100" s="74">
        <f t="shared" si="23"/>
        <v>0</v>
      </c>
      <c r="AE100" s="74">
        <f t="shared" si="23"/>
        <v>113</v>
      </c>
      <c r="AF100" s="74">
        <f t="shared" si="23"/>
        <v>74.8</v>
      </c>
      <c r="AG100" s="73"/>
      <c r="AH100" s="20">
        <f t="shared" si="11"/>
        <v>286.89999999999998</v>
      </c>
      <c r="AI100" s="19">
        <f t="shared" si="12"/>
        <v>0</v>
      </c>
    </row>
    <row r="101" spans="1:37" x14ac:dyDescent="0.25">
      <c r="A101" s="47" t="s">
        <v>139</v>
      </c>
      <c r="B101" s="72">
        <v>18</v>
      </c>
      <c r="C101" s="72">
        <v>20</v>
      </c>
      <c r="D101" s="72">
        <v>21</v>
      </c>
      <c r="E101" s="72">
        <v>21</v>
      </c>
      <c r="F101" s="72">
        <v>16.8</v>
      </c>
      <c r="G101" s="72">
        <v>21</v>
      </c>
      <c r="H101" s="72">
        <v>16.399999999999999</v>
      </c>
      <c r="I101" s="72">
        <v>16.100000000000001</v>
      </c>
      <c r="J101" s="72">
        <v>15.6</v>
      </c>
      <c r="K101" s="72">
        <v>21.5</v>
      </c>
      <c r="L101" s="72">
        <v>21.5</v>
      </c>
      <c r="M101" s="72">
        <v>32.799999999999997</v>
      </c>
      <c r="N101" s="72">
        <v>29.6</v>
      </c>
      <c r="O101" s="72">
        <v>28.2</v>
      </c>
      <c r="P101" s="72">
        <v>32.4</v>
      </c>
      <c r="Q101" s="72">
        <v>32.4</v>
      </c>
      <c r="R101" s="72">
        <v>37.4</v>
      </c>
      <c r="S101" s="72">
        <v>40.6</v>
      </c>
      <c r="T101" s="72">
        <v>38.6</v>
      </c>
      <c r="U101" s="72">
        <v>27.4</v>
      </c>
      <c r="V101" s="72">
        <v>24</v>
      </c>
      <c r="W101" s="72">
        <v>25.8</v>
      </c>
      <c r="X101" s="72">
        <v>30.2</v>
      </c>
      <c r="Y101" s="72">
        <v>31</v>
      </c>
      <c r="Z101" s="72">
        <v>35</v>
      </c>
      <c r="AA101" s="72">
        <v>42</v>
      </c>
      <c r="AB101" s="72">
        <v>30</v>
      </c>
      <c r="AC101" s="72">
        <v>30</v>
      </c>
      <c r="AD101" s="72"/>
      <c r="AE101" s="72"/>
      <c r="AF101" s="72">
        <v>9</v>
      </c>
      <c r="AG101" s="70">
        <v>75</v>
      </c>
      <c r="AH101" s="20">
        <f t="shared" si="11"/>
        <v>42</v>
      </c>
      <c r="AI101" s="19">
        <f t="shared" si="12"/>
        <v>9</v>
      </c>
    </row>
    <row r="102" spans="1:37" x14ac:dyDescent="0.25">
      <c r="A102" s="44" t="s">
        <v>138</v>
      </c>
      <c r="B102" s="71">
        <v>36</v>
      </c>
      <c r="C102" s="71">
        <v>40</v>
      </c>
      <c r="D102" s="71">
        <v>42</v>
      </c>
      <c r="E102" s="71">
        <v>42</v>
      </c>
      <c r="F102" s="71">
        <v>34.700000000000003</v>
      </c>
      <c r="G102" s="71">
        <v>42</v>
      </c>
      <c r="H102" s="71">
        <v>30.4</v>
      </c>
      <c r="I102" s="71">
        <v>30.1</v>
      </c>
      <c r="J102" s="71">
        <v>30.9</v>
      </c>
      <c r="K102" s="71">
        <v>41.6</v>
      </c>
      <c r="L102" s="71">
        <v>41.6</v>
      </c>
      <c r="M102" s="71">
        <v>58.1</v>
      </c>
      <c r="N102" s="71">
        <v>54</v>
      </c>
      <c r="O102" s="71">
        <v>52.2</v>
      </c>
      <c r="P102" s="71">
        <v>60.2</v>
      </c>
      <c r="Q102" s="71">
        <v>60.2</v>
      </c>
      <c r="R102" s="71">
        <v>64.599999999999994</v>
      </c>
      <c r="S102" s="71">
        <v>71.5</v>
      </c>
      <c r="T102" s="71">
        <v>68.400000000000006</v>
      </c>
      <c r="U102" s="71">
        <v>52.2</v>
      </c>
      <c r="V102" s="71">
        <v>46</v>
      </c>
      <c r="W102" s="71">
        <v>44.2</v>
      </c>
      <c r="X102" s="71">
        <v>50</v>
      </c>
      <c r="Y102" s="71">
        <v>47.2</v>
      </c>
      <c r="Z102" s="71">
        <v>57</v>
      </c>
      <c r="AA102" s="71">
        <v>66</v>
      </c>
      <c r="AB102" s="71">
        <v>51</v>
      </c>
      <c r="AC102" s="71">
        <v>51</v>
      </c>
      <c r="AD102" s="71"/>
      <c r="AE102" s="71"/>
      <c r="AF102" s="71">
        <v>25</v>
      </c>
      <c r="AG102" s="70">
        <v>240</v>
      </c>
      <c r="AH102" s="20">
        <f t="shared" si="11"/>
        <v>71.5</v>
      </c>
      <c r="AI102" s="19">
        <f t="shared" si="12"/>
        <v>25</v>
      </c>
    </row>
    <row r="103" spans="1:37" x14ac:dyDescent="0.25">
      <c r="A103" s="44" t="s">
        <v>137</v>
      </c>
      <c r="B103" s="71">
        <v>-130</v>
      </c>
      <c r="C103" s="71">
        <v>-120</v>
      </c>
      <c r="D103" s="71">
        <v>-116</v>
      </c>
      <c r="E103" s="71">
        <v>-116</v>
      </c>
      <c r="F103" s="71">
        <f>-52.6-56.6</f>
        <v>-109.2</v>
      </c>
      <c r="G103" s="71">
        <v>-116</v>
      </c>
      <c r="H103" s="71">
        <f>-28.5-30.3</f>
        <v>-58.8</v>
      </c>
      <c r="I103" s="71">
        <f>-32.4-34.6</f>
        <v>-67</v>
      </c>
      <c r="J103" s="71">
        <f>-44.4-41.1</f>
        <v>-85.5</v>
      </c>
      <c r="K103" s="71">
        <f>-35.6-38.5</f>
        <v>-74.099999999999994</v>
      </c>
      <c r="L103" s="71">
        <f>-35.6-38.5</f>
        <v>-74.099999999999994</v>
      </c>
      <c r="M103" s="71">
        <v>-75</v>
      </c>
      <c r="N103" s="71">
        <v>-103</v>
      </c>
      <c r="O103" s="71">
        <v>-99</v>
      </c>
      <c r="P103" s="71">
        <v>-89.6</v>
      </c>
      <c r="Q103" s="71">
        <v>-89.6</v>
      </c>
      <c r="R103" s="71">
        <v>-81</v>
      </c>
      <c r="S103" s="71">
        <f>-49.5-53.2</f>
        <v>-102.7</v>
      </c>
      <c r="T103" s="71">
        <f>-41.2-43</f>
        <v>-84.2</v>
      </c>
      <c r="U103" s="71">
        <f>-50-53</f>
        <v>-103</v>
      </c>
      <c r="V103" s="71">
        <f>-45-48.1</f>
        <v>-93.1</v>
      </c>
      <c r="W103" s="71">
        <f>-39-41</f>
        <v>-80</v>
      </c>
      <c r="X103" s="71">
        <f>-11-12</f>
        <v>-23</v>
      </c>
      <c r="Y103" s="71">
        <f>-6.2-7.6</f>
        <v>-13.8</v>
      </c>
      <c r="Z103" s="71">
        <f>-34.5-38</f>
        <v>-72.5</v>
      </c>
      <c r="AA103" s="71">
        <f>-47-50</f>
        <v>-97</v>
      </c>
      <c r="AB103" s="71">
        <v>-101</v>
      </c>
      <c r="AC103" s="71">
        <v>-101</v>
      </c>
      <c r="AD103" s="71"/>
      <c r="AE103" s="71"/>
      <c r="AF103" s="71">
        <v>-100</v>
      </c>
      <c r="AG103" s="70">
        <v>240</v>
      </c>
      <c r="AH103" s="20">
        <f t="shared" si="11"/>
        <v>-13.8</v>
      </c>
      <c r="AI103" s="19">
        <f t="shared" si="12"/>
        <v>-130</v>
      </c>
    </row>
    <row r="104" spans="1:37" x14ac:dyDescent="0.25">
      <c r="A104" s="44" t="s">
        <v>136</v>
      </c>
      <c r="B104" s="71">
        <v>0</v>
      </c>
      <c r="C104" s="71">
        <v>0</v>
      </c>
      <c r="D104" s="71">
        <v>0</v>
      </c>
      <c r="E104" s="71">
        <v>0</v>
      </c>
      <c r="F104" s="71">
        <v>0</v>
      </c>
      <c r="G104" s="71">
        <v>0</v>
      </c>
      <c r="H104" s="71">
        <v>10.1</v>
      </c>
      <c r="I104" s="71">
        <v>10.1</v>
      </c>
      <c r="J104" s="71">
        <v>10.7</v>
      </c>
      <c r="K104" s="71">
        <v>12</v>
      </c>
      <c r="L104" s="71">
        <v>12</v>
      </c>
      <c r="M104" s="71">
        <v>12.3</v>
      </c>
      <c r="N104" s="71">
        <v>8.3000000000000007</v>
      </c>
      <c r="O104" s="71">
        <v>10.199999999999999</v>
      </c>
      <c r="P104" s="71">
        <v>13</v>
      </c>
      <c r="Q104" s="71">
        <v>13</v>
      </c>
      <c r="R104" s="71">
        <v>11.1</v>
      </c>
      <c r="S104" s="71">
        <v>8.6999999999999993</v>
      </c>
      <c r="T104" s="71">
        <v>11.4</v>
      </c>
      <c r="U104" s="71">
        <v>8.1999999999999993</v>
      </c>
      <c r="V104" s="71">
        <v>8</v>
      </c>
      <c r="W104" s="71">
        <v>12</v>
      </c>
      <c r="X104" s="71">
        <v>23</v>
      </c>
      <c r="Y104" s="71">
        <v>24</v>
      </c>
      <c r="Z104" s="71">
        <v>17</v>
      </c>
      <c r="AA104" s="71">
        <v>14</v>
      </c>
      <c r="AB104" s="71">
        <v>11</v>
      </c>
      <c r="AC104" s="71">
        <v>11</v>
      </c>
      <c r="AD104" s="71"/>
      <c r="AE104" s="71"/>
      <c r="AF104" s="71">
        <v>6.3</v>
      </c>
      <c r="AG104" s="70">
        <v>60</v>
      </c>
      <c r="AH104" s="20">
        <f t="shared" si="11"/>
        <v>24</v>
      </c>
      <c r="AI104" s="19">
        <f t="shared" si="12"/>
        <v>0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49.4</v>
      </c>
      <c r="K105" s="68">
        <v>61</v>
      </c>
      <c r="L105" s="68">
        <v>61</v>
      </c>
      <c r="M105" s="68">
        <v>64.599999999999994</v>
      </c>
      <c r="N105" s="68">
        <v>36.799999999999997</v>
      </c>
      <c r="O105" s="68">
        <v>32.700000000000003</v>
      </c>
      <c r="P105" s="68">
        <v>46.2</v>
      </c>
      <c r="Q105" s="68">
        <v>46.2</v>
      </c>
      <c r="R105" s="68">
        <v>0</v>
      </c>
      <c r="S105" s="68">
        <v>0</v>
      </c>
      <c r="T105" s="68">
        <v>0</v>
      </c>
      <c r="U105" s="68">
        <v>40</v>
      </c>
      <c r="V105" s="68">
        <v>50</v>
      </c>
      <c r="W105" s="68">
        <v>75</v>
      </c>
      <c r="X105" s="68">
        <v>41</v>
      </c>
      <c r="Y105" s="68">
        <v>39</v>
      </c>
      <c r="Z105" s="68">
        <v>72</v>
      </c>
      <c r="AA105" s="68">
        <v>50</v>
      </c>
      <c r="AB105" s="68">
        <v>49</v>
      </c>
      <c r="AC105" s="68">
        <v>49</v>
      </c>
      <c r="AD105" s="68"/>
      <c r="AE105" s="68"/>
      <c r="AF105" s="68">
        <v>0</v>
      </c>
      <c r="AG105" s="69">
        <v>120</v>
      </c>
      <c r="AH105" s="20">
        <f t="shared" si="11"/>
        <v>75</v>
      </c>
      <c r="AI105" s="19">
        <f t="shared" si="12"/>
        <v>0</v>
      </c>
    </row>
    <row r="106" spans="1:37" x14ac:dyDescent="0.25">
      <c r="A106" s="40" t="s">
        <v>134</v>
      </c>
      <c r="B106" s="68">
        <v>20</v>
      </c>
      <c r="C106" s="68">
        <v>14</v>
      </c>
      <c r="D106" s="68">
        <v>18</v>
      </c>
      <c r="E106" s="68">
        <v>18</v>
      </c>
      <c r="F106" s="68">
        <v>23</v>
      </c>
      <c r="G106" s="68">
        <v>18</v>
      </c>
      <c r="H106" s="68">
        <v>61.1</v>
      </c>
      <c r="I106" s="68">
        <v>54.5</v>
      </c>
      <c r="J106" s="68">
        <v>43</v>
      </c>
      <c r="K106" s="68">
        <v>53.9</v>
      </c>
      <c r="L106" s="68">
        <v>53.9</v>
      </c>
      <c r="M106" s="68">
        <v>45.6</v>
      </c>
      <c r="N106" s="68">
        <v>38.299999999999997</v>
      </c>
      <c r="O106" s="68">
        <v>35.4</v>
      </c>
      <c r="P106" s="68">
        <v>48.4</v>
      </c>
      <c r="Q106" s="68">
        <v>48.4</v>
      </c>
      <c r="R106" s="68">
        <v>43.4</v>
      </c>
      <c r="S106" s="68">
        <v>19.5</v>
      </c>
      <c r="T106" s="68">
        <v>49.6</v>
      </c>
      <c r="U106" s="68">
        <v>37</v>
      </c>
      <c r="V106" s="68">
        <v>44</v>
      </c>
      <c r="W106" s="68">
        <v>52.3</v>
      </c>
      <c r="X106" s="68">
        <v>92</v>
      </c>
      <c r="Y106" s="68">
        <v>105</v>
      </c>
      <c r="Z106" s="68">
        <v>51.3</v>
      </c>
      <c r="AA106" s="68">
        <v>33.200000000000003</v>
      </c>
      <c r="AB106" s="68">
        <v>34</v>
      </c>
      <c r="AC106" s="68">
        <v>34</v>
      </c>
      <c r="AD106" s="68"/>
      <c r="AE106" s="68"/>
      <c r="AF106" s="68">
        <v>44</v>
      </c>
      <c r="AG106" s="69"/>
      <c r="AH106" s="20">
        <f t="shared" si="11"/>
        <v>105</v>
      </c>
      <c r="AI106" s="19">
        <f t="shared" si="12"/>
        <v>14</v>
      </c>
    </row>
    <row r="107" spans="1:37" x14ac:dyDescent="0.25">
      <c r="A107" s="40" t="s">
        <v>133</v>
      </c>
      <c r="B107" s="68">
        <v>18</v>
      </c>
      <c r="C107" s="68">
        <v>11</v>
      </c>
      <c r="D107" s="68">
        <v>10</v>
      </c>
      <c r="E107" s="68">
        <v>10</v>
      </c>
      <c r="F107" s="68">
        <v>9.4</v>
      </c>
      <c r="G107" s="68">
        <v>10</v>
      </c>
      <c r="H107" s="68">
        <v>19.3</v>
      </c>
      <c r="I107" s="68">
        <v>16.2</v>
      </c>
      <c r="J107" s="68">
        <v>21.7</v>
      </c>
      <c r="K107" s="68">
        <v>25.2</v>
      </c>
      <c r="L107" s="68">
        <v>25.2</v>
      </c>
      <c r="M107" s="68">
        <v>11.7</v>
      </c>
      <c r="N107" s="68">
        <v>37.9</v>
      </c>
      <c r="O107" s="68">
        <v>47.9</v>
      </c>
      <c r="P107" s="68">
        <v>34.799999999999997</v>
      </c>
      <c r="Q107" s="68">
        <v>34.799999999999997</v>
      </c>
      <c r="R107" s="68">
        <v>16.2</v>
      </c>
      <c r="S107" s="68">
        <v>-3.5</v>
      </c>
      <c r="T107" s="68">
        <v>12</v>
      </c>
      <c r="U107" s="68">
        <v>19</v>
      </c>
      <c r="V107" s="68">
        <v>50</v>
      </c>
      <c r="W107" s="68">
        <v>17.100000000000001</v>
      </c>
      <c r="X107" s="68">
        <v>49</v>
      </c>
      <c r="Y107" s="68">
        <v>41</v>
      </c>
      <c r="Z107" s="68">
        <v>31.3</v>
      </c>
      <c r="AA107" s="68">
        <v>8.1</v>
      </c>
      <c r="AB107" s="68">
        <v>43</v>
      </c>
      <c r="AC107" s="68">
        <v>43</v>
      </c>
      <c r="AD107" s="68"/>
      <c r="AE107" s="68"/>
      <c r="AF107" s="68">
        <v>57</v>
      </c>
      <c r="AG107" s="48"/>
      <c r="AH107" s="20">
        <f t="shared" si="11"/>
        <v>57</v>
      </c>
      <c r="AI107" s="19">
        <f t="shared" si="12"/>
        <v>-3.5</v>
      </c>
    </row>
    <row r="108" spans="1:37" x14ac:dyDescent="0.25">
      <c r="A108" s="67" t="s">
        <v>132</v>
      </c>
      <c r="B108" s="66">
        <v>112</v>
      </c>
      <c r="C108" s="66">
        <v>92</v>
      </c>
      <c r="D108" s="66">
        <v>120</v>
      </c>
      <c r="E108" s="66">
        <v>120</v>
      </c>
      <c r="F108" s="66">
        <v>115.7</v>
      </c>
      <c r="G108" s="66">
        <v>120</v>
      </c>
      <c r="H108" s="66">
        <v>99.2</v>
      </c>
      <c r="I108" s="66">
        <v>107.5</v>
      </c>
      <c r="J108" s="66">
        <v>107</v>
      </c>
      <c r="K108" s="66">
        <v>99.7</v>
      </c>
      <c r="L108" s="66">
        <v>99.7</v>
      </c>
      <c r="M108" s="66">
        <v>89.1</v>
      </c>
      <c r="N108" s="66">
        <v>107.4</v>
      </c>
      <c r="O108" s="66">
        <v>108.6</v>
      </c>
      <c r="P108" s="66">
        <v>97.5</v>
      </c>
      <c r="Q108" s="66">
        <v>97.5</v>
      </c>
      <c r="R108" s="66">
        <v>95.1</v>
      </c>
      <c r="S108" s="66">
        <v>97.3</v>
      </c>
      <c r="T108" s="66">
        <v>79</v>
      </c>
      <c r="U108" s="66">
        <v>81</v>
      </c>
      <c r="V108" s="66">
        <v>75.400000000000006</v>
      </c>
      <c r="W108" s="66">
        <v>89.3</v>
      </c>
      <c r="X108" s="66">
        <v>84.3</v>
      </c>
      <c r="Y108" s="66">
        <v>93</v>
      </c>
      <c r="Z108" s="66">
        <v>98.1</v>
      </c>
      <c r="AA108" s="66">
        <v>102</v>
      </c>
      <c r="AB108" s="66">
        <v>106</v>
      </c>
      <c r="AC108" s="66">
        <v>106</v>
      </c>
      <c r="AD108" s="66"/>
      <c r="AE108" s="66"/>
      <c r="AF108" s="66">
        <v>115</v>
      </c>
      <c r="AG108" s="48"/>
      <c r="AH108" s="20">
        <f t="shared" si="11"/>
        <v>120</v>
      </c>
      <c r="AI108" s="19">
        <f t="shared" si="12"/>
        <v>75.400000000000006</v>
      </c>
    </row>
    <row r="109" spans="1:37" ht="15.75" thickBot="1" x14ac:dyDescent="0.3">
      <c r="A109" s="67" t="s">
        <v>131</v>
      </c>
      <c r="B109" s="66">
        <v>87</v>
      </c>
      <c r="C109" s="66">
        <v>86</v>
      </c>
      <c r="D109" s="66">
        <v>85</v>
      </c>
      <c r="E109" s="66">
        <v>85</v>
      </c>
      <c r="F109" s="66">
        <v>76.5</v>
      </c>
      <c r="G109" s="66">
        <v>85</v>
      </c>
      <c r="H109" s="66">
        <v>38.9</v>
      </c>
      <c r="I109" s="66">
        <v>48.8</v>
      </c>
      <c r="J109" s="66">
        <v>57.9</v>
      </c>
      <c r="K109" s="66">
        <v>50.9</v>
      </c>
      <c r="L109" s="66">
        <v>50.9</v>
      </c>
      <c r="M109" s="66">
        <v>57.8</v>
      </c>
      <c r="N109" s="66">
        <v>66.099999999999994</v>
      </c>
      <c r="O109" s="66">
        <v>65.7</v>
      </c>
      <c r="P109" s="66">
        <v>61.6</v>
      </c>
      <c r="Q109" s="66">
        <v>61.6</v>
      </c>
      <c r="R109" s="66">
        <v>58</v>
      </c>
      <c r="S109" s="66">
        <v>75.099999999999994</v>
      </c>
      <c r="T109" s="66">
        <v>73</v>
      </c>
      <c r="U109" s="66">
        <v>69</v>
      </c>
      <c r="V109" s="66">
        <v>57.6</v>
      </c>
      <c r="W109" s="66">
        <v>62</v>
      </c>
      <c r="X109" s="66">
        <v>51</v>
      </c>
      <c r="Y109" s="66">
        <v>10</v>
      </c>
      <c r="Z109" s="66">
        <v>56</v>
      </c>
      <c r="AA109" s="66">
        <v>73</v>
      </c>
      <c r="AB109" s="66">
        <v>68</v>
      </c>
      <c r="AC109" s="66">
        <v>68</v>
      </c>
      <c r="AD109" s="66"/>
      <c r="AE109" s="66"/>
      <c r="AF109" s="66">
        <v>67</v>
      </c>
      <c r="AG109" s="48"/>
      <c r="AH109" s="20">
        <f t="shared" si="11"/>
        <v>87</v>
      </c>
      <c r="AI109" s="19">
        <f t="shared" si="12"/>
        <v>10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4">SUM(B111:B215)</f>
        <v>0</v>
      </c>
      <c r="C216" s="36">
        <f t="shared" si="24"/>
        <v>0</v>
      </c>
      <c r="D216" s="36">
        <f t="shared" si="24"/>
        <v>0</v>
      </c>
      <c r="E216" s="36">
        <f t="shared" si="24"/>
        <v>0</v>
      </c>
      <c r="F216" s="36">
        <f t="shared" si="24"/>
        <v>0</v>
      </c>
      <c r="G216" s="36">
        <f t="shared" si="24"/>
        <v>0</v>
      </c>
      <c r="H216" s="36">
        <f t="shared" si="24"/>
        <v>0</v>
      </c>
      <c r="I216" s="36">
        <f t="shared" si="24"/>
        <v>0</v>
      </c>
      <c r="J216" s="36">
        <f t="shared" si="24"/>
        <v>0</v>
      </c>
      <c r="K216" s="36">
        <f t="shared" si="24"/>
        <v>0</v>
      </c>
      <c r="L216" s="36">
        <f t="shared" si="24"/>
        <v>0</v>
      </c>
      <c r="M216" s="36">
        <f t="shared" si="24"/>
        <v>0</v>
      </c>
      <c r="N216" s="36">
        <f t="shared" si="24"/>
        <v>0</v>
      </c>
      <c r="O216" s="36">
        <f t="shared" si="24"/>
        <v>0</v>
      </c>
      <c r="P216" s="36">
        <f t="shared" si="24"/>
        <v>0</v>
      </c>
      <c r="Q216" s="36">
        <f t="shared" si="24"/>
        <v>0</v>
      </c>
      <c r="R216" s="36">
        <f t="shared" si="24"/>
        <v>0</v>
      </c>
      <c r="S216" s="36">
        <f t="shared" si="24"/>
        <v>0</v>
      </c>
      <c r="T216" s="36">
        <f t="shared" si="24"/>
        <v>0</v>
      </c>
      <c r="U216" s="36">
        <f t="shared" si="24"/>
        <v>0</v>
      </c>
      <c r="V216" s="36">
        <f t="shared" si="24"/>
        <v>0</v>
      </c>
      <c r="W216" s="36">
        <f t="shared" si="24"/>
        <v>0</v>
      </c>
      <c r="X216" s="36">
        <f t="shared" si="24"/>
        <v>0</v>
      </c>
      <c r="Y216" s="36">
        <f t="shared" si="24"/>
        <v>0</v>
      </c>
      <c r="Z216" s="36">
        <f t="shared" si="24"/>
        <v>0</v>
      </c>
      <c r="AA216" s="36">
        <f t="shared" si="24"/>
        <v>0</v>
      </c>
      <c r="AB216" s="36">
        <f t="shared" si="24"/>
        <v>0</v>
      </c>
      <c r="AC216" s="36">
        <f t="shared" si="24"/>
        <v>0</v>
      </c>
      <c r="AD216" s="36">
        <f t="shared" si="24"/>
        <v>0</v>
      </c>
      <c r="AE216" s="36">
        <f t="shared" si="24"/>
        <v>0</v>
      </c>
      <c r="AF216" s="51">
        <f t="shared" si="24"/>
        <v>0</v>
      </c>
      <c r="AG216" s="50">
        <f t="shared" si="24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5">AF218</f>
        <v>0</v>
      </c>
      <c r="C218" s="46">
        <v>0.3</v>
      </c>
      <c r="D218" s="46">
        <f t="shared" ref="D218:P223" si="26">C218</f>
        <v>0.3</v>
      </c>
      <c r="E218" s="46">
        <f t="shared" si="26"/>
        <v>0.3</v>
      </c>
      <c r="F218" s="46">
        <f t="shared" si="26"/>
        <v>0.3</v>
      </c>
      <c r="G218" s="46">
        <f t="shared" si="26"/>
        <v>0.3</v>
      </c>
      <c r="H218" s="46">
        <f t="shared" si="26"/>
        <v>0.3</v>
      </c>
      <c r="I218" s="46">
        <f t="shared" si="26"/>
        <v>0.3</v>
      </c>
      <c r="J218" s="46">
        <f t="shared" si="26"/>
        <v>0.3</v>
      </c>
      <c r="K218" s="46">
        <f t="shared" si="26"/>
        <v>0.3</v>
      </c>
      <c r="L218" s="46">
        <f t="shared" si="26"/>
        <v>0.3</v>
      </c>
      <c r="M218" s="46">
        <f t="shared" si="26"/>
        <v>0.3</v>
      </c>
      <c r="N218" s="46">
        <f t="shared" si="26"/>
        <v>0.3</v>
      </c>
      <c r="O218" s="46">
        <f t="shared" si="26"/>
        <v>0.3</v>
      </c>
      <c r="P218" s="46">
        <f t="shared" si="26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5"/>
        <v>0</v>
      </c>
      <c r="C219" s="43">
        <v>0.4</v>
      </c>
      <c r="D219" s="43">
        <f t="shared" si="26"/>
        <v>0.4</v>
      </c>
      <c r="E219" s="43">
        <f t="shared" si="26"/>
        <v>0.4</v>
      </c>
      <c r="F219" s="43">
        <f t="shared" si="26"/>
        <v>0.4</v>
      </c>
      <c r="G219" s="43">
        <f t="shared" si="26"/>
        <v>0.4</v>
      </c>
      <c r="H219" s="43">
        <f t="shared" si="26"/>
        <v>0.4</v>
      </c>
      <c r="I219" s="43">
        <f t="shared" si="26"/>
        <v>0.4</v>
      </c>
      <c r="J219" s="43">
        <f t="shared" si="26"/>
        <v>0.4</v>
      </c>
      <c r="K219" s="43">
        <f t="shared" si="26"/>
        <v>0.4</v>
      </c>
      <c r="L219" s="43">
        <f t="shared" si="26"/>
        <v>0.4</v>
      </c>
      <c r="M219" s="43">
        <f t="shared" si="26"/>
        <v>0.4</v>
      </c>
      <c r="N219" s="43">
        <f t="shared" si="26"/>
        <v>0.4</v>
      </c>
      <c r="O219" s="43">
        <f t="shared" si="26"/>
        <v>0.4</v>
      </c>
      <c r="P219" s="43">
        <f t="shared" si="26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5"/>
        <v>0</v>
      </c>
      <c r="C220" s="43">
        <v>1.5</v>
      </c>
      <c r="D220" s="43">
        <f t="shared" si="26"/>
        <v>1.5</v>
      </c>
      <c r="E220" s="43">
        <f t="shared" si="26"/>
        <v>1.5</v>
      </c>
      <c r="F220" s="43">
        <f t="shared" si="26"/>
        <v>1.5</v>
      </c>
      <c r="G220" s="43">
        <f t="shared" si="26"/>
        <v>1.5</v>
      </c>
      <c r="H220" s="43">
        <f t="shared" si="26"/>
        <v>1.5</v>
      </c>
      <c r="I220" s="43">
        <f t="shared" si="26"/>
        <v>1.5</v>
      </c>
      <c r="J220" s="43">
        <f t="shared" si="26"/>
        <v>1.5</v>
      </c>
      <c r="K220" s="43">
        <f t="shared" si="26"/>
        <v>1.5</v>
      </c>
      <c r="L220" s="43">
        <f t="shared" si="26"/>
        <v>1.5</v>
      </c>
      <c r="M220" s="43">
        <f t="shared" si="26"/>
        <v>1.5</v>
      </c>
      <c r="N220" s="43">
        <f t="shared" si="26"/>
        <v>1.5</v>
      </c>
      <c r="O220" s="43">
        <f t="shared" si="26"/>
        <v>1.5</v>
      </c>
      <c r="P220" s="43">
        <f t="shared" si="26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5"/>
        <v>0</v>
      </c>
      <c r="C221" s="43">
        <v>0.3</v>
      </c>
      <c r="D221" s="43">
        <f t="shared" si="26"/>
        <v>0.3</v>
      </c>
      <c r="E221" s="43">
        <f t="shared" si="26"/>
        <v>0.3</v>
      </c>
      <c r="F221" s="43">
        <f t="shared" si="26"/>
        <v>0.3</v>
      </c>
      <c r="G221" s="43">
        <f t="shared" si="26"/>
        <v>0.3</v>
      </c>
      <c r="H221" s="43">
        <f t="shared" si="26"/>
        <v>0.3</v>
      </c>
      <c r="I221" s="43">
        <f t="shared" si="26"/>
        <v>0.3</v>
      </c>
      <c r="J221" s="43">
        <f t="shared" si="26"/>
        <v>0.3</v>
      </c>
      <c r="K221" s="43">
        <f t="shared" si="26"/>
        <v>0.3</v>
      </c>
      <c r="L221" s="43">
        <f t="shared" si="26"/>
        <v>0.3</v>
      </c>
      <c r="M221" s="43">
        <f t="shared" si="26"/>
        <v>0.3</v>
      </c>
      <c r="N221" s="43">
        <f t="shared" si="26"/>
        <v>0.3</v>
      </c>
      <c r="O221" s="43">
        <f t="shared" si="26"/>
        <v>0.3</v>
      </c>
      <c r="P221" s="43">
        <f t="shared" si="26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5"/>
        <v>0</v>
      </c>
      <c r="C222" s="43">
        <v>0.4</v>
      </c>
      <c r="D222" s="43">
        <f t="shared" si="26"/>
        <v>0.4</v>
      </c>
      <c r="E222" s="43">
        <f t="shared" si="26"/>
        <v>0.4</v>
      </c>
      <c r="F222" s="43">
        <f t="shared" si="26"/>
        <v>0.4</v>
      </c>
      <c r="G222" s="43">
        <f t="shared" si="26"/>
        <v>0.4</v>
      </c>
      <c r="H222" s="43">
        <f t="shared" si="26"/>
        <v>0.4</v>
      </c>
      <c r="I222" s="43">
        <f t="shared" si="26"/>
        <v>0.4</v>
      </c>
      <c r="J222" s="43">
        <f t="shared" si="26"/>
        <v>0.4</v>
      </c>
      <c r="K222" s="43">
        <f t="shared" si="26"/>
        <v>0.4</v>
      </c>
      <c r="L222" s="43">
        <f t="shared" si="26"/>
        <v>0.4</v>
      </c>
      <c r="M222" s="43">
        <f t="shared" si="26"/>
        <v>0.4</v>
      </c>
      <c r="N222" s="43">
        <f t="shared" si="26"/>
        <v>0.4</v>
      </c>
      <c r="O222" s="43">
        <f t="shared" si="26"/>
        <v>0.4</v>
      </c>
      <c r="P222" s="43">
        <f t="shared" si="26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5"/>
        <v>0</v>
      </c>
      <c r="C223" s="39">
        <v>0.64</v>
      </c>
      <c r="D223" s="39">
        <f t="shared" si="26"/>
        <v>0.64</v>
      </c>
      <c r="E223" s="39">
        <f t="shared" si="26"/>
        <v>0.64</v>
      </c>
      <c r="F223" s="39">
        <f t="shared" si="26"/>
        <v>0.64</v>
      </c>
      <c r="G223" s="39">
        <f t="shared" si="26"/>
        <v>0.64</v>
      </c>
      <c r="H223" s="39">
        <f t="shared" si="26"/>
        <v>0.64</v>
      </c>
      <c r="I223" s="39">
        <f t="shared" si="26"/>
        <v>0.64</v>
      </c>
      <c r="J223" s="39">
        <f t="shared" si="26"/>
        <v>0.64</v>
      </c>
      <c r="K223" s="39">
        <f t="shared" si="26"/>
        <v>0.64</v>
      </c>
      <c r="L223" s="39">
        <f t="shared" si="26"/>
        <v>0.64</v>
      </c>
      <c r="M223" s="39">
        <f t="shared" si="26"/>
        <v>0.64</v>
      </c>
      <c r="N223" s="39">
        <f t="shared" si="26"/>
        <v>0.64</v>
      </c>
      <c r="O223" s="39">
        <f t="shared" si="26"/>
        <v>0.64</v>
      </c>
      <c r="P223" s="39">
        <f t="shared" si="26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7">SUM(B218:B223)</f>
        <v>0</v>
      </c>
      <c r="C224" s="36">
        <f t="shared" si="27"/>
        <v>3.54</v>
      </c>
      <c r="D224" s="36">
        <f t="shared" si="27"/>
        <v>3.54</v>
      </c>
      <c r="E224" s="36">
        <f t="shared" si="27"/>
        <v>3.54</v>
      </c>
      <c r="F224" s="36">
        <f t="shared" si="27"/>
        <v>3.54</v>
      </c>
      <c r="G224" s="36">
        <f t="shared" si="27"/>
        <v>3.54</v>
      </c>
      <c r="H224" s="36">
        <f t="shared" si="27"/>
        <v>3.54</v>
      </c>
      <c r="I224" s="36">
        <f t="shared" si="27"/>
        <v>3.54</v>
      </c>
      <c r="J224" s="36">
        <f t="shared" si="27"/>
        <v>3.54</v>
      </c>
      <c r="K224" s="36">
        <f t="shared" si="27"/>
        <v>3.54</v>
      </c>
      <c r="L224" s="36">
        <f t="shared" si="27"/>
        <v>3.54</v>
      </c>
      <c r="M224" s="36">
        <f t="shared" si="27"/>
        <v>3.54</v>
      </c>
      <c r="N224" s="36">
        <f t="shared" si="27"/>
        <v>3.54</v>
      </c>
      <c r="O224" s="36">
        <f t="shared" si="27"/>
        <v>3.54</v>
      </c>
      <c r="P224" s="36">
        <f t="shared" si="27"/>
        <v>3.54</v>
      </c>
      <c r="Q224" s="36">
        <f t="shared" si="27"/>
        <v>0</v>
      </c>
      <c r="R224" s="36">
        <f t="shared" si="27"/>
        <v>0</v>
      </c>
      <c r="S224" s="36">
        <f t="shared" si="27"/>
        <v>0</v>
      </c>
      <c r="T224" s="36">
        <f t="shared" si="27"/>
        <v>0</v>
      </c>
      <c r="U224" s="36">
        <f t="shared" si="27"/>
        <v>0</v>
      </c>
      <c r="V224" s="36">
        <f t="shared" si="27"/>
        <v>0</v>
      </c>
      <c r="W224" s="36">
        <f t="shared" si="27"/>
        <v>0</v>
      </c>
      <c r="X224" s="36">
        <f t="shared" si="27"/>
        <v>0</v>
      </c>
      <c r="Y224" s="36">
        <f t="shared" si="27"/>
        <v>0</v>
      </c>
      <c r="Z224" s="36">
        <f t="shared" si="27"/>
        <v>0</v>
      </c>
      <c r="AA224" s="36">
        <f t="shared" si="27"/>
        <v>0</v>
      </c>
      <c r="AB224" s="36">
        <f t="shared" si="27"/>
        <v>0</v>
      </c>
      <c r="AC224" s="36">
        <f t="shared" si="27"/>
        <v>0</v>
      </c>
      <c r="AD224" s="36">
        <f t="shared" si="27"/>
        <v>0</v>
      </c>
      <c r="AE224" s="36">
        <f t="shared" si="27"/>
        <v>0</v>
      </c>
      <c r="AF224" s="36">
        <f t="shared" si="27"/>
        <v>0</v>
      </c>
      <c r="AG224" s="35">
        <f t="shared" si="27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1651.94</v>
      </c>
      <c r="C233" s="16">
        <f>INDEX(G9:N9,1,MATCH(MAX(G81:N81),G81:N81,0))</f>
        <v>0.375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30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2079/06/30)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2079/06/30)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8">B81</f>
        <v>1482.74</v>
      </c>
      <c r="U238" s="9">
        <f t="shared" si="28"/>
        <v>1464.1399999999999</v>
      </c>
      <c r="V238" s="9">
        <f t="shared" si="28"/>
        <v>1476.34</v>
      </c>
      <c r="W238" s="9">
        <f t="shared" si="28"/>
        <v>1425.54</v>
      </c>
      <c r="X238" s="9">
        <f t="shared" si="28"/>
        <v>1445.54</v>
      </c>
      <c r="Y238" s="9">
        <f t="shared" si="28"/>
        <v>1415.54</v>
      </c>
      <c r="Z238" s="9">
        <f t="shared" si="28"/>
        <v>1414.6399999999999</v>
      </c>
      <c r="AA238" s="9">
        <f t="shared" si="28"/>
        <v>1464.6399999999999</v>
      </c>
      <c r="AB238" s="9">
        <f t="shared" si="28"/>
        <v>1464.6399999999999</v>
      </c>
      <c r="AC238" s="9">
        <f t="shared" si="28"/>
        <v>1552.34</v>
      </c>
      <c r="AD238" s="9">
        <f t="shared" si="28"/>
        <v>1608.74</v>
      </c>
      <c r="AE238" s="9">
        <f t="shared" si="28"/>
        <v>1633.8400000000001</v>
      </c>
      <c r="AF238" s="9">
        <f t="shared" si="28"/>
        <v>1651.94</v>
      </c>
      <c r="AG238" s="9">
        <f t="shared" si="28"/>
        <v>1603.54</v>
      </c>
      <c r="AH238" s="9">
        <f t="shared" si="28"/>
        <v>1608.6399999999999</v>
      </c>
      <c r="AI238" s="9">
        <f t="shared" si="28"/>
        <v>1583.44</v>
      </c>
      <c r="AJ238" s="9">
        <f t="shared" si="28"/>
        <v>1587.7400000000002</v>
      </c>
      <c r="AK238" s="9">
        <f t="shared" si="28"/>
        <v>1464.3400000000001</v>
      </c>
      <c r="AL238" s="9">
        <f t="shared" si="28"/>
        <v>1607.64</v>
      </c>
      <c r="AM238" s="9">
        <f t="shared" si="28"/>
        <v>1631.64</v>
      </c>
      <c r="AN238" s="9">
        <f t="shared" si="28"/>
        <v>1705.74</v>
      </c>
      <c r="AO238" s="9">
        <f t="shared" si="28"/>
        <v>1706.74</v>
      </c>
      <c r="AP238" s="9">
        <f t="shared" si="28"/>
        <v>1730.04</v>
      </c>
      <c r="AQ238" s="9">
        <f t="shared" si="28"/>
        <v>1753.04</v>
      </c>
      <c r="AR238" s="9">
        <f t="shared" si="28"/>
        <v>1754.24</v>
      </c>
      <c r="AS238" s="9">
        <f t="shared" si="28"/>
        <v>1749.94</v>
      </c>
      <c r="AT238" s="9">
        <f t="shared" si="28"/>
        <v>1695.94</v>
      </c>
      <c r="AU238" s="9">
        <f t="shared" si="28"/>
        <v>1681.94</v>
      </c>
      <c r="AV238" s="9">
        <f t="shared" si="28"/>
        <v>459.54</v>
      </c>
      <c r="AW238" s="9">
        <f t="shared" si="28"/>
        <v>1527.14</v>
      </c>
      <c r="AX238" s="9">
        <f t="shared" si="28"/>
        <v>1580.74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9">C223</f>
        <v>0.64</v>
      </c>
      <c r="C259" s="4">
        <f t="shared" si="29"/>
        <v>0.64</v>
      </c>
      <c r="D259" s="4">
        <f t="shared" si="29"/>
        <v>0.64</v>
      </c>
      <c r="E259" s="4">
        <f t="shared" si="29"/>
        <v>0.64</v>
      </c>
      <c r="F259" s="4">
        <f t="shared" si="29"/>
        <v>0.64</v>
      </c>
      <c r="G259" s="4">
        <f t="shared" si="29"/>
        <v>0.64</v>
      </c>
      <c r="H259" s="4">
        <f t="shared" si="29"/>
        <v>0.64</v>
      </c>
      <c r="I259" s="4">
        <f t="shared" si="29"/>
        <v>0.64</v>
      </c>
      <c r="J259" s="4">
        <f t="shared" si="29"/>
        <v>0.64</v>
      </c>
      <c r="K259" s="4">
        <f t="shared" si="29"/>
        <v>0.64</v>
      </c>
      <c r="L259" s="4">
        <f t="shared" si="29"/>
        <v>0.64</v>
      </c>
      <c r="M259" s="4">
        <f t="shared" si="29"/>
        <v>0.64</v>
      </c>
      <c r="N259" s="4">
        <f t="shared" si="29"/>
        <v>0.64</v>
      </c>
      <c r="O259" s="4">
        <f t="shared" si="29"/>
        <v>0.64</v>
      </c>
      <c r="P259" s="4">
        <f t="shared" si="29"/>
        <v>0</v>
      </c>
      <c r="Q259" s="4">
        <f t="shared" si="29"/>
        <v>0</v>
      </c>
      <c r="R259" s="4">
        <f t="shared" si="29"/>
        <v>0</v>
      </c>
      <c r="S259" s="4">
        <f t="shared" si="29"/>
        <v>0</v>
      </c>
      <c r="T259" s="4">
        <f t="shared" si="29"/>
        <v>0</v>
      </c>
      <c r="U259" s="4">
        <f t="shared" si="29"/>
        <v>0</v>
      </c>
      <c r="V259" s="4">
        <f t="shared" si="29"/>
        <v>0</v>
      </c>
      <c r="W259" s="4">
        <f t="shared" si="29"/>
        <v>0</v>
      </c>
      <c r="X259" s="4">
        <f t="shared" si="29"/>
        <v>0</v>
      </c>
      <c r="Y259" s="4">
        <f t="shared" si="29"/>
        <v>0</v>
      </c>
      <c r="Z259" s="4">
        <f t="shared" si="29"/>
        <v>0</v>
      </c>
      <c r="AA259" s="4">
        <f t="shared" si="29"/>
        <v>0</v>
      </c>
      <c r="AB259" s="4">
        <f t="shared" si="29"/>
        <v>0</v>
      </c>
      <c r="AC259" s="4">
        <f t="shared" si="29"/>
        <v>0</v>
      </c>
      <c r="AD259" s="4">
        <f t="shared" si="29"/>
        <v>0</v>
      </c>
      <c r="AE259" s="4">
        <f t="shared" si="29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30">IF(B227&lt;100,"",B227-520)</f>
        <v/>
      </c>
      <c r="C260" s="3" t="str">
        <f t="shared" si="30"/>
        <v/>
      </c>
      <c r="D260" s="3" t="str">
        <f t="shared" si="30"/>
        <v/>
      </c>
      <c r="E260" s="3" t="str">
        <f t="shared" si="30"/>
        <v/>
      </c>
      <c r="F260" s="3" t="str">
        <f t="shared" si="30"/>
        <v/>
      </c>
      <c r="G260" s="3" t="str">
        <f t="shared" si="30"/>
        <v/>
      </c>
      <c r="H260" s="3" t="str">
        <f t="shared" si="30"/>
        <v/>
      </c>
      <c r="I260" s="3" t="str">
        <f t="shared" si="30"/>
        <v/>
      </c>
      <c r="J260" s="3" t="str">
        <f t="shared" si="30"/>
        <v/>
      </c>
      <c r="K260" s="3" t="str">
        <f t="shared" si="30"/>
        <v/>
      </c>
      <c r="L260" s="3" t="str">
        <f t="shared" si="30"/>
        <v/>
      </c>
      <c r="M260" s="3" t="str">
        <f t="shared" si="30"/>
        <v/>
      </c>
      <c r="N260" s="3" t="str">
        <f t="shared" si="30"/>
        <v/>
      </c>
      <c r="O260" s="3" t="str">
        <f t="shared" si="30"/>
        <v/>
      </c>
      <c r="P260" s="3" t="str">
        <f t="shared" si="30"/>
        <v/>
      </c>
      <c r="Q260" s="3" t="str">
        <f t="shared" si="30"/>
        <v/>
      </c>
      <c r="R260" s="3" t="str">
        <f t="shared" si="30"/>
        <v/>
      </c>
      <c r="S260" s="3" t="str">
        <f t="shared" si="30"/>
        <v/>
      </c>
      <c r="T260" s="3" t="str">
        <f t="shared" si="30"/>
        <v/>
      </c>
      <c r="U260" s="3" t="str">
        <f t="shared" si="30"/>
        <v/>
      </c>
      <c r="V260" s="3" t="str">
        <f t="shared" si="30"/>
        <v/>
      </c>
      <c r="W260" s="3" t="str">
        <f t="shared" si="30"/>
        <v/>
      </c>
      <c r="X260" s="3" t="str">
        <f t="shared" si="30"/>
        <v/>
      </c>
      <c r="Y260" s="3" t="str">
        <f t="shared" si="30"/>
        <v/>
      </c>
      <c r="Z260" s="3" t="str">
        <f t="shared" si="30"/>
        <v/>
      </c>
      <c r="AA260" s="3" t="str">
        <f t="shared" si="30"/>
        <v/>
      </c>
      <c r="AB260" s="3" t="str">
        <f t="shared" si="30"/>
        <v/>
      </c>
      <c r="AC260" s="3" t="str">
        <f t="shared" si="30"/>
        <v/>
      </c>
      <c r="AD260" s="3" t="str">
        <f t="shared" si="30"/>
        <v/>
      </c>
      <c r="AE260" s="3" t="str">
        <f t="shared" si="30"/>
        <v/>
      </c>
      <c r="AF260" s="3" t="str">
        <f t="shared" si="30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31">IF(B228&lt;100,"",B228-620)</f>
        <v/>
      </c>
      <c r="C261" s="3" t="str">
        <f t="shared" si="31"/>
        <v/>
      </c>
      <c r="D261" s="3" t="str">
        <f t="shared" si="31"/>
        <v/>
      </c>
      <c r="E261" s="3" t="str">
        <f t="shared" si="31"/>
        <v/>
      </c>
      <c r="F261" s="3" t="str">
        <f t="shared" si="31"/>
        <v/>
      </c>
      <c r="G261" s="3" t="str">
        <f t="shared" si="31"/>
        <v/>
      </c>
      <c r="H261" s="3" t="str">
        <f t="shared" si="31"/>
        <v/>
      </c>
      <c r="I261" s="3" t="str">
        <f t="shared" si="31"/>
        <v/>
      </c>
      <c r="J261" s="3" t="str">
        <f t="shared" si="31"/>
        <v/>
      </c>
      <c r="K261" s="3" t="str">
        <f t="shared" si="31"/>
        <v/>
      </c>
      <c r="L261" s="3" t="str">
        <f t="shared" si="31"/>
        <v/>
      </c>
      <c r="M261" s="3" t="str">
        <f t="shared" si="31"/>
        <v/>
      </c>
      <c r="N261" s="3" t="str">
        <f t="shared" si="31"/>
        <v/>
      </c>
      <c r="O261" s="3" t="str">
        <f t="shared" si="31"/>
        <v/>
      </c>
      <c r="P261" s="3" t="str">
        <f t="shared" si="31"/>
        <v/>
      </c>
      <c r="Q261" s="3" t="str">
        <f t="shared" si="31"/>
        <v/>
      </c>
      <c r="R261" s="3" t="str">
        <f t="shared" si="31"/>
        <v/>
      </c>
      <c r="S261" s="3" t="str">
        <f t="shared" si="31"/>
        <v/>
      </c>
      <c r="T261" s="3" t="str">
        <f t="shared" si="31"/>
        <v/>
      </c>
      <c r="U261" s="3" t="str">
        <f t="shared" si="31"/>
        <v/>
      </c>
      <c r="V261" s="3" t="str">
        <f t="shared" si="31"/>
        <v/>
      </c>
      <c r="W261" s="3" t="str">
        <f t="shared" si="31"/>
        <v/>
      </c>
      <c r="X261" s="3" t="str">
        <f t="shared" si="31"/>
        <v/>
      </c>
      <c r="Y261" s="3" t="str">
        <f t="shared" si="31"/>
        <v/>
      </c>
      <c r="Z261" s="3" t="str">
        <f t="shared" si="31"/>
        <v/>
      </c>
      <c r="AA261" s="3" t="str">
        <f t="shared" si="31"/>
        <v/>
      </c>
      <c r="AB261" s="3" t="str">
        <f t="shared" si="31"/>
        <v/>
      </c>
      <c r="AC261" s="3" t="str">
        <f t="shared" si="31"/>
        <v/>
      </c>
      <c r="AD261" s="3" t="str">
        <f t="shared" si="31"/>
        <v/>
      </c>
      <c r="AE261" s="3" t="str">
        <f t="shared" si="31"/>
        <v/>
      </c>
      <c r="AF261" s="3" t="str">
        <f t="shared" si="31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2">IF(B229&lt;100,"",B229-330)</f>
        <v/>
      </c>
      <c r="C262" s="3" t="str">
        <f t="shared" si="32"/>
        <v/>
      </c>
      <c r="D262" s="3" t="str">
        <f t="shared" si="32"/>
        <v/>
      </c>
      <c r="E262" s="3" t="str">
        <f t="shared" si="32"/>
        <v/>
      </c>
      <c r="F262" s="3" t="str">
        <f t="shared" si="32"/>
        <v/>
      </c>
      <c r="G262" s="3" t="str">
        <f t="shared" si="32"/>
        <v/>
      </c>
      <c r="H262" s="3" t="str">
        <f t="shared" si="32"/>
        <v/>
      </c>
      <c r="I262" s="3" t="str">
        <f t="shared" si="32"/>
        <v/>
      </c>
      <c r="J262" s="3" t="str">
        <f t="shared" si="32"/>
        <v/>
      </c>
      <c r="K262" s="3" t="str">
        <f t="shared" si="32"/>
        <v/>
      </c>
      <c r="L262" s="3" t="str">
        <f t="shared" si="32"/>
        <v/>
      </c>
      <c r="M262" s="3" t="str">
        <f t="shared" si="32"/>
        <v/>
      </c>
      <c r="N262" s="3" t="str">
        <f t="shared" si="32"/>
        <v/>
      </c>
      <c r="O262" s="3" t="str">
        <f t="shared" si="32"/>
        <v/>
      </c>
      <c r="P262" s="3" t="str">
        <f t="shared" si="32"/>
        <v/>
      </c>
      <c r="Q262" s="3" t="str">
        <f t="shared" si="32"/>
        <v/>
      </c>
      <c r="R262" s="3" t="str">
        <f t="shared" si="32"/>
        <v/>
      </c>
      <c r="S262" s="3" t="str">
        <f t="shared" si="32"/>
        <v/>
      </c>
      <c r="T262" s="3" t="str">
        <f t="shared" si="32"/>
        <v/>
      </c>
      <c r="U262" s="3" t="str">
        <f t="shared" si="32"/>
        <v/>
      </c>
      <c r="V262" s="3" t="str">
        <f t="shared" si="32"/>
        <v/>
      </c>
      <c r="W262" s="3" t="str">
        <f t="shared" si="32"/>
        <v/>
      </c>
      <c r="X262" s="3" t="str">
        <f t="shared" si="32"/>
        <v/>
      </c>
      <c r="Y262" s="3" t="str">
        <f t="shared" si="32"/>
        <v/>
      </c>
      <c r="Z262" s="3" t="str">
        <f t="shared" si="32"/>
        <v/>
      </c>
      <c r="AA262" s="3" t="str">
        <f t="shared" si="32"/>
        <v/>
      </c>
      <c r="AB262" s="3" t="str">
        <f t="shared" si="32"/>
        <v/>
      </c>
      <c r="AC262" s="3" t="str">
        <f t="shared" si="32"/>
        <v/>
      </c>
      <c r="AD262" s="3" t="str">
        <f t="shared" si="32"/>
        <v/>
      </c>
      <c r="AE262" s="3" t="str">
        <f t="shared" si="32"/>
        <v/>
      </c>
      <c r="AF262" s="3" t="str">
        <f t="shared" si="32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3">IF(B230&lt;100,"",B230-1500)</f>
        <v/>
      </c>
      <c r="C263" s="3" t="str">
        <f t="shared" si="33"/>
        <v/>
      </c>
      <c r="D263" s="3" t="str">
        <f t="shared" si="33"/>
        <v/>
      </c>
      <c r="E263" s="3" t="str">
        <f t="shared" si="33"/>
        <v/>
      </c>
      <c r="F263" s="3" t="str">
        <f t="shared" si="33"/>
        <v/>
      </c>
      <c r="G263" s="3" t="str">
        <f t="shared" si="33"/>
        <v/>
      </c>
      <c r="H263" s="3" t="str">
        <f t="shared" si="33"/>
        <v/>
      </c>
      <c r="I263" s="3" t="str">
        <f t="shared" si="33"/>
        <v/>
      </c>
      <c r="J263" s="3" t="str">
        <f t="shared" si="33"/>
        <v/>
      </c>
      <c r="K263" s="3" t="str">
        <f t="shared" si="33"/>
        <v/>
      </c>
      <c r="L263" s="3" t="str">
        <f t="shared" si="33"/>
        <v/>
      </c>
      <c r="M263" s="3" t="str">
        <f t="shared" si="33"/>
        <v/>
      </c>
      <c r="N263" s="3" t="str">
        <f t="shared" si="33"/>
        <v/>
      </c>
      <c r="O263" s="3" t="str">
        <f t="shared" si="33"/>
        <v/>
      </c>
      <c r="P263" s="3" t="str">
        <f t="shared" si="33"/>
        <v/>
      </c>
      <c r="Q263" s="3" t="str">
        <f t="shared" si="33"/>
        <v/>
      </c>
      <c r="R263" s="3" t="str">
        <f t="shared" si="33"/>
        <v/>
      </c>
      <c r="S263" s="3" t="str">
        <f t="shared" si="33"/>
        <v/>
      </c>
      <c r="T263" s="3" t="str">
        <f t="shared" si="33"/>
        <v/>
      </c>
      <c r="U263" s="3" t="str">
        <f t="shared" si="33"/>
        <v/>
      </c>
      <c r="V263" s="3" t="str">
        <f t="shared" si="33"/>
        <v/>
      </c>
      <c r="W263" s="3" t="str">
        <f t="shared" si="33"/>
        <v/>
      </c>
      <c r="X263" s="3" t="str">
        <f t="shared" si="33"/>
        <v/>
      </c>
      <c r="Y263" s="3" t="str">
        <f t="shared" si="33"/>
        <v/>
      </c>
      <c r="Z263" s="3" t="str">
        <f t="shared" si="33"/>
        <v/>
      </c>
      <c r="AA263" s="3" t="str">
        <f t="shared" si="33"/>
        <v/>
      </c>
      <c r="AB263" s="3" t="str">
        <f t="shared" si="33"/>
        <v/>
      </c>
      <c r="AC263" s="3" t="str">
        <f t="shared" si="33"/>
        <v/>
      </c>
      <c r="AD263" s="3" t="str">
        <f t="shared" si="33"/>
        <v/>
      </c>
      <c r="AE263" s="3" t="str">
        <f t="shared" si="33"/>
        <v/>
      </c>
      <c r="AF263" s="3" t="str">
        <f t="shared" si="33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B20:AF23 B16:AF16 Y11:AF11">
    <cfRule type="expression" dxfId="1938" priority="239">
      <formula>B$9&gt;=20/24</formula>
    </cfRule>
    <cfRule type="expression" dxfId="1937" priority="240">
      <formula>AND(B$9&gt;=14/24,B$9&lt;20/24)</formula>
    </cfRule>
    <cfRule type="expression" dxfId="1936" priority="241">
      <formula>AND(B$9&gt;=8/24,B$9&lt;14/24)</formula>
    </cfRule>
    <cfRule type="expression" dxfId="1935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1934" priority="234">
      <formula>S$9&gt;=20/24</formula>
    </cfRule>
    <cfRule type="expression" dxfId="1933" priority="235">
      <formula>AND(S$9&gt;=14/24,S$9&lt;20/24)</formula>
    </cfRule>
    <cfRule type="expression" dxfId="1932" priority="236">
      <formula>AND(S$9&gt;=8/24,S$9&lt;14/24)</formula>
    </cfRule>
    <cfRule type="expression" dxfId="1931" priority="237">
      <formula>S$9&lt;8/24</formula>
    </cfRule>
  </conditionalFormatting>
  <conditionalFormatting sqref="AG57 B12:X16 B37:AF37 B20:AF23 B18:AF18 Y11:AF16 S39:AF39">
    <cfRule type="expression" dxfId="1930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1929" priority="232">
      <formula>$AH11=0</formula>
    </cfRule>
  </conditionalFormatting>
  <conditionalFormatting sqref="A106">
    <cfRule type="expression" dxfId="1928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927" priority="229">
      <formula>$AH37=0</formula>
    </cfRule>
  </conditionalFormatting>
  <conditionalFormatting sqref="A90">
    <cfRule type="expression" dxfId="1926" priority="228">
      <formula>$AH90=0</formula>
    </cfRule>
  </conditionalFormatting>
  <conditionalFormatting sqref="A15">
    <cfRule type="expression" dxfId="1925" priority="227">
      <formula>$AH15=0</formula>
    </cfRule>
  </conditionalFormatting>
  <conditionalFormatting sqref="A188:A193">
    <cfRule type="expression" dxfId="1924" priority="226">
      <formula>$AH188=0</formula>
    </cfRule>
  </conditionalFormatting>
  <conditionalFormatting sqref="A182:A187">
    <cfRule type="expression" dxfId="1923" priority="225">
      <formula>$AH182=0</formula>
    </cfRule>
  </conditionalFormatting>
  <conditionalFormatting sqref="A50">
    <cfRule type="expression" dxfId="1922" priority="224">
      <formula>$AH50=0</formula>
    </cfRule>
  </conditionalFormatting>
  <conditionalFormatting sqref="A86">
    <cfRule type="expression" dxfId="1921" priority="223">
      <formula>$AH86=0</formula>
    </cfRule>
  </conditionalFormatting>
  <conditionalFormatting sqref="C91:AF91">
    <cfRule type="expression" dxfId="1920" priority="219">
      <formula>C$9&gt;=20/24</formula>
    </cfRule>
    <cfRule type="expression" dxfId="1919" priority="220">
      <formula>AND(C$9&gt;=14/24,C$9&lt;20/24)</formula>
    </cfRule>
    <cfRule type="expression" dxfId="1918" priority="221">
      <formula>AND(C$9&gt;=8/24,C$9&lt;14/24)</formula>
    </cfRule>
    <cfRule type="expression" dxfId="1917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916" priority="245">
      <formula>C$9&gt;=20/24</formula>
    </cfRule>
    <cfRule type="expression" dxfId="1915" priority="246">
      <formula>AND(C$9&gt;=14/24,C$9&lt;20/24)</formula>
    </cfRule>
    <cfRule type="expression" dxfId="1914" priority="247">
      <formula>AND(C$9&gt;=8/24,C$9&lt;14/24)</formula>
    </cfRule>
    <cfRule type="expression" dxfId="1913" priority="248">
      <formula>C$9&lt;8/24</formula>
    </cfRule>
  </conditionalFormatting>
  <conditionalFormatting sqref="A225">
    <cfRule type="expression" dxfId="1912" priority="249">
      <formula>$AH225=0</formula>
    </cfRule>
  </conditionalFormatting>
  <conditionalFormatting sqref="AG237">
    <cfRule type="expression" dxfId="1911" priority="250">
      <formula>B$9&gt;=20/24</formula>
    </cfRule>
    <cfRule type="expression" dxfId="1910" priority="251">
      <formula>AND(B$9&gt;=14/24,B$9&lt;20/24)</formula>
    </cfRule>
    <cfRule type="expression" dxfId="1909" priority="252">
      <formula>AND(B$9&gt;=8/24,B$9&lt;14/24)</formula>
    </cfRule>
    <cfRule type="expression" dxfId="1908" priority="253">
      <formula>B$9&lt;8/24</formula>
    </cfRule>
  </conditionalFormatting>
  <conditionalFormatting sqref="S8">
    <cfRule type="expression" dxfId="1907" priority="214">
      <formula>U$9&gt;=20/24</formula>
    </cfRule>
    <cfRule type="expression" dxfId="1906" priority="215">
      <formula>AND(U$9&gt;=14/24,U$9&lt;20/24)</formula>
    </cfRule>
    <cfRule type="expression" dxfId="1905" priority="216">
      <formula>AND(U$9&gt;=8/24,U$9&lt;14/24)</formula>
    </cfRule>
    <cfRule type="expression" dxfId="1904" priority="217">
      <formula>U$9&lt;8/24</formula>
    </cfRule>
  </conditionalFormatting>
  <conditionalFormatting sqref="AB8">
    <cfRule type="expression" dxfId="1903" priority="210">
      <formula>AD$9&gt;=20/24</formula>
    </cfRule>
    <cfRule type="expression" dxfId="1902" priority="211">
      <formula>AND(AD$9&gt;=14/24,AD$9&lt;20/24)</formula>
    </cfRule>
    <cfRule type="expression" dxfId="1901" priority="212">
      <formula>AND(AD$9&gt;=8/24,AD$9&lt;14/24)</formula>
    </cfRule>
    <cfRule type="expression" dxfId="1900" priority="213">
      <formula>AD$9&lt;8/24</formula>
    </cfRule>
  </conditionalFormatting>
  <conditionalFormatting sqref="AH237:AX237">
    <cfRule type="expression" dxfId="1899" priority="254">
      <formula>AG$9&gt;=20/24</formula>
    </cfRule>
    <cfRule type="expression" dxfId="1898" priority="255">
      <formula>AND(AG$9&gt;=14/24,AG$9&lt;20/24)</formula>
    </cfRule>
    <cfRule type="expression" dxfId="1897" priority="256">
      <formula>AND(AG$9&gt;=8/24,AG$9&lt;14/24)</formula>
    </cfRule>
    <cfRule type="expression" dxfId="1896" priority="257">
      <formula>AG$9&lt;8/24</formula>
    </cfRule>
  </conditionalFormatting>
  <conditionalFormatting sqref="T237">
    <cfRule type="expression" dxfId="1895" priority="258">
      <formula>AX$9&gt;=20/24</formula>
    </cfRule>
    <cfRule type="expression" dxfId="1894" priority="259">
      <formula>AND(AX$9&gt;=14/24,AX$9&lt;20/24)</formula>
    </cfRule>
    <cfRule type="expression" dxfId="1893" priority="260">
      <formula>AND(AX$9&gt;=8/24,AX$9&lt;14/24)</formula>
    </cfRule>
    <cfRule type="expression" dxfId="1892" priority="261">
      <formula>AX$9&lt;8/24</formula>
    </cfRule>
  </conditionalFormatting>
  <conditionalFormatting sqref="A107:A108">
    <cfRule type="expression" dxfId="1891" priority="209">
      <formula>$AH107=0</formula>
    </cfRule>
  </conditionalFormatting>
  <conditionalFormatting sqref="S46:AF47 M63:AF63 AD38:AF38">
    <cfRule type="expression" dxfId="1890" priority="205">
      <formula>M$9&gt;=20/24</formula>
    </cfRule>
    <cfRule type="expression" dxfId="1889" priority="206">
      <formula>AND(M$9&gt;=14/24,M$9&lt;20/24)</formula>
    </cfRule>
    <cfRule type="expression" dxfId="1888" priority="207">
      <formula>AND(M$9&gt;=8/24,M$9&lt;14/24)</formula>
    </cfRule>
    <cfRule type="expression" dxfId="1887" priority="208">
      <formula>M$9&lt;8/24</formula>
    </cfRule>
  </conditionalFormatting>
  <conditionalFormatting sqref="S45:AF45">
    <cfRule type="expression" dxfId="1886" priority="201">
      <formula>S$9&gt;=20/24</formula>
    </cfRule>
    <cfRule type="expression" dxfId="1885" priority="202">
      <formula>AND(S$9&gt;=14/24,S$9&lt;20/24)</formula>
    </cfRule>
    <cfRule type="expression" dxfId="1884" priority="203">
      <formula>AND(S$9&gt;=8/24,S$9&lt;14/24)</formula>
    </cfRule>
    <cfRule type="expression" dxfId="1883" priority="204">
      <formula>S$9&lt;8/24</formula>
    </cfRule>
  </conditionalFormatting>
  <conditionalFormatting sqref="S45:AF47 AD38:AF38">
    <cfRule type="expression" dxfId="1882" priority="200">
      <formula>S38&gt;$AG38</formula>
    </cfRule>
  </conditionalFormatting>
  <conditionalFormatting sqref="C88:AF88 M39:R39 S59:AF61 X32:Y32 C75:AF78 Y31 Y33:Y34 T38:AC38 M64:AF65 Z31:AF34 Y18:AF18 Y12:AF14 Y29:AF29 Y25:AF27 D92:AF98">
    <cfRule type="expression" dxfId="1881" priority="196">
      <formula>C$9&gt;=20/24</formula>
    </cfRule>
    <cfRule type="expression" dxfId="1880" priority="197">
      <formula>AND(C$9&gt;=14/24,C$9&lt;20/24)</formula>
    </cfRule>
    <cfRule type="expression" dxfId="1879" priority="198">
      <formula>AND(C$9&gt;=8/24,C$9&lt;14/24)</formula>
    </cfRule>
    <cfRule type="expression" dxfId="1878" priority="199">
      <formula>C$9&lt;8/24</formula>
    </cfRule>
  </conditionalFormatting>
  <conditionalFormatting sqref="Y35:AF35">
    <cfRule type="expression" dxfId="1877" priority="192">
      <formula>Y$9&gt;=20/24</formula>
    </cfRule>
    <cfRule type="expression" dxfId="1876" priority="193">
      <formula>AND(Y$9&gt;=14/24,Y$9&lt;20/24)</formula>
    </cfRule>
    <cfRule type="expression" dxfId="1875" priority="194">
      <formula>AND(Y$9&gt;=8/24,Y$9&lt;14/24)</formula>
    </cfRule>
    <cfRule type="expression" dxfId="1874" priority="195">
      <formula>Y$9&lt;8/24</formula>
    </cfRule>
  </conditionalFormatting>
  <conditionalFormatting sqref="AD48:AF49 C57:AF57 M39:R39 S59:AF61 X32:Y32 Y31 Y33:Y35 T38:AC38 Z31:AF35 Y25:AF29">
    <cfRule type="expression" dxfId="1873" priority="191">
      <formula>C25&gt;$AG25</formula>
    </cfRule>
  </conditionalFormatting>
  <conditionalFormatting sqref="Y37:AF37">
    <cfRule type="expression" dxfId="1872" priority="187">
      <formula>Y$9&gt;=20/24</formula>
    </cfRule>
    <cfRule type="expression" dxfId="1871" priority="188">
      <formula>AND(Y$9&gt;=14/24,Y$9&lt;20/24)</formula>
    </cfRule>
    <cfRule type="expression" dxfId="1870" priority="189">
      <formula>AND(Y$9&gt;=8/24,Y$9&lt;14/24)</formula>
    </cfRule>
    <cfRule type="expression" dxfId="1869" priority="190">
      <formula>Y$9&lt;8/24</formula>
    </cfRule>
  </conditionalFormatting>
  <conditionalFormatting sqref="Y15:AF15">
    <cfRule type="expression" dxfId="1868" priority="183">
      <formula>Y$9&gt;=20/24</formula>
    </cfRule>
    <cfRule type="expression" dxfId="1867" priority="184">
      <formula>AND(Y$9&gt;=14/24,Y$9&lt;20/24)</formula>
    </cfRule>
    <cfRule type="expression" dxfId="1866" priority="185">
      <formula>AND(Y$9&gt;=8/24,Y$9&lt;14/24)</formula>
    </cfRule>
    <cfRule type="expression" dxfId="1865" priority="186">
      <formula>Y$9&lt;8/24</formula>
    </cfRule>
  </conditionalFormatting>
  <conditionalFormatting sqref="Y36:AF36">
    <cfRule type="expression" dxfId="1864" priority="179">
      <formula>Y$9&gt;=20/24</formula>
    </cfRule>
    <cfRule type="expression" dxfId="1863" priority="180">
      <formula>AND(Y$9&gt;=14/24,Y$9&lt;20/24)</formula>
    </cfRule>
    <cfRule type="expression" dxfId="1862" priority="181">
      <formula>AND(Y$9&gt;=8/24,Y$9&lt;14/24)</formula>
    </cfRule>
    <cfRule type="expression" dxfId="1861" priority="182">
      <formula>Y$9&lt;8/24</formula>
    </cfRule>
  </conditionalFormatting>
  <conditionalFormatting sqref="Y36:AF36">
    <cfRule type="expression" dxfId="1860" priority="178">
      <formula>Y36&gt;$AG36</formula>
    </cfRule>
  </conditionalFormatting>
  <conditionalFormatting sqref="AD50:AF56">
    <cfRule type="expression" dxfId="1859" priority="174">
      <formula>AD$9&gt;=20/24</formula>
    </cfRule>
    <cfRule type="expression" dxfId="1858" priority="175">
      <formula>AND(AD$9&gt;=14/24,AD$9&lt;20/24)</formula>
    </cfRule>
    <cfRule type="expression" dxfId="1857" priority="176">
      <formula>AND(AD$9&gt;=8/24,AD$9&lt;14/24)</formula>
    </cfRule>
    <cfRule type="expression" dxfId="1856" priority="177">
      <formula>AD$9&lt;8/24</formula>
    </cfRule>
  </conditionalFormatting>
  <conditionalFormatting sqref="AD50:AF56">
    <cfRule type="expression" dxfId="1855" priority="173">
      <formula>AD50&gt;$AG50</formula>
    </cfRule>
  </conditionalFormatting>
  <conditionalFormatting sqref="S48:S49 P45:R49 R50:S50 T48:AC50">
    <cfRule type="expression" dxfId="1854" priority="169">
      <formula>P$9&gt;=20/24</formula>
    </cfRule>
    <cfRule type="expression" dxfId="1853" priority="170">
      <formula>AND(P$9&gt;=14/24,P$9&lt;20/24)</formula>
    </cfRule>
    <cfRule type="expression" dxfId="1852" priority="171">
      <formula>AND(P$9&gt;=8/24,P$9&lt;14/24)</formula>
    </cfRule>
    <cfRule type="expression" dxfId="1851" priority="172">
      <formula>P$9&lt;8/24</formula>
    </cfRule>
  </conditionalFormatting>
  <conditionalFormatting sqref="S48:S49 P45:R49 R50:S50 T48:AC50">
    <cfRule type="expression" dxfId="1850" priority="168">
      <formula>P45&gt;$AG45</formula>
    </cfRule>
  </conditionalFormatting>
  <conditionalFormatting sqref="Y28:AF28">
    <cfRule type="expression" dxfId="1849" priority="164">
      <formula>Y$9&gt;=20/24</formula>
    </cfRule>
    <cfRule type="expression" dxfId="1848" priority="165">
      <formula>AND(Y$9&gt;=14/24,Y$9&lt;20/24)</formula>
    </cfRule>
    <cfRule type="expression" dxfId="1847" priority="166">
      <formula>AND(Y$9&gt;=8/24,Y$9&lt;14/24)</formula>
    </cfRule>
    <cfRule type="expression" dxfId="1846" priority="167">
      <formula>Y$9&lt;8/24</formula>
    </cfRule>
  </conditionalFormatting>
  <conditionalFormatting sqref="Y24:AF24 Y19:AF19">
    <cfRule type="expression" dxfId="1845" priority="160">
      <formula>Y$9&gt;=20/24</formula>
    </cfRule>
    <cfRule type="expression" dxfId="1844" priority="161">
      <formula>AND(Y$9&gt;=14/24,Y$9&lt;20/24)</formula>
    </cfRule>
    <cfRule type="expression" dxfId="1843" priority="162">
      <formula>AND(Y$9&gt;=8/24,Y$9&lt;14/24)</formula>
    </cfRule>
    <cfRule type="expression" dxfId="1842" priority="163">
      <formula>Y$9&lt;8/24</formula>
    </cfRule>
  </conditionalFormatting>
  <conditionalFormatting sqref="Y24:AF24 Y19:AF19">
    <cfRule type="expression" dxfId="1841" priority="159">
      <formula>Y19&gt;$AG19</formula>
    </cfRule>
  </conditionalFormatting>
  <conditionalFormatting sqref="D45:O45">
    <cfRule type="expression" dxfId="1840" priority="155">
      <formula>D$9&gt;=20/24</formula>
    </cfRule>
    <cfRule type="expression" dxfId="1839" priority="156">
      <formula>AND(D$9&gt;=14/24,D$9&lt;20/24)</formula>
    </cfRule>
    <cfRule type="expression" dxfId="1838" priority="157">
      <formula>AND(D$9&gt;=8/24,D$9&lt;14/24)</formula>
    </cfRule>
    <cfRule type="expression" dxfId="1837" priority="158">
      <formula>D$9&lt;8/24</formula>
    </cfRule>
  </conditionalFormatting>
  <conditionalFormatting sqref="D45:O45">
    <cfRule type="expression" dxfId="1836" priority="154">
      <formula>D45&gt;$AG45</formula>
    </cfRule>
  </conditionalFormatting>
  <conditionalFormatting sqref="B101 B80:AF80 B89:AF89 B103:B108 B11:X11">
    <cfRule type="expression" dxfId="1835" priority="141">
      <formula>B$9&gt;=20/24</formula>
    </cfRule>
    <cfRule type="expression" dxfId="1834" priority="142">
      <formula>AND(B$9&gt;=14/24,B$9&lt;20/24)</formula>
    </cfRule>
    <cfRule type="expression" dxfId="1833" priority="143">
      <formula>AND(B$9&gt;=8/24,B$9&lt;14/24)</formula>
    </cfRule>
    <cfRule type="expression" dxfId="1832" priority="144">
      <formula>B$9&lt;8/24</formula>
    </cfRule>
  </conditionalFormatting>
  <conditionalFormatting sqref="B39:L39">
    <cfRule type="expression" dxfId="1831" priority="137">
      <formula>B$9&gt;=20/24</formula>
    </cfRule>
    <cfRule type="expression" dxfId="1830" priority="138">
      <formula>AND(B$9&gt;=14/24,B$9&lt;20/24)</formula>
    </cfRule>
    <cfRule type="expression" dxfId="1829" priority="139">
      <formula>AND(B$9&gt;=8/24,B$9&lt;14/24)</formula>
    </cfRule>
    <cfRule type="expression" dxfId="1828" priority="140">
      <formula>B$9&lt;8/24</formula>
    </cfRule>
  </conditionalFormatting>
  <conditionalFormatting sqref="B39:L39 B11:X11">
    <cfRule type="expression" dxfId="1827" priority="136">
      <formula>B11&gt;$AG11</formula>
    </cfRule>
  </conditionalFormatting>
  <conditionalFormatting sqref="B91">
    <cfRule type="expression" dxfId="1826" priority="132">
      <formula>B$9&gt;=20/24</formula>
    </cfRule>
    <cfRule type="expression" dxfId="1825" priority="133">
      <formula>AND(B$9&gt;=14/24,B$9&lt;20/24)</formula>
    </cfRule>
    <cfRule type="expression" dxfId="1824" priority="134">
      <formula>AND(B$9&gt;=8/24,B$9&lt;14/24)</formula>
    </cfRule>
    <cfRule type="expression" dxfId="1823" priority="135">
      <formula>B$9&lt;8/24</formula>
    </cfRule>
  </conditionalFormatting>
  <conditionalFormatting sqref="B38:S38 B63:L63 B46:O47">
    <cfRule type="expression" dxfId="1822" priority="128">
      <formula>B$9&gt;=20/24</formula>
    </cfRule>
    <cfRule type="expression" dxfId="1821" priority="129">
      <formula>AND(B$9&gt;=14/24,B$9&lt;20/24)</formula>
    </cfRule>
    <cfRule type="expression" dxfId="1820" priority="130">
      <formula>AND(B$9&gt;=8/24,B$9&lt;14/24)</formula>
    </cfRule>
    <cfRule type="expression" dxfId="1819" priority="131">
      <formula>B$9&lt;8/24</formula>
    </cfRule>
  </conditionalFormatting>
  <conditionalFormatting sqref="B45:C45">
    <cfRule type="expression" dxfId="1818" priority="124">
      <formula>B$9&gt;=20/24</formula>
    </cfRule>
    <cfRule type="expression" dxfId="1817" priority="125">
      <formula>AND(B$9&gt;=14/24,B$9&lt;20/24)</formula>
    </cfRule>
    <cfRule type="expression" dxfId="1816" priority="126">
      <formula>AND(B$9&gt;=8/24,B$9&lt;14/24)</formula>
    </cfRule>
    <cfRule type="expression" dxfId="1815" priority="127">
      <formula>B$9&lt;8/24</formula>
    </cfRule>
  </conditionalFormatting>
  <conditionalFormatting sqref="B45:C47 B38:S38 D46:O47">
    <cfRule type="expression" dxfId="1814" priority="123">
      <formula>B38&gt;$AG38</formula>
    </cfRule>
  </conditionalFormatting>
  <conditionalFormatting sqref="B59:B62 B75:B79 B81:AF81 B88 C62:AG62 C79:AG79 B90:AF90 B92:C98 B64:L73 C59:R61 B31:W34 B18:X18 B25:X27 B29:X29 B12:X14 X31 X33:X34 M66:AF73">
    <cfRule type="expression" dxfId="1813" priority="119">
      <formula>B$9&gt;=20/24</formula>
    </cfRule>
    <cfRule type="expression" dxfId="1812" priority="120">
      <formula>AND(B$9&gt;=14/24,B$9&lt;20/24)</formula>
    </cfRule>
    <cfRule type="expression" dxfId="1811" priority="121">
      <formula>AND(B$9&gt;=8/24,B$9&lt;14/24)</formula>
    </cfRule>
    <cfRule type="expression" dxfId="1810" priority="122">
      <formula>B$9&lt;8/24</formula>
    </cfRule>
  </conditionalFormatting>
  <conditionalFormatting sqref="B35:X35">
    <cfRule type="expression" dxfId="1809" priority="115">
      <formula>B$9&gt;=20/24</formula>
    </cfRule>
    <cfRule type="expression" dxfId="1808" priority="116">
      <formula>AND(B$9&gt;=14/24,B$9&lt;20/24)</formula>
    </cfRule>
    <cfRule type="expression" dxfId="1807" priority="117">
      <formula>AND(B$9&gt;=8/24,B$9&lt;14/24)</formula>
    </cfRule>
    <cfRule type="expression" dxfId="1806" priority="118">
      <formula>B$9&lt;8/24</formula>
    </cfRule>
  </conditionalFormatting>
  <conditionalFormatting sqref="B57:B62 B40:AG40 C58:AG58 C62:AG62 B48:O49 C59:R61 B31:W35 B25:X29 X31 X33:X35">
    <cfRule type="expression" dxfId="1805" priority="114">
      <formula>B25&gt;$AG25</formula>
    </cfRule>
  </conditionalFormatting>
  <conditionalFormatting sqref="B37:X37">
    <cfRule type="expression" dxfId="1804" priority="110">
      <formula>B$9&gt;=20/24</formula>
    </cfRule>
    <cfRule type="expression" dxfId="1803" priority="111">
      <formula>AND(B$9&gt;=14/24,B$9&lt;20/24)</formula>
    </cfRule>
    <cfRule type="expression" dxfId="1802" priority="112">
      <formula>AND(B$9&gt;=8/24,B$9&lt;14/24)</formula>
    </cfRule>
    <cfRule type="expression" dxfId="1801" priority="113">
      <formula>B$9&lt;8/24</formula>
    </cfRule>
  </conditionalFormatting>
  <conditionalFormatting sqref="B15:X15">
    <cfRule type="expression" dxfId="1800" priority="106">
      <formula>B$9&gt;=20/24</formula>
    </cfRule>
    <cfRule type="expression" dxfId="1799" priority="107">
      <formula>AND(B$9&gt;=14/24,B$9&lt;20/24)</formula>
    </cfRule>
    <cfRule type="expression" dxfId="1798" priority="108">
      <formula>AND(B$9&gt;=8/24,B$9&lt;14/24)</formula>
    </cfRule>
    <cfRule type="expression" dxfId="1797" priority="109">
      <formula>B$9&lt;8/24</formula>
    </cfRule>
  </conditionalFormatting>
  <conditionalFormatting sqref="B36:X36">
    <cfRule type="expression" dxfId="1796" priority="102">
      <formula>B$9&gt;=20/24</formula>
    </cfRule>
    <cfRule type="expression" dxfId="1795" priority="103">
      <formula>AND(B$9&gt;=14/24,B$9&lt;20/24)</formula>
    </cfRule>
    <cfRule type="expression" dxfId="1794" priority="104">
      <formula>AND(B$9&gt;=8/24,B$9&lt;14/24)</formula>
    </cfRule>
    <cfRule type="expression" dxfId="1793" priority="105">
      <formula>B$9&lt;8/24</formula>
    </cfRule>
  </conditionalFormatting>
  <conditionalFormatting sqref="B36:X36">
    <cfRule type="expression" dxfId="1792" priority="101">
      <formula>B36&gt;$AG36</formula>
    </cfRule>
  </conditionalFormatting>
  <conditionalFormatting sqref="B50:Q56 R51:AC56">
    <cfRule type="expression" dxfId="1791" priority="97">
      <formula>B$9&gt;=20/24</formula>
    </cfRule>
    <cfRule type="expression" dxfId="1790" priority="98">
      <formula>AND(B$9&gt;=14/24,B$9&lt;20/24)</formula>
    </cfRule>
    <cfRule type="expression" dxfId="1789" priority="99">
      <formula>AND(B$9&gt;=8/24,B$9&lt;14/24)</formula>
    </cfRule>
    <cfRule type="expression" dxfId="1788" priority="100">
      <formula>B$9&lt;8/24</formula>
    </cfRule>
  </conditionalFormatting>
  <conditionalFormatting sqref="B50:Q56 R51:AC56">
    <cfRule type="expression" dxfId="1787" priority="96">
      <formula>B50&gt;$AG50</formula>
    </cfRule>
  </conditionalFormatting>
  <conditionalFormatting sqref="B28:X28">
    <cfRule type="expression" dxfId="1786" priority="92">
      <formula>B$9&gt;=20/24</formula>
    </cfRule>
    <cfRule type="expression" dxfId="1785" priority="93">
      <formula>AND(B$9&gt;=14/24,B$9&lt;20/24)</formula>
    </cfRule>
    <cfRule type="expression" dxfId="1784" priority="94">
      <formula>AND(B$9&gt;=8/24,B$9&lt;14/24)</formula>
    </cfRule>
    <cfRule type="expression" dxfId="1783" priority="95">
      <formula>B$9&lt;8/24</formula>
    </cfRule>
  </conditionalFormatting>
  <conditionalFormatting sqref="B19:X19 B24:X24">
    <cfRule type="expression" dxfId="1782" priority="88">
      <formula>B$9&gt;=20/24</formula>
    </cfRule>
    <cfRule type="expression" dxfId="1781" priority="89">
      <formula>AND(B$9&gt;=14/24,B$9&lt;20/24)</formula>
    </cfRule>
    <cfRule type="expression" dxfId="1780" priority="90">
      <formula>AND(B$9&gt;=8/24,B$9&lt;14/24)</formula>
    </cfRule>
    <cfRule type="expression" dxfId="1779" priority="91">
      <formula>B$9&lt;8/24</formula>
    </cfRule>
  </conditionalFormatting>
  <conditionalFormatting sqref="B19:X19 B24:X24">
    <cfRule type="expression" dxfId="1778" priority="87">
      <formula>B19&gt;$AG19</formula>
    </cfRule>
  </conditionalFormatting>
  <conditionalFormatting sqref="A36">
    <cfRule type="expression" dxfId="1777" priority="86">
      <formula>$AH36=0</formula>
    </cfRule>
  </conditionalFormatting>
  <conditionalFormatting sqref="B74:AF74">
    <cfRule type="expression" dxfId="1776" priority="82">
      <formula>B$9&gt;=20/24</formula>
    </cfRule>
    <cfRule type="expression" dxfId="1775" priority="83">
      <formula>AND(B$9&gt;=14/24,B$9&lt;20/24)</formula>
    </cfRule>
    <cfRule type="expression" dxfId="1774" priority="84">
      <formula>AND(B$9&gt;=8/24,B$9&lt;14/24)</formula>
    </cfRule>
    <cfRule type="expression" dxfId="1773" priority="85">
      <formula>B$9&lt;8/24</formula>
    </cfRule>
  </conditionalFormatting>
  <conditionalFormatting sqref="B83:AF87">
    <cfRule type="expression" dxfId="1772" priority="78">
      <formula>B$9&gt;=20/24</formula>
    </cfRule>
    <cfRule type="expression" dxfId="1771" priority="79">
      <formula>AND(B$9&gt;=14/24,B$9&lt;20/24)</formula>
    </cfRule>
    <cfRule type="expression" dxfId="1770" priority="80">
      <formula>AND(B$9&gt;=8/24,B$9&lt;14/24)</formula>
    </cfRule>
    <cfRule type="expression" dxfId="1769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1:AF43">
    <cfRule type="expression" dxfId="1768" priority="74">
      <formula>C$9&gt;=20/24</formula>
    </cfRule>
    <cfRule type="expression" dxfId="1767" priority="75">
      <formula>AND(C$9&gt;=14/24,C$9&lt;20/24)</formula>
    </cfRule>
    <cfRule type="expression" dxfId="1766" priority="76">
      <formula>AND(C$9&gt;=8/24,C$9&lt;14/24)</formula>
    </cfRule>
    <cfRule type="expression" dxfId="1765" priority="77">
      <formula>C$9&lt;8/24</formula>
    </cfRule>
  </conditionalFormatting>
  <conditionalFormatting sqref="C41:AF43">
    <cfRule type="expression" dxfId="1764" priority="73">
      <formula>C41&gt;$AG41</formula>
    </cfRule>
  </conditionalFormatting>
  <conditionalFormatting sqref="B41:B44 C44:AG44">
    <cfRule type="expression" dxfId="1763" priority="69">
      <formula>B$9&gt;=20/24</formula>
    </cfRule>
    <cfRule type="expression" dxfId="1762" priority="70">
      <formula>AND(B$9&gt;=14/24,B$9&lt;20/24)</formula>
    </cfRule>
    <cfRule type="expression" dxfId="1761" priority="71">
      <formula>AND(B$9&gt;=8/24,B$9&lt;14/24)</formula>
    </cfRule>
    <cfRule type="expression" dxfId="1760" priority="72">
      <formula>B$9&lt;8/24</formula>
    </cfRule>
  </conditionalFormatting>
  <conditionalFormatting sqref="B41:B44 C44:AG44">
    <cfRule type="expression" dxfId="1759" priority="68">
      <formula>B41&gt;$AG41</formula>
    </cfRule>
  </conditionalFormatting>
  <conditionalFormatting sqref="C99:AF99">
    <cfRule type="expression" dxfId="1758" priority="64">
      <formula>C$9&gt;=20/24</formula>
    </cfRule>
    <cfRule type="expression" dxfId="1757" priority="65">
      <formula>AND(C$9&gt;=14/24,C$9&lt;20/24)</formula>
    </cfRule>
    <cfRule type="expression" dxfId="1756" priority="66">
      <formula>AND(C$9&gt;=8/24,C$9&lt;14/24)</formula>
    </cfRule>
    <cfRule type="expression" dxfId="1755" priority="67">
      <formula>C$9&lt;8/24</formula>
    </cfRule>
  </conditionalFormatting>
  <conditionalFormatting sqref="B99">
    <cfRule type="expression" dxfId="1754" priority="60">
      <formula>B$9&gt;=20/24</formula>
    </cfRule>
    <cfRule type="expression" dxfId="1753" priority="61">
      <formula>AND(B$9&gt;=14/24,B$9&lt;20/24)</formula>
    </cfRule>
    <cfRule type="expression" dxfId="1752" priority="62">
      <formula>AND(B$9&gt;=8/24,B$9&lt;14/24)</formula>
    </cfRule>
    <cfRule type="expression" dxfId="1751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1750" priority="54">
      <formula>$AH33=0</formula>
    </cfRule>
  </conditionalFormatting>
  <conditionalFormatting sqref="A82">
    <cfRule type="expression" dxfId="1749" priority="52">
      <formula>$AH82=0</formula>
    </cfRule>
  </conditionalFormatting>
  <conditionalFormatting sqref="A79">
    <cfRule type="expression" dxfId="1748" priority="53">
      <formula>$AH79=0</formula>
    </cfRule>
  </conditionalFormatting>
  <conditionalFormatting sqref="A109">
    <cfRule type="expression" dxfId="1747" priority="43">
      <formula>$AH109=0</formula>
    </cfRule>
  </conditionalFormatting>
  <conditionalFormatting sqref="C102:AF102">
    <cfRule type="expression" dxfId="1746" priority="39">
      <formula>C$9&gt;=20/24</formula>
    </cfRule>
    <cfRule type="expression" dxfId="1745" priority="40">
      <formula>AND(C$9&gt;=14/24,C$9&lt;20/24)</formula>
    </cfRule>
    <cfRule type="expression" dxfId="1744" priority="41">
      <formula>AND(C$9&gt;=8/24,C$9&lt;14/24)</formula>
    </cfRule>
    <cfRule type="expression" dxfId="1743" priority="42">
      <formula>C$9&lt;8/24</formula>
    </cfRule>
  </conditionalFormatting>
  <conditionalFormatting sqref="A102">
    <cfRule type="expression" dxfId="1742" priority="38">
      <formula>$AH102=0</formula>
    </cfRule>
  </conditionalFormatting>
  <conditionalFormatting sqref="B102">
    <cfRule type="expression" dxfId="1741" priority="34">
      <formula>B$9&gt;=20/24</formula>
    </cfRule>
    <cfRule type="expression" dxfId="1740" priority="35">
      <formula>AND(B$9&gt;=14/24,B$9&lt;20/24)</formula>
    </cfRule>
    <cfRule type="expression" dxfId="1739" priority="36">
      <formula>AND(B$9&gt;=8/24,B$9&lt;14/24)</formula>
    </cfRule>
    <cfRule type="expression" dxfId="1738" priority="37">
      <formula>B$9&lt;8/24</formula>
    </cfRule>
  </conditionalFormatting>
  <conditionalFormatting sqref="B17:AF17">
    <cfRule type="expression" dxfId="1737" priority="27">
      <formula>B17&gt;$AG17</formula>
    </cfRule>
  </conditionalFormatting>
  <conditionalFormatting sqref="A17">
    <cfRule type="expression" dxfId="1736" priority="26">
      <formula>$AH17=0</formula>
    </cfRule>
  </conditionalFormatting>
  <conditionalFormatting sqref="Y17:AF17">
    <cfRule type="expression" dxfId="1735" priority="22">
      <formula>Y$9&gt;=20/24</formula>
    </cfRule>
    <cfRule type="expression" dxfId="1734" priority="23">
      <formula>AND(Y$9&gt;=14/24,Y$9&lt;20/24)</formula>
    </cfRule>
    <cfRule type="expression" dxfId="1733" priority="24">
      <formula>AND(Y$9&gt;=8/24,Y$9&lt;14/24)</formula>
    </cfRule>
    <cfRule type="expression" dxfId="1732" priority="25">
      <formula>Y$9&lt;8/24</formula>
    </cfRule>
  </conditionalFormatting>
  <conditionalFormatting sqref="B17:X17">
    <cfRule type="expression" dxfId="1731" priority="18">
      <formula>B$9&gt;=20/24</formula>
    </cfRule>
    <cfRule type="expression" dxfId="1730" priority="19">
      <formula>AND(B$9&gt;=14/24,B$9&lt;20/24)</formula>
    </cfRule>
    <cfRule type="expression" dxfId="1729" priority="20">
      <formula>AND(B$9&gt;=8/24,B$9&lt;14/24)</formula>
    </cfRule>
    <cfRule type="expression" dxfId="1728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1727" priority="16">
      <formula>$AH30=0</formula>
    </cfRule>
  </conditionalFormatting>
  <conditionalFormatting sqref="Y30:AF30">
    <cfRule type="expression" dxfId="1726" priority="12">
      <formula>Y$9&gt;=20/24</formula>
    </cfRule>
    <cfRule type="expression" dxfId="1725" priority="13">
      <formula>AND(Y$9&gt;=14/24,Y$9&lt;20/24)</formula>
    </cfRule>
    <cfRule type="expression" dxfId="1724" priority="14">
      <formula>AND(Y$9&gt;=8/24,Y$9&lt;14/24)</formula>
    </cfRule>
    <cfRule type="expression" dxfId="1723" priority="15">
      <formula>Y$9&lt;8/24</formula>
    </cfRule>
  </conditionalFormatting>
  <conditionalFormatting sqref="Y30:AF30">
    <cfRule type="expression" dxfId="1722" priority="11">
      <formula>Y30&gt;$AG30</formula>
    </cfRule>
  </conditionalFormatting>
  <conditionalFormatting sqref="B30:X30">
    <cfRule type="expression" dxfId="1721" priority="2">
      <formula>B$9&gt;=20/24</formula>
    </cfRule>
    <cfRule type="expression" dxfId="1720" priority="3">
      <formula>AND(B$9&gt;=14/24,B$9&lt;20/24)</formula>
    </cfRule>
    <cfRule type="expression" dxfId="1719" priority="4">
      <formula>AND(B$9&gt;=8/24,B$9&lt;14/24)</formula>
    </cfRule>
    <cfRule type="expression" dxfId="1718" priority="5">
      <formula>B$9&lt;8/24</formula>
    </cfRule>
  </conditionalFormatting>
  <conditionalFormatting sqref="B30:X30">
    <cfRule type="expression" dxfId="1717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8380C046-2F7D-4B54-A3F3-AC8787E614E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165FE8F4-B852-480E-A0AA-E26EED42D512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AC035549-C2DE-441A-B0D6-6E49386EA0F0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795FECDF-E9DB-40D8-8344-6845B4C48858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C83948EA-52E7-40F2-9330-6618F58D12B5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B18F485D-7731-4D4D-B517-396EEE81F9A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AFB243E6-9DA7-42EB-9D01-F2DE0613DB4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C0565566-FB53-4D24-9DC0-5F067CE3D81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9AB5956C-511C-4567-8F06-05278D685D8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AE6081EB-BAFF-41BD-A5E2-A22C26BD72AF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12C9A699-D359-4E6A-A38B-E166ADF14DF6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FE8FF0DF-294D-4A9F-9424-AEB106D0255C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J270"/>
  <sheetViews>
    <sheetView zoomScale="90" zoomScaleNormal="90" workbookViewId="0">
      <pane xSplit="1" ySplit="10" topLeftCell="B68" activePane="bottomRight" state="frozen"/>
      <selection activeCell="AF88" sqref="AF88"/>
      <selection pane="topRight" activeCell="AF88" sqref="AF88"/>
      <selection pane="bottomLeft" activeCell="AF88" sqref="AF88"/>
      <selection pane="bottomRight" activeCell="M108" sqref="M108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str">
        <f ca="1">"2079/"&amp;"06/"&amp;INT(MID(CELL("filename",D6),FIND("]",CELL("filename",D6))+1,200))</f>
        <v>2079/06/31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14</v>
      </c>
      <c r="W5" s="148">
        <f t="shared" si="0"/>
        <v>42.3</v>
      </c>
      <c r="X5" s="148">
        <f t="shared" si="0"/>
        <v>72</v>
      </c>
      <c r="Y5" s="148">
        <f t="shared" si="0"/>
        <v>71.400000000000006</v>
      </c>
      <c r="Z5" s="148">
        <f t="shared" si="0"/>
        <v>68.5</v>
      </c>
      <c r="AA5" s="148">
        <f t="shared" si="0"/>
        <v>17</v>
      </c>
      <c r="AB5" s="148">
        <f t="shared" si="0"/>
        <v>5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B74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1610MW at 8:00hr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Load=1419</v>
      </c>
      <c r="B7" s="137">
        <f t="shared" ref="B7:AF7" si="1">B81</f>
        <v>1478.92</v>
      </c>
      <c r="C7" s="137">
        <f t="shared" si="1"/>
        <v>1458.92</v>
      </c>
      <c r="D7" s="137">
        <f t="shared" si="1"/>
        <v>1458.92</v>
      </c>
      <c r="E7" s="137">
        <f t="shared" si="1"/>
        <v>1418.7199999999998</v>
      </c>
      <c r="F7" s="137">
        <f t="shared" si="1"/>
        <v>1418.7199999999998</v>
      </c>
      <c r="G7" s="137">
        <f t="shared" si="1"/>
        <v>1428.7199999999998</v>
      </c>
      <c r="H7" s="137">
        <f t="shared" si="1"/>
        <v>1435.7199999999998</v>
      </c>
      <c r="I7" s="137">
        <f t="shared" si="1"/>
        <v>1454.22</v>
      </c>
      <c r="J7" s="137">
        <f t="shared" si="1"/>
        <v>1548.3199999999997</v>
      </c>
      <c r="K7" s="137">
        <f t="shared" si="1"/>
        <v>1565.3199999999997</v>
      </c>
      <c r="L7" s="137">
        <f t="shared" si="1"/>
        <v>1581.42</v>
      </c>
      <c r="M7" s="137">
        <f t="shared" si="1"/>
        <v>1609.52</v>
      </c>
      <c r="N7" s="137">
        <f t="shared" si="1"/>
        <v>1601.52</v>
      </c>
      <c r="O7" s="137">
        <f t="shared" si="1"/>
        <v>1601.52</v>
      </c>
      <c r="P7" s="137">
        <f t="shared" si="1"/>
        <v>1553.32</v>
      </c>
      <c r="Q7" s="137">
        <f t="shared" si="1"/>
        <v>1511.12</v>
      </c>
      <c r="R7" s="137">
        <f t="shared" si="1"/>
        <v>1543.4199999999998</v>
      </c>
      <c r="S7" s="137">
        <f t="shared" si="1"/>
        <v>1629.9199999999998</v>
      </c>
      <c r="T7" s="137">
        <f t="shared" si="1"/>
        <v>1617.9199999999998</v>
      </c>
      <c r="U7" s="137">
        <f t="shared" si="1"/>
        <v>1668.52</v>
      </c>
      <c r="V7" s="137">
        <f t="shared" si="1"/>
        <v>1638.2199999999998</v>
      </c>
      <c r="W7" s="137">
        <f t="shared" si="1"/>
        <v>1649.2199999999998</v>
      </c>
      <c r="X7" s="137">
        <f t="shared" si="1"/>
        <v>1706.5199999999998</v>
      </c>
      <c r="Y7" s="137">
        <f t="shared" si="1"/>
        <v>1741.2199999999998</v>
      </c>
      <c r="Z7" s="137">
        <f t="shared" si="1"/>
        <v>1740.62</v>
      </c>
      <c r="AA7" s="137">
        <f t="shared" si="1"/>
        <v>1737.7199999999998</v>
      </c>
      <c r="AB7" s="137">
        <f t="shared" si="1"/>
        <v>1650.2199999999998</v>
      </c>
      <c r="AC7" s="137">
        <f t="shared" si="1"/>
        <v>1618.2199999999998</v>
      </c>
      <c r="AD7" s="137">
        <f t="shared" si="1"/>
        <v>1524.02</v>
      </c>
      <c r="AE7" s="137">
        <f t="shared" si="1"/>
        <v>1467.02</v>
      </c>
      <c r="AF7" s="137">
        <f t="shared" si="1"/>
        <v>1471.3200000000002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52.1</v>
      </c>
      <c r="C11" s="105">
        <v>52.1</v>
      </c>
      <c r="D11" s="105">
        <v>52.1</v>
      </c>
      <c r="E11" s="105">
        <v>52.1</v>
      </c>
      <c r="F11" s="105">
        <v>52.1</v>
      </c>
      <c r="G11" s="105">
        <v>52.1</v>
      </c>
      <c r="H11" s="105">
        <v>52.1</v>
      </c>
      <c r="I11" s="105">
        <v>52.1</v>
      </c>
      <c r="J11" s="105">
        <v>53.6</v>
      </c>
      <c r="K11" s="105">
        <v>53.6</v>
      </c>
      <c r="L11" s="105">
        <v>53.6</v>
      </c>
      <c r="M11" s="105">
        <v>53.6</v>
      </c>
      <c r="N11" s="105">
        <v>53.6</v>
      </c>
      <c r="O11" s="105">
        <v>53.6</v>
      </c>
      <c r="P11" s="105">
        <v>53.6</v>
      </c>
      <c r="Q11" s="105">
        <v>53.6</v>
      </c>
      <c r="R11" s="105">
        <v>53.6</v>
      </c>
      <c r="S11" s="105">
        <v>53.6</v>
      </c>
      <c r="T11" s="105">
        <v>53.6</v>
      </c>
      <c r="U11" s="105">
        <v>53.6</v>
      </c>
      <c r="V11" s="105">
        <v>53.6</v>
      </c>
      <c r="W11" s="105">
        <v>53.6</v>
      </c>
      <c r="X11" s="105">
        <v>53.6</v>
      </c>
      <c r="Y11" s="128">
        <v>53.6</v>
      </c>
      <c r="Z11" s="128">
        <v>53.6</v>
      </c>
      <c r="AA11" s="128">
        <v>53.6</v>
      </c>
      <c r="AB11" s="128">
        <v>53.6</v>
      </c>
      <c r="AC11" s="128">
        <v>53.6</v>
      </c>
      <c r="AD11" s="128">
        <v>53.6</v>
      </c>
      <c r="AE11" s="128">
        <v>53.6</v>
      </c>
      <c r="AF11" s="128">
        <v>53.6</v>
      </c>
      <c r="AG11" s="127">
        <v>52.4</v>
      </c>
      <c r="AH11" s="20">
        <f>MAX(B11:AF11)</f>
        <v>53.6</v>
      </c>
      <c r="AI11" s="19">
        <f>MIN(B11:AF11)</f>
        <v>52.1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50.5</v>
      </c>
      <c r="C12" s="105">
        <v>50.5</v>
      </c>
      <c r="D12" s="105">
        <v>50.5</v>
      </c>
      <c r="E12" s="105">
        <v>50.5</v>
      </c>
      <c r="F12" s="105">
        <v>50.5</v>
      </c>
      <c r="G12" s="105">
        <v>50.5</v>
      </c>
      <c r="H12" s="105">
        <v>50.5</v>
      </c>
      <c r="I12" s="105">
        <v>50.5</v>
      </c>
      <c r="J12" s="105">
        <v>50.5</v>
      </c>
      <c r="K12" s="105">
        <v>50.5</v>
      </c>
      <c r="L12" s="105">
        <v>50.5</v>
      </c>
      <c r="M12" s="105">
        <v>50.5</v>
      </c>
      <c r="N12" s="105">
        <v>50.5</v>
      </c>
      <c r="O12" s="105">
        <v>50.5</v>
      </c>
      <c r="P12" s="105">
        <v>50.5</v>
      </c>
      <c r="Q12" s="105">
        <v>50.8</v>
      </c>
      <c r="R12" s="105">
        <v>50.8</v>
      </c>
      <c r="S12" s="105">
        <v>50.8</v>
      </c>
      <c r="T12" s="105">
        <v>50.8</v>
      </c>
      <c r="U12" s="105">
        <v>50.8</v>
      </c>
      <c r="V12" s="105">
        <v>50.8</v>
      </c>
      <c r="W12" s="105">
        <v>50.8</v>
      </c>
      <c r="X12" s="105">
        <v>50.8</v>
      </c>
      <c r="Y12" s="105">
        <v>50.8</v>
      </c>
      <c r="Z12" s="105">
        <v>50.8</v>
      </c>
      <c r="AA12" s="105">
        <v>50.8</v>
      </c>
      <c r="AB12" s="105">
        <v>50.8</v>
      </c>
      <c r="AC12" s="105">
        <v>50.8</v>
      </c>
      <c r="AD12" s="105">
        <v>50.8</v>
      </c>
      <c r="AE12" s="105">
        <v>50.8</v>
      </c>
      <c r="AF12" s="105">
        <v>50.8</v>
      </c>
      <c r="AG12" s="126">
        <v>50</v>
      </c>
      <c r="AH12" s="20">
        <f t="shared" ref="AH12:AH75" si="2">MAX(B12:AF12)</f>
        <v>50.8</v>
      </c>
      <c r="AI12" s="19">
        <f t="shared" ref="AI12:AI75" si="3">MIN(B12:AF12)</f>
        <v>50.5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46</v>
      </c>
      <c r="C13" s="105">
        <v>46</v>
      </c>
      <c r="D13" s="105">
        <v>46</v>
      </c>
      <c r="E13" s="105">
        <v>46</v>
      </c>
      <c r="F13" s="105">
        <v>46</v>
      </c>
      <c r="G13" s="105">
        <v>46</v>
      </c>
      <c r="H13" s="105">
        <v>46</v>
      </c>
      <c r="I13" s="105">
        <v>46</v>
      </c>
      <c r="J13" s="105">
        <v>46</v>
      </c>
      <c r="K13" s="105">
        <v>46</v>
      </c>
      <c r="L13" s="105">
        <v>46</v>
      </c>
      <c r="M13" s="105">
        <v>46</v>
      </c>
      <c r="N13" s="105">
        <v>46</v>
      </c>
      <c r="O13" s="105">
        <v>46</v>
      </c>
      <c r="P13" s="105">
        <v>46</v>
      </c>
      <c r="Q13" s="105">
        <v>46</v>
      </c>
      <c r="R13" s="105">
        <v>46</v>
      </c>
      <c r="S13" s="105">
        <v>46</v>
      </c>
      <c r="T13" s="105">
        <v>46</v>
      </c>
      <c r="U13" s="105">
        <v>46</v>
      </c>
      <c r="V13" s="105">
        <v>46</v>
      </c>
      <c r="W13" s="105">
        <v>46</v>
      </c>
      <c r="X13" s="105">
        <v>46</v>
      </c>
      <c r="Y13" s="105">
        <v>46</v>
      </c>
      <c r="Z13" s="105">
        <v>46</v>
      </c>
      <c r="AA13" s="105">
        <v>46</v>
      </c>
      <c r="AB13" s="105">
        <v>46</v>
      </c>
      <c r="AC13" s="105">
        <v>46</v>
      </c>
      <c r="AD13" s="105">
        <v>46</v>
      </c>
      <c r="AE13" s="105">
        <v>46</v>
      </c>
      <c r="AF13" s="105">
        <v>46</v>
      </c>
      <c r="AG13" s="126">
        <v>45</v>
      </c>
      <c r="AH13" s="20">
        <f t="shared" si="2"/>
        <v>46</v>
      </c>
      <c r="AI13" s="19">
        <f t="shared" si="3"/>
        <v>46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20</v>
      </c>
      <c r="C14" s="105">
        <v>20</v>
      </c>
      <c r="D14" s="105">
        <v>20</v>
      </c>
      <c r="E14" s="105">
        <v>20</v>
      </c>
      <c r="F14" s="105">
        <v>20</v>
      </c>
      <c r="G14" s="105">
        <v>20</v>
      </c>
      <c r="H14" s="105">
        <v>27</v>
      </c>
      <c r="I14" s="105">
        <v>27</v>
      </c>
      <c r="J14" s="105">
        <v>27</v>
      </c>
      <c r="K14" s="105">
        <v>27</v>
      </c>
      <c r="L14" s="105">
        <v>28</v>
      </c>
      <c r="M14" s="105">
        <v>28</v>
      </c>
      <c r="N14" s="105">
        <v>28</v>
      </c>
      <c r="O14" s="105">
        <v>28</v>
      </c>
      <c r="P14" s="105">
        <v>28</v>
      </c>
      <c r="Q14" s="105">
        <v>28</v>
      </c>
      <c r="R14" s="105">
        <v>28</v>
      </c>
      <c r="S14" s="105">
        <v>28</v>
      </c>
      <c r="T14" s="105">
        <v>28</v>
      </c>
      <c r="U14" s="105">
        <v>28</v>
      </c>
      <c r="V14" s="105">
        <v>28</v>
      </c>
      <c r="W14" s="105">
        <v>28</v>
      </c>
      <c r="X14" s="105">
        <v>28</v>
      </c>
      <c r="Y14" s="105">
        <v>28</v>
      </c>
      <c r="Z14" s="105">
        <v>28</v>
      </c>
      <c r="AA14" s="105">
        <v>28</v>
      </c>
      <c r="AB14" s="105">
        <v>28</v>
      </c>
      <c r="AC14" s="105">
        <v>28</v>
      </c>
      <c r="AD14" s="105">
        <v>28</v>
      </c>
      <c r="AE14" s="105">
        <v>28</v>
      </c>
      <c r="AF14" s="105">
        <v>28</v>
      </c>
      <c r="AG14" s="126">
        <v>42</v>
      </c>
      <c r="AH14" s="20">
        <f t="shared" si="2"/>
        <v>28</v>
      </c>
      <c r="AI14" s="19">
        <f t="shared" si="3"/>
        <v>20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11</v>
      </c>
      <c r="K15" s="105">
        <v>11</v>
      </c>
      <c r="L15" s="105">
        <v>11</v>
      </c>
      <c r="M15" s="105">
        <v>29</v>
      </c>
      <c r="N15" s="105">
        <v>29</v>
      </c>
      <c r="O15" s="105">
        <v>29</v>
      </c>
      <c r="P15" s="105">
        <v>29</v>
      </c>
      <c r="Q15" s="105">
        <v>29</v>
      </c>
      <c r="R15" s="105">
        <v>29</v>
      </c>
      <c r="S15" s="105">
        <v>20</v>
      </c>
      <c r="T15" s="105">
        <v>20</v>
      </c>
      <c r="U15" s="105">
        <v>10</v>
      </c>
      <c r="V15" s="105">
        <v>10</v>
      </c>
      <c r="W15" s="105">
        <v>10</v>
      </c>
      <c r="X15" s="105">
        <v>10</v>
      </c>
      <c r="Y15" s="105">
        <v>15</v>
      </c>
      <c r="Z15" s="105">
        <v>15</v>
      </c>
      <c r="AA15" s="105">
        <v>15</v>
      </c>
      <c r="AB15" s="105">
        <v>15</v>
      </c>
      <c r="AC15" s="105">
        <v>15</v>
      </c>
      <c r="AD15" s="105">
        <v>15</v>
      </c>
      <c r="AE15" s="105">
        <v>0</v>
      </c>
      <c r="AF15" s="105">
        <v>0</v>
      </c>
      <c r="AG15" s="96">
        <v>30</v>
      </c>
      <c r="AH15" s="20">
        <f t="shared" si="2"/>
        <v>29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25</v>
      </c>
      <c r="C16" s="105">
        <v>25</v>
      </c>
      <c r="D16" s="105">
        <v>25</v>
      </c>
      <c r="E16" s="105">
        <v>25</v>
      </c>
      <c r="F16" s="105">
        <v>25</v>
      </c>
      <c r="G16" s="105">
        <v>25</v>
      </c>
      <c r="H16" s="105">
        <v>25</v>
      </c>
      <c r="I16" s="105">
        <v>25</v>
      </c>
      <c r="J16" s="105">
        <v>25</v>
      </c>
      <c r="K16" s="105">
        <v>25</v>
      </c>
      <c r="L16" s="105">
        <v>25</v>
      </c>
      <c r="M16" s="105">
        <v>33.200000000000003</v>
      </c>
      <c r="N16" s="105">
        <v>33.200000000000003</v>
      </c>
      <c r="O16" s="105">
        <v>33.200000000000003</v>
      </c>
      <c r="P16" s="105">
        <v>33.200000000000003</v>
      </c>
      <c r="Q16" s="105">
        <v>33.200000000000003</v>
      </c>
      <c r="R16" s="105">
        <v>33.200000000000003</v>
      </c>
      <c r="S16" s="105">
        <v>33.200000000000003</v>
      </c>
      <c r="T16" s="105">
        <v>33.200000000000003</v>
      </c>
      <c r="U16" s="105">
        <v>25.8</v>
      </c>
      <c r="V16" s="105">
        <v>33.200000000000003</v>
      </c>
      <c r="W16" s="105">
        <v>33.200000000000003</v>
      </c>
      <c r="X16" s="105">
        <v>33.200000000000003</v>
      </c>
      <c r="Y16" s="105">
        <v>33.200000000000003</v>
      </c>
      <c r="Z16" s="105">
        <v>33.200000000000003</v>
      </c>
      <c r="AA16" s="105">
        <v>33.200000000000003</v>
      </c>
      <c r="AB16" s="105">
        <v>33.200000000000003</v>
      </c>
      <c r="AC16" s="105">
        <v>33.200000000000003</v>
      </c>
      <c r="AD16" s="105">
        <v>26</v>
      </c>
      <c r="AE16" s="105">
        <v>26</v>
      </c>
      <c r="AF16" s="105">
        <v>26</v>
      </c>
      <c r="AG16" s="126">
        <v>24.2</v>
      </c>
      <c r="AH16" s="20">
        <f t="shared" si="2"/>
        <v>33.200000000000003</v>
      </c>
      <c r="AI16" s="19">
        <f t="shared" si="3"/>
        <v>25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0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10</v>
      </c>
      <c r="K17" s="105">
        <v>10</v>
      </c>
      <c r="L17" s="105">
        <v>18</v>
      </c>
      <c r="M17" s="105">
        <v>18</v>
      </c>
      <c r="N17" s="105">
        <v>18</v>
      </c>
      <c r="O17" s="105">
        <v>18</v>
      </c>
      <c r="P17" s="105">
        <v>18</v>
      </c>
      <c r="Q17" s="105">
        <v>18</v>
      </c>
      <c r="R17" s="105">
        <v>18</v>
      </c>
      <c r="S17" s="105">
        <v>18</v>
      </c>
      <c r="T17" s="105">
        <v>18</v>
      </c>
      <c r="U17" s="105">
        <v>18</v>
      </c>
      <c r="V17" s="105">
        <v>18</v>
      </c>
      <c r="W17" s="105">
        <v>15</v>
      </c>
      <c r="X17" s="105">
        <v>15</v>
      </c>
      <c r="Y17" s="105">
        <v>15</v>
      </c>
      <c r="Z17" s="105">
        <v>15</v>
      </c>
      <c r="AA17" s="105">
        <v>15</v>
      </c>
      <c r="AB17" s="105">
        <v>15</v>
      </c>
      <c r="AC17" s="105">
        <v>15</v>
      </c>
      <c r="AD17" s="105">
        <v>15</v>
      </c>
      <c r="AE17" s="105">
        <v>10</v>
      </c>
      <c r="AF17" s="105">
        <v>0</v>
      </c>
      <c r="AG17" s="96">
        <v>30</v>
      </c>
      <c r="AH17" s="20">
        <f t="shared" si="2"/>
        <v>18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25.4</v>
      </c>
      <c r="C18" s="105">
        <v>25.4</v>
      </c>
      <c r="D18" s="105">
        <v>25.4</v>
      </c>
      <c r="E18" s="105">
        <v>25.4</v>
      </c>
      <c r="F18" s="105">
        <v>25.4</v>
      </c>
      <c r="G18" s="105">
        <v>25.4</v>
      </c>
      <c r="H18" s="105">
        <v>25.4</v>
      </c>
      <c r="I18" s="105">
        <v>25.4</v>
      </c>
      <c r="J18" s="105">
        <v>25.4</v>
      </c>
      <c r="K18" s="105">
        <v>25.4</v>
      </c>
      <c r="L18" s="105">
        <v>25.4</v>
      </c>
      <c r="M18" s="105">
        <v>25.2</v>
      </c>
      <c r="N18" s="105">
        <v>25.2</v>
      </c>
      <c r="O18" s="105">
        <v>25.2</v>
      </c>
      <c r="P18" s="105">
        <v>25.2</v>
      </c>
      <c r="Q18" s="105">
        <v>25.2</v>
      </c>
      <c r="R18" s="105">
        <v>25.2</v>
      </c>
      <c r="S18" s="105">
        <v>25.2</v>
      </c>
      <c r="T18" s="105">
        <v>25.2</v>
      </c>
      <c r="U18" s="105">
        <v>25.2</v>
      </c>
      <c r="V18" s="105">
        <v>25.2</v>
      </c>
      <c r="W18" s="105">
        <v>25.2</v>
      </c>
      <c r="X18" s="105">
        <v>25.2</v>
      </c>
      <c r="Y18" s="105">
        <v>25.2</v>
      </c>
      <c r="Z18" s="105">
        <v>25.2</v>
      </c>
      <c r="AA18" s="105">
        <v>25.2</v>
      </c>
      <c r="AB18" s="105">
        <v>25.2</v>
      </c>
      <c r="AC18" s="105">
        <v>25.2</v>
      </c>
      <c r="AD18" s="105">
        <v>25.2</v>
      </c>
      <c r="AE18" s="105">
        <v>25.2</v>
      </c>
      <c r="AF18" s="105">
        <v>25.2</v>
      </c>
      <c r="AG18" s="126">
        <v>25</v>
      </c>
      <c r="AH18" s="20">
        <f t="shared" si="2"/>
        <v>25.4</v>
      </c>
      <c r="AI18" s="19">
        <f t="shared" si="3"/>
        <v>25.2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25</v>
      </c>
      <c r="C19" s="105">
        <v>25</v>
      </c>
      <c r="D19" s="105">
        <v>25</v>
      </c>
      <c r="E19" s="105">
        <v>13</v>
      </c>
      <c r="F19" s="105">
        <v>13</v>
      </c>
      <c r="G19" s="105">
        <v>13</v>
      </c>
      <c r="H19" s="105">
        <v>13</v>
      </c>
      <c r="I19" s="105">
        <v>13</v>
      </c>
      <c r="J19" s="105">
        <v>13</v>
      </c>
      <c r="K19" s="105">
        <v>13</v>
      </c>
      <c r="L19" s="105">
        <v>13</v>
      </c>
      <c r="M19" s="105">
        <v>13</v>
      </c>
      <c r="N19" s="105">
        <v>25</v>
      </c>
      <c r="O19" s="105">
        <v>25</v>
      </c>
      <c r="P19" s="105">
        <v>25</v>
      </c>
      <c r="Q19" s="105">
        <v>25</v>
      </c>
      <c r="R19" s="105">
        <v>25</v>
      </c>
      <c r="S19" s="105">
        <v>25</v>
      </c>
      <c r="T19" s="105">
        <v>25</v>
      </c>
      <c r="U19" s="105">
        <v>25</v>
      </c>
      <c r="V19" s="105">
        <v>25</v>
      </c>
      <c r="W19" s="105">
        <v>25</v>
      </c>
      <c r="X19" s="105">
        <v>25</v>
      </c>
      <c r="Y19" s="105">
        <v>25</v>
      </c>
      <c r="Z19" s="105">
        <v>25</v>
      </c>
      <c r="AA19" s="105">
        <v>25</v>
      </c>
      <c r="AB19" s="105">
        <v>25</v>
      </c>
      <c r="AC19" s="105">
        <v>25</v>
      </c>
      <c r="AD19" s="105">
        <v>25</v>
      </c>
      <c r="AE19" s="105">
        <v>23</v>
      </c>
      <c r="AF19" s="105">
        <v>23</v>
      </c>
      <c r="AG19" s="126">
        <v>25</v>
      </c>
      <c r="AH19" s="20">
        <f t="shared" si="2"/>
        <v>25</v>
      </c>
      <c r="AI19" s="19">
        <f t="shared" si="3"/>
        <v>13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25</v>
      </c>
      <c r="C20" s="105">
        <v>25</v>
      </c>
      <c r="D20" s="105">
        <v>25</v>
      </c>
      <c r="E20" s="105">
        <v>25</v>
      </c>
      <c r="F20" s="105">
        <v>25</v>
      </c>
      <c r="G20" s="105">
        <v>25</v>
      </c>
      <c r="H20" s="105">
        <v>25</v>
      </c>
      <c r="I20" s="105">
        <v>25</v>
      </c>
      <c r="J20" s="105">
        <v>25</v>
      </c>
      <c r="K20" s="105">
        <v>25</v>
      </c>
      <c r="L20" s="105">
        <v>25</v>
      </c>
      <c r="M20" s="105">
        <v>25</v>
      </c>
      <c r="N20" s="105">
        <v>25</v>
      </c>
      <c r="O20" s="105">
        <v>25</v>
      </c>
      <c r="P20" s="105">
        <v>25</v>
      </c>
      <c r="Q20" s="105">
        <v>25</v>
      </c>
      <c r="R20" s="105">
        <v>25</v>
      </c>
      <c r="S20" s="105">
        <v>25</v>
      </c>
      <c r="T20" s="105">
        <v>25</v>
      </c>
      <c r="U20" s="105">
        <v>25</v>
      </c>
      <c r="V20" s="105">
        <v>25</v>
      </c>
      <c r="W20" s="105">
        <v>25</v>
      </c>
      <c r="X20" s="105">
        <v>25</v>
      </c>
      <c r="Y20" s="105">
        <v>25</v>
      </c>
      <c r="Z20" s="105">
        <v>25</v>
      </c>
      <c r="AA20" s="105">
        <v>25</v>
      </c>
      <c r="AB20" s="105">
        <v>25</v>
      </c>
      <c r="AC20" s="105">
        <v>25</v>
      </c>
      <c r="AD20" s="105">
        <v>25</v>
      </c>
      <c r="AE20" s="105">
        <v>25</v>
      </c>
      <c r="AF20" s="105">
        <v>25</v>
      </c>
      <c r="AG20" s="126">
        <v>25</v>
      </c>
      <c r="AH20" s="20">
        <f t="shared" si="2"/>
        <v>25</v>
      </c>
      <c r="AI20" s="19">
        <f t="shared" si="3"/>
        <v>25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24</v>
      </c>
      <c r="C21" s="105">
        <v>24</v>
      </c>
      <c r="D21" s="105">
        <v>24</v>
      </c>
      <c r="E21" s="105">
        <v>24</v>
      </c>
      <c r="F21" s="105">
        <v>24</v>
      </c>
      <c r="G21" s="105">
        <v>24</v>
      </c>
      <c r="H21" s="105">
        <v>24</v>
      </c>
      <c r="I21" s="105">
        <v>24</v>
      </c>
      <c r="J21" s="105">
        <v>24</v>
      </c>
      <c r="K21" s="105">
        <v>24</v>
      </c>
      <c r="L21" s="105">
        <v>24</v>
      </c>
      <c r="M21" s="105">
        <v>24</v>
      </c>
      <c r="N21" s="105">
        <v>24</v>
      </c>
      <c r="O21" s="105">
        <v>24</v>
      </c>
      <c r="P21" s="105">
        <v>24</v>
      </c>
      <c r="Q21" s="105">
        <v>24</v>
      </c>
      <c r="R21" s="105">
        <v>24</v>
      </c>
      <c r="S21" s="105">
        <v>24</v>
      </c>
      <c r="T21" s="105">
        <v>24</v>
      </c>
      <c r="U21" s="105">
        <v>24</v>
      </c>
      <c r="V21" s="105">
        <v>24</v>
      </c>
      <c r="W21" s="105">
        <v>24</v>
      </c>
      <c r="X21" s="105">
        <v>24</v>
      </c>
      <c r="Y21" s="105">
        <v>24</v>
      </c>
      <c r="Z21" s="105">
        <v>24</v>
      </c>
      <c r="AA21" s="105">
        <v>24</v>
      </c>
      <c r="AB21" s="105">
        <v>24</v>
      </c>
      <c r="AC21" s="105">
        <v>24</v>
      </c>
      <c r="AD21" s="105">
        <v>24</v>
      </c>
      <c r="AE21" s="105">
        <v>24</v>
      </c>
      <c r="AF21" s="105">
        <v>24</v>
      </c>
      <c r="AG21" s="126">
        <v>23.5</v>
      </c>
      <c r="AH21" s="20">
        <f t="shared" si="2"/>
        <v>24</v>
      </c>
      <c r="AI21" s="19">
        <f t="shared" si="3"/>
        <v>24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18</v>
      </c>
      <c r="C22" s="105">
        <v>18</v>
      </c>
      <c r="D22" s="105">
        <v>18</v>
      </c>
      <c r="E22" s="105">
        <v>18</v>
      </c>
      <c r="F22" s="105">
        <v>18</v>
      </c>
      <c r="G22" s="105">
        <v>18</v>
      </c>
      <c r="H22" s="105">
        <v>18</v>
      </c>
      <c r="I22" s="105">
        <v>18</v>
      </c>
      <c r="J22" s="105">
        <v>18</v>
      </c>
      <c r="K22" s="105">
        <v>18</v>
      </c>
      <c r="L22" s="105">
        <v>18</v>
      </c>
      <c r="M22" s="105">
        <v>20</v>
      </c>
      <c r="N22" s="105">
        <v>20</v>
      </c>
      <c r="O22" s="105">
        <v>20</v>
      </c>
      <c r="P22" s="105">
        <v>20</v>
      </c>
      <c r="Q22" s="105">
        <v>20</v>
      </c>
      <c r="R22" s="105">
        <v>20</v>
      </c>
      <c r="S22" s="105">
        <v>20</v>
      </c>
      <c r="T22" s="105">
        <v>20</v>
      </c>
      <c r="U22" s="105">
        <v>20</v>
      </c>
      <c r="V22" s="105">
        <v>20</v>
      </c>
      <c r="W22" s="105">
        <v>20</v>
      </c>
      <c r="X22" s="105">
        <v>20</v>
      </c>
      <c r="Y22" s="105">
        <v>20</v>
      </c>
      <c r="Z22" s="105">
        <v>20</v>
      </c>
      <c r="AA22" s="105">
        <v>20</v>
      </c>
      <c r="AB22" s="105">
        <v>20</v>
      </c>
      <c r="AC22" s="105">
        <v>20</v>
      </c>
      <c r="AD22" s="105">
        <v>20</v>
      </c>
      <c r="AE22" s="105">
        <v>20</v>
      </c>
      <c r="AF22" s="105">
        <v>20</v>
      </c>
      <c r="AG22" s="126">
        <v>22.2</v>
      </c>
      <c r="AH22" s="20">
        <f t="shared" si="2"/>
        <v>20</v>
      </c>
      <c r="AI22" s="19">
        <f t="shared" si="3"/>
        <v>18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21</v>
      </c>
      <c r="C23" s="105">
        <v>21</v>
      </c>
      <c r="D23" s="105">
        <v>21</v>
      </c>
      <c r="E23" s="105">
        <v>21</v>
      </c>
      <c r="F23" s="105">
        <v>21</v>
      </c>
      <c r="G23" s="105">
        <v>21</v>
      </c>
      <c r="H23" s="105">
        <v>21</v>
      </c>
      <c r="I23" s="105">
        <v>21</v>
      </c>
      <c r="J23" s="105">
        <v>21</v>
      </c>
      <c r="K23" s="105">
        <v>21</v>
      </c>
      <c r="L23" s="105">
        <v>21</v>
      </c>
      <c r="M23" s="105">
        <v>21</v>
      </c>
      <c r="N23" s="105">
        <v>21</v>
      </c>
      <c r="O23" s="105">
        <v>21</v>
      </c>
      <c r="P23" s="105">
        <v>21</v>
      </c>
      <c r="Q23" s="105">
        <v>21</v>
      </c>
      <c r="R23" s="105">
        <v>21</v>
      </c>
      <c r="S23" s="105">
        <v>21</v>
      </c>
      <c r="T23" s="105">
        <v>21</v>
      </c>
      <c r="U23" s="105">
        <v>21</v>
      </c>
      <c r="V23" s="105">
        <v>21</v>
      </c>
      <c r="W23" s="105">
        <v>21</v>
      </c>
      <c r="X23" s="105">
        <v>21</v>
      </c>
      <c r="Y23" s="105">
        <v>21</v>
      </c>
      <c r="Z23" s="105">
        <v>21</v>
      </c>
      <c r="AA23" s="105">
        <v>21</v>
      </c>
      <c r="AB23" s="105">
        <v>21</v>
      </c>
      <c r="AC23" s="105">
        <v>21</v>
      </c>
      <c r="AD23" s="105">
        <v>21</v>
      </c>
      <c r="AE23" s="105">
        <v>21</v>
      </c>
      <c r="AF23" s="105">
        <v>21</v>
      </c>
      <c r="AG23" s="126">
        <v>22.1</v>
      </c>
      <c r="AH23" s="20">
        <f t="shared" si="2"/>
        <v>21</v>
      </c>
      <c r="AI23" s="19">
        <f t="shared" si="3"/>
        <v>21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22</v>
      </c>
      <c r="C24" s="105">
        <v>22</v>
      </c>
      <c r="D24" s="105">
        <v>22</v>
      </c>
      <c r="E24" s="105">
        <v>22</v>
      </c>
      <c r="F24" s="105">
        <v>22</v>
      </c>
      <c r="G24" s="105">
        <v>22</v>
      </c>
      <c r="H24" s="105">
        <v>22</v>
      </c>
      <c r="I24" s="105">
        <v>22</v>
      </c>
      <c r="J24" s="105">
        <v>22</v>
      </c>
      <c r="K24" s="105">
        <v>22</v>
      </c>
      <c r="L24" s="105">
        <v>22</v>
      </c>
      <c r="M24" s="105">
        <v>22</v>
      </c>
      <c r="N24" s="105">
        <v>22</v>
      </c>
      <c r="O24" s="105">
        <v>22</v>
      </c>
      <c r="P24" s="105">
        <v>22</v>
      </c>
      <c r="Q24" s="105">
        <v>22</v>
      </c>
      <c r="R24" s="105">
        <v>22</v>
      </c>
      <c r="S24" s="105">
        <v>22</v>
      </c>
      <c r="T24" s="105">
        <v>22</v>
      </c>
      <c r="U24" s="105">
        <v>22</v>
      </c>
      <c r="V24" s="105">
        <v>22</v>
      </c>
      <c r="W24" s="105">
        <v>22</v>
      </c>
      <c r="X24" s="105">
        <v>22</v>
      </c>
      <c r="Y24" s="105">
        <v>22</v>
      </c>
      <c r="Z24" s="105">
        <v>22</v>
      </c>
      <c r="AA24" s="105">
        <v>22</v>
      </c>
      <c r="AB24" s="105">
        <v>22</v>
      </c>
      <c r="AC24" s="105">
        <v>22</v>
      </c>
      <c r="AD24" s="105">
        <v>22</v>
      </c>
      <c r="AE24" s="105">
        <v>22</v>
      </c>
      <c r="AF24" s="105">
        <v>22</v>
      </c>
      <c r="AG24" s="126">
        <v>22</v>
      </c>
      <c r="AH24" s="20">
        <f t="shared" si="2"/>
        <v>22</v>
      </c>
      <c r="AI24" s="19">
        <f t="shared" si="3"/>
        <v>22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22</v>
      </c>
      <c r="C25" s="105">
        <v>22</v>
      </c>
      <c r="D25" s="105">
        <v>22</v>
      </c>
      <c r="E25" s="105">
        <v>22</v>
      </c>
      <c r="F25" s="105">
        <v>22</v>
      </c>
      <c r="G25" s="105">
        <v>22</v>
      </c>
      <c r="H25" s="105">
        <v>22</v>
      </c>
      <c r="I25" s="105">
        <v>22</v>
      </c>
      <c r="J25" s="105">
        <v>22</v>
      </c>
      <c r="K25" s="105">
        <v>22</v>
      </c>
      <c r="L25" s="105">
        <v>22</v>
      </c>
      <c r="M25" s="105">
        <v>22</v>
      </c>
      <c r="N25" s="105">
        <v>22</v>
      </c>
      <c r="O25" s="105">
        <v>22</v>
      </c>
      <c r="P25" s="105">
        <v>22</v>
      </c>
      <c r="Q25" s="105">
        <v>22</v>
      </c>
      <c r="R25" s="105">
        <v>22</v>
      </c>
      <c r="S25" s="105">
        <v>22</v>
      </c>
      <c r="T25" s="105">
        <v>22</v>
      </c>
      <c r="U25" s="105">
        <v>22</v>
      </c>
      <c r="V25" s="105">
        <v>17</v>
      </c>
      <c r="W25" s="105">
        <v>17</v>
      </c>
      <c r="X25" s="105">
        <v>22</v>
      </c>
      <c r="Y25" s="105">
        <v>22</v>
      </c>
      <c r="Z25" s="105">
        <v>22</v>
      </c>
      <c r="AA25" s="105">
        <v>22</v>
      </c>
      <c r="AB25" s="105">
        <v>22</v>
      </c>
      <c r="AC25" s="105">
        <v>22</v>
      </c>
      <c r="AD25" s="105">
        <v>22</v>
      </c>
      <c r="AE25" s="105">
        <v>22</v>
      </c>
      <c r="AF25" s="105">
        <v>22</v>
      </c>
      <c r="AG25" s="126">
        <v>22</v>
      </c>
      <c r="AH25" s="20">
        <f t="shared" si="2"/>
        <v>22</v>
      </c>
      <c r="AI25" s="19">
        <f t="shared" si="3"/>
        <v>17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5</v>
      </c>
      <c r="K26" s="105">
        <v>5</v>
      </c>
      <c r="L26" s="105">
        <v>10</v>
      </c>
      <c r="M26" s="105">
        <v>10</v>
      </c>
      <c r="N26" s="105">
        <v>10</v>
      </c>
      <c r="O26" s="105">
        <v>10</v>
      </c>
      <c r="P26" s="105">
        <v>10</v>
      </c>
      <c r="Q26" s="105">
        <v>10</v>
      </c>
      <c r="R26" s="105">
        <v>10</v>
      </c>
      <c r="S26" s="105">
        <v>10</v>
      </c>
      <c r="T26" s="105">
        <v>10</v>
      </c>
      <c r="U26" s="105">
        <v>10</v>
      </c>
      <c r="V26" s="105">
        <v>10</v>
      </c>
      <c r="W26" s="105">
        <v>10</v>
      </c>
      <c r="X26" s="105">
        <v>10</v>
      </c>
      <c r="Y26" s="105">
        <v>10</v>
      </c>
      <c r="Z26" s="105">
        <v>10</v>
      </c>
      <c r="AA26" s="105">
        <v>10</v>
      </c>
      <c r="AB26" s="105">
        <v>10</v>
      </c>
      <c r="AC26" s="105">
        <v>10</v>
      </c>
      <c r="AD26" s="105">
        <v>10</v>
      </c>
      <c r="AE26" s="105">
        <v>0</v>
      </c>
      <c r="AF26" s="105">
        <v>0</v>
      </c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</v>
      </c>
      <c r="C27" s="105">
        <v>14</v>
      </c>
      <c r="D27" s="105">
        <v>14</v>
      </c>
      <c r="E27" s="105">
        <v>14</v>
      </c>
      <c r="F27" s="105">
        <v>14</v>
      </c>
      <c r="G27" s="105">
        <v>14</v>
      </c>
      <c r="H27" s="105">
        <v>14</v>
      </c>
      <c r="I27" s="105">
        <v>14</v>
      </c>
      <c r="J27" s="105">
        <v>14</v>
      </c>
      <c r="K27" s="105">
        <v>14</v>
      </c>
      <c r="L27" s="105">
        <v>14</v>
      </c>
      <c r="M27" s="105">
        <v>14</v>
      </c>
      <c r="N27" s="105">
        <v>14</v>
      </c>
      <c r="O27" s="105">
        <v>14</v>
      </c>
      <c r="P27" s="105">
        <v>14</v>
      </c>
      <c r="Q27" s="105">
        <v>14</v>
      </c>
      <c r="R27" s="105">
        <v>14</v>
      </c>
      <c r="S27" s="105">
        <v>14</v>
      </c>
      <c r="T27" s="105">
        <v>14</v>
      </c>
      <c r="U27" s="105">
        <v>14</v>
      </c>
      <c r="V27" s="105">
        <v>14</v>
      </c>
      <c r="W27" s="105">
        <v>14</v>
      </c>
      <c r="X27" s="105">
        <v>14</v>
      </c>
      <c r="Y27" s="105">
        <v>14</v>
      </c>
      <c r="Z27" s="105">
        <v>14</v>
      </c>
      <c r="AA27" s="105">
        <v>14</v>
      </c>
      <c r="AB27" s="105">
        <v>14</v>
      </c>
      <c r="AC27" s="105">
        <v>14</v>
      </c>
      <c r="AD27" s="105">
        <v>14</v>
      </c>
      <c r="AE27" s="105">
        <v>14</v>
      </c>
      <c r="AF27" s="105">
        <v>14</v>
      </c>
      <c r="AG27" s="126">
        <v>14.9</v>
      </c>
      <c r="AH27" s="20">
        <f t="shared" si="2"/>
        <v>14</v>
      </c>
      <c r="AI27" s="19">
        <f t="shared" si="3"/>
        <v>14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>
        <v>6.8</v>
      </c>
      <c r="N28" s="105">
        <v>6.8</v>
      </c>
      <c r="O28" s="105">
        <v>6.8</v>
      </c>
      <c r="P28" s="105">
        <v>6.8</v>
      </c>
      <c r="Q28" s="105">
        <v>6.8</v>
      </c>
      <c r="R28" s="105">
        <v>6.8</v>
      </c>
      <c r="S28" s="105">
        <v>6.8</v>
      </c>
      <c r="T28" s="105">
        <v>6.8</v>
      </c>
      <c r="U28" s="105">
        <v>6.8</v>
      </c>
      <c r="V28" s="105">
        <v>6.8</v>
      </c>
      <c r="W28" s="105">
        <v>6.8</v>
      </c>
      <c r="X28" s="105">
        <v>6.8</v>
      </c>
      <c r="Y28" s="105">
        <v>6.8</v>
      </c>
      <c r="Z28" s="105">
        <v>6.8</v>
      </c>
      <c r="AA28" s="105">
        <v>6.8</v>
      </c>
      <c r="AB28" s="105">
        <v>6.8</v>
      </c>
      <c r="AC28" s="105">
        <v>6.8</v>
      </c>
      <c r="AD28" s="105">
        <v>6.8</v>
      </c>
      <c r="AE28" s="105">
        <v>6.8</v>
      </c>
      <c r="AF28" s="105">
        <v>6.8</v>
      </c>
      <c r="AG28" s="126">
        <v>13.6</v>
      </c>
      <c r="AH28" s="20">
        <f t="shared" si="2"/>
        <v>6.8</v>
      </c>
      <c r="AI28" s="19">
        <f t="shared" si="3"/>
        <v>6.8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12</v>
      </c>
      <c r="C29" s="105">
        <v>12</v>
      </c>
      <c r="D29" s="105">
        <v>12</v>
      </c>
      <c r="E29" s="105">
        <v>12</v>
      </c>
      <c r="F29" s="105">
        <v>12</v>
      </c>
      <c r="G29" s="105">
        <v>12</v>
      </c>
      <c r="H29" s="105">
        <v>12</v>
      </c>
      <c r="I29" s="105">
        <v>12</v>
      </c>
      <c r="J29" s="105">
        <v>12</v>
      </c>
      <c r="K29" s="105">
        <v>12</v>
      </c>
      <c r="L29" s="105">
        <v>12</v>
      </c>
      <c r="M29" s="105">
        <v>12</v>
      </c>
      <c r="N29" s="105">
        <v>12</v>
      </c>
      <c r="O29" s="105">
        <v>12</v>
      </c>
      <c r="P29" s="105">
        <v>12</v>
      </c>
      <c r="Q29" s="105">
        <v>12</v>
      </c>
      <c r="R29" s="105">
        <v>12</v>
      </c>
      <c r="S29" s="105">
        <v>12</v>
      </c>
      <c r="T29" s="105">
        <v>12</v>
      </c>
      <c r="U29" s="105">
        <v>12</v>
      </c>
      <c r="V29" s="105">
        <v>12</v>
      </c>
      <c r="W29" s="105">
        <v>12</v>
      </c>
      <c r="X29" s="105">
        <v>12</v>
      </c>
      <c r="Y29" s="105">
        <v>12</v>
      </c>
      <c r="Z29" s="105">
        <v>12</v>
      </c>
      <c r="AA29" s="105">
        <v>12</v>
      </c>
      <c r="AB29" s="105">
        <v>12</v>
      </c>
      <c r="AC29" s="105">
        <v>12</v>
      </c>
      <c r="AD29" s="105">
        <v>12</v>
      </c>
      <c r="AE29" s="105">
        <v>12</v>
      </c>
      <c r="AF29" s="105">
        <v>12</v>
      </c>
      <c r="AG29" s="126">
        <v>13</v>
      </c>
      <c r="AH29" s="20">
        <f t="shared" si="2"/>
        <v>12</v>
      </c>
      <c r="AI29" s="19">
        <f t="shared" si="3"/>
        <v>12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0</v>
      </c>
      <c r="K30" s="105">
        <v>0</v>
      </c>
      <c r="L30" s="105">
        <v>0</v>
      </c>
      <c r="M30" s="105">
        <v>0</v>
      </c>
      <c r="N30" s="105">
        <v>0</v>
      </c>
      <c r="O30" s="105">
        <v>0</v>
      </c>
      <c r="P30" s="105">
        <v>0</v>
      </c>
      <c r="Q30" s="105">
        <v>0</v>
      </c>
      <c r="R30" s="105">
        <v>0</v>
      </c>
      <c r="S30" s="105">
        <v>10</v>
      </c>
      <c r="T30" s="105">
        <v>10</v>
      </c>
      <c r="U30" s="105">
        <v>10</v>
      </c>
      <c r="V30" s="105">
        <v>10</v>
      </c>
      <c r="W30" s="105">
        <v>10</v>
      </c>
      <c r="X30" s="105">
        <v>10</v>
      </c>
      <c r="Y30" s="105">
        <v>10</v>
      </c>
      <c r="Z30" s="105">
        <v>10</v>
      </c>
      <c r="AA30" s="105">
        <v>10</v>
      </c>
      <c r="AB30" s="105">
        <v>10</v>
      </c>
      <c r="AC30" s="105">
        <v>10</v>
      </c>
      <c r="AD30" s="105">
        <v>10</v>
      </c>
      <c r="AE30" s="105">
        <v>5</v>
      </c>
      <c r="AF30" s="105">
        <v>0</v>
      </c>
      <c r="AG30" s="126">
        <v>12</v>
      </c>
      <c r="AH30" s="20">
        <f t="shared" si="2"/>
        <v>10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12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>
        <v>12</v>
      </c>
      <c r="N31" s="105">
        <v>12</v>
      </c>
      <c r="O31" s="105">
        <v>12</v>
      </c>
      <c r="P31" s="105">
        <v>12</v>
      </c>
      <c r="Q31" s="105">
        <v>12</v>
      </c>
      <c r="R31" s="105">
        <v>12</v>
      </c>
      <c r="S31" s="105">
        <v>12</v>
      </c>
      <c r="T31" s="105">
        <v>12</v>
      </c>
      <c r="U31" s="105">
        <v>12</v>
      </c>
      <c r="V31" s="105">
        <v>12</v>
      </c>
      <c r="W31" s="105">
        <v>12</v>
      </c>
      <c r="X31" s="105">
        <v>12</v>
      </c>
      <c r="Y31" s="105">
        <v>12</v>
      </c>
      <c r="Z31" s="105">
        <v>12</v>
      </c>
      <c r="AA31" s="105">
        <v>12</v>
      </c>
      <c r="AB31" s="105">
        <v>12</v>
      </c>
      <c r="AC31" s="105">
        <v>12</v>
      </c>
      <c r="AD31" s="105">
        <v>12</v>
      </c>
      <c r="AE31" s="105">
        <v>12</v>
      </c>
      <c r="AF31" s="105">
        <v>12</v>
      </c>
      <c r="AG31" s="126">
        <v>12</v>
      </c>
      <c r="AH31" s="20">
        <f t="shared" si="2"/>
        <v>12</v>
      </c>
      <c r="AI31" s="19">
        <f t="shared" si="3"/>
        <v>12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12</v>
      </c>
      <c r="C32" s="105">
        <v>12</v>
      </c>
      <c r="D32" s="105">
        <v>12</v>
      </c>
      <c r="E32" s="105">
        <v>12</v>
      </c>
      <c r="F32" s="105">
        <v>12</v>
      </c>
      <c r="G32" s="105">
        <v>12</v>
      </c>
      <c r="H32" s="105">
        <v>12</v>
      </c>
      <c r="I32" s="105">
        <v>12</v>
      </c>
      <c r="J32" s="105">
        <v>12</v>
      </c>
      <c r="K32" s="105">
        <v>12</v>
      </c>
      <c r="L32" s="105">
        <v>12</v>
      </c>
      <c r="M32" s="105">
        <v>12</v>
      </c>
      <c r="N32" s="105">
        <v>12</v>
      </c>
      <c r="O32" s="105">
        <v>12</v>
      </c>
      <c r="P32" s="105">
        <v>12</v>
      </c>
      <c r="Q32" s="105">
        <v>12</v>
      </c>
      <c r="R32" s="105">
        <v>12</v>
      </c>
      <c r="S32" s="105">
        <v>12</v>
      </c>
      <c r="T32" s="105">
        <v>0</v>
      </c>
      <c r="U32" s="105">
        <v>12</v>
      </c>
      <c r="V32" s="105">
        <v>12</v>
      </c>
      <c r="W32" s="105">
        <v>12</v>
      </c>
      <c r="X32" s="105">
        <v>12</v>
      </c>
      <c r="Y32" s="105">
        <v>12</v>
      </c>
      <c r="Z32" s="105">
        <v>12</v>
      </c>
      <c r="AA32" s="105">
        <v>12</v>
      </c>
      <c r="AB32" s="105">
        <v>12</v>
      </c>
      <c r="AC32" s="105">
        <v>12</v>
      </c>
      <c r="AD32" s="105">
        <v>12</v>
      </c>
      <c r="AE32" s="105">
        <v>12</v>
      </c>
      <c r="AF32" s="105">
        <v>12</v>
      </c>
      <c r="AG32" s="126">
        <v>12</v>
      </c>
      <c r="AH32" s="20">
        <f t="shared" si="2"/>
        <v>12</v>
      </c>
      <c r="AI32" s="19">
        <f t="shared" si="3"/>
        <v>0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5</v>
      </c>
      <c r="C33" s="105">
        <v>5</v>
      </c>
      <c r="D33" s="105">
        <v>5</v>
      </c>
      <c r="E33" s="105">
        <v>5</v>
      </c>
      <c r="F33" s="105">
        <v>5</v>
      </c>
      <c r="G33" s="105">
        <v>5</v>
      </c>
      <c r="H33" s="105">
        <v>5</v>
      </c>
      <c r="I33" s="105">
        <v>5</v>
      </c>
      <c r="J33" s="105">
        <v>5</v>
      </c>
      <c r="K33" s="105">
        <v>5</v>
      </c>
      <c r="L33" s="105">
        <v>5</v>
      </c>
      <c r="M33" s="105">
        <v>5</v>
      </c>
      <c r="N33" s="105">
        <v>5</v>
      </c>
      <c r="O33" s="105">
        <v>5</v>
      </c>
      <c r="P33" s="105">
        <v>5</v>
      </c>
      <c r="Q33" s="105">
        <v>5</v>
      </c>
      <c r="R33" s="105">
        <v>5</v>
      </c>
      <c r="S33" s="105">
        <v>5</v>
      </c>
      <c r="T33" s="105">
        <v>5</v>
      </c>
      <c r="U33" s="105">
        <v>5</v>
      </c>
      <c r="V33" s="105">
        <v>5</v>
      </c>
      <c r="W33" s="105">
        <v>5</v>
      </c>
      <c r="X33" s="105">
        <v>5</v>
      </c>
      <c r="Y33" s="105">
        <v>5</v>
      </c>
      <c r="Z33" s="105">
        <v>5</v>
      </c>
      <c r="AA33" s="105">
        <v>5</v>
      </c>
      <c r="AB33" s="105">
        <v>5</v>
      </c>
      <c r="AC33" s="105">
        <v>5</v>
      </c>
      <c r="AD33" s="105">
        <v>5</v>
      </c>
      <c r="AE33" s="105">
        <v>5</v>
      </c>
      <c r="AF33" s="105">
        <v>5</v>
      </c>
      <c r="AG33" s="125">
        <v>22</v>
      </c>
      <c r="AH33" s="20">
        <f t="shared" si="2"/>
        <v>5</v>
      </c>
      <c r="AI33" s="19">
        <f t="shared" si="3"/>
        <v>5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12</v>
      </c>
      <c r="C34" s="105">
        <v>12</v>
      </c>
      <c r="D34" s="105">
        <v>12</v>
      </c>
      <c r="E34" s="105">
        <v>12</v>
      </c>
      <c r="F34" s="105">
        <v>12</v>
      </c>
      <c r="G34" s="105">
        <v>12</v>
      </c>
      <c r="H34" s="105">
        <v>12</v>
      </c>
      <c r="I34" s="105">
        <v>12</v>
      </c>
      <c r="J34" s="105">
        <v>12</v>
      </c>
      <c r="K34" s="105">
        <v>12</v>
      </c>
      <c r="L34" s="105">
        <v>12</v>
      </c>
      <c r="M34" s="105">
        <v>12</v>
      </c>
      <c r="N34" s="105">
        <v>12</v>
      </c>
      <c r="O34" s="105">
        <v>12</v>
      </c>
      <c r="P34" s="105">
        <v>12</v>
      </c>
      <c r="Q34" s="105">
        <v>12</v>
      </c>
      <c r="R34" s="105">
        <v>12</v>
      </c>
      <c r="S34" s="105">
        <v>12</v>
      </c>
      <c r="T34" s="105">
        <v>12</v>
      </c>
      <c r="U34" s="105">
        <v>12</v>
      </c>
      <c r="V34" s="105">
        <v>12</v>
      </c>
      <c r="W34" s="105">
        <v>12</v>
      </c>
      <c r="X34" s="105">
        <v>12</v>
      </c>
      <c r="Y34" s="105">
        <v>12</v>
      </c>
      <c r="Z34" s="105">
        <v>12</v>
      </c>
      <c r="AA34" s="105">
        <v>12</v>
      </c>
      <c r="AB34" s="105">
        <v>12</v>
      </c>
      <c r="AC34" s="105">
        <v>12</v>
      </c>
      <c r="AD34" s="105">
        <v>12</v>
      </c>
      <c r="AE34" s="105">
        <v>12</v>
      </c>
      <c r="AF34" s="105">
        <v>12</v>
      </c>
      <c r="AG34" s="96">
        <v>11.88</v>
      </c>
      <c r="AH34" s="20">
        <f t="shared" si="2"/>
        <v>12</v>
      </c>
      <c r="AI34" s="19">
        <f t="shared" si="3"/>
        <v>12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8</v>
      </c>
      <c r="C35" s="105">
        <v>8</v>
      </c>
      <c r="D35" s="105">
        <v>8</v>
      </c>
      <c r="E35" s="105">
        <v>8</v>
      </c>
      <c r="F35" s="105">
        <v>8</v>
      </c>
      <c r="G35" s="105">
        <v>8</v>
      </c>
      <c r="H35" s="105">
        <v>8</v>
      </c>
      <c r="I35" s="105">
        <v>8</v>
      </c>
      <c r="J35" s="105">
        <v>8</v>
      </c>
      <c r="K35" s="105">
        <v>8</v>
      </c>
      <c r="L35" s="105">
        <v>8</v>
      </c>
      <c r="M35" s="105">
        <v>8</v>
      </c>
      <c r="N35" s="105">
        <v>8</v>
      </c>
      <c r="O35" s="105">
        <v>8</v>
      </c>
      <c r="P35" s="105">
        <v>8</v>
      </c>
      <c r="Q35" s="105">
        <v>8</v>
      </c>
      <c r="R35" s="105">
        <v>8</v>
      </c>
      <c r="S35" s="105">
        <v>8</v>
      </c>
      <c r="T35" s="105">
        <v>8</v>
      </c>
      <c r="U35" s="105">
        <v>8</v>
      </c>
      <c r="V35" s="105">
        <v>8</v>
      </c>
      <c r="W35" s="105">
        <v>8</v>
      </c>
      <c r="X35" s="105">
        <v>8</v>
      </c>
      <c r="Y35" s="105">
        <v>8</v>
      </c>
      <c r="Z35" s="105">
        <v>8</v>
      </c>
      <c r="AA35" s="105">
        <v>8</v>
      </c>
      <c r="AB35" s="105">
        <v>8</v>
      </c>
      <c r="AC35" s="105">
        <v>8</v>
      </c>
      <c r="AD35" s="105">
        <v>8</v>
      </c>
      <c r="AE35" s="105">
        <v>8</v>
      </c>
      <c r="AF35" s="105">
        <v>8</v>
      </c>
      <c r="AG35" s="94">
        <v>11</v>
      </c>
      <c r="AH35" s="20">
        <f t="shared" si="2"/>
        <v>8</v>
      </c>
      <c r="AI35" s="19">
        <f t="shared" si="3"/>
        <v>8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>
        <v>9</v>
      </c>
      <c r="E36" s="105">
        <v>9</v>
      </c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>
        <v>9</v>
      </c>
      <c r="N36" s="105">
        <v>9</v>
      </c>
      <c r="O36" s="105">
        <v>9</v>
      </c>
      <c r="P36" s="105">
        <v>9</v>
      </c>
      <c r="Q36" s="105">
        <v>9</v>
      </c>
      <c r="R36" s="105">
        <v>9</v>
      </c>
      <c r="S36" s="105">
        <v>9</v>
      </c>
      <c r="T36" s="105">
        <v>9</v>
      </c>
      <c r="U36" s="105">
        <v>9</v>
      </c>
      <c r="V36" s="105">
        <v>9</v>
      </c>
      <c r="W36" s="105">
        <v>9</v>
      </c>
      <c r="X36" s="105">
        <v>9</v>
      </c>
      <c r="Y36" s="105">
        <v>9</v>
      </c>
      <c r="Z36" s="105">
        <v>9</v>
      </c>
      <c r="AA36" s="105">
        <v>9</v>
      </c>
      <c r="AB36" s="105">
        <v>9</v>
      </c>
      <c r="AC36" s="105">
        <v>9</v>
      </c>
      <c r="AD36" s="105">
        <v>9</v>
      </c>
      <c r="AE36" s="105">
        <v>9</v>
      </c>
      <c r="AF36" s="105">
        <v>9</v>
      </c>
      <c r="AG36" s="94">
        <v>10</v>
      </c>
      <c r="AH36" s="20">
        <f t="shared" si="2"/>
        <v>9</v>
      </c>
      <c r="AI36" s="19">
        <f t="shared" si="3"/>
        <v>9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>
        <v>0</v>
      </c>
      <c r="N37" s="105">
        <v>0</v>
      </c>
      <c r="O37" s="105">
        <v>0</v>
      </c>
      <c r="P37" s="105">
        <v>0</v>
      </c>
      <c r="Q37" s="105">
        <v>0</v>
      </c>
      <c r="R37" s="105">
        <v>0</v>
      </c>
      <c r="S37" s="105">
        <v>2</v>
      </c>
      <c r="T37" s="105">
        <v>2</v>
      </c>
      <c r="U37" s="105">
        <v>2</v>
      </c>
      <c r="V37" s="105">
        <v>2</v>
      </c>
      <c r="W37" s="105">
        <v>2</v>
      </c>
      <c r="X37" s="105">
        <v>0</v>
      </c>
      <c r="Y37" s="105">
        <v>0</v>
      </c>
      <c r="Z37" s="105">
        <v>0</v>
      </c>
      <c r="AA37" s="105">
        <v>0</v>
      </c>
      <c r="AB37" s="105">
        <v>0</v>
      </c>
      <c r="AC37" s="105">
        <v>0</v>
      </c>
      <c r="AD37" s="105">
        <v>0</v>
      </c>
      <c r="AE37" s="105">
        <v>0</v>
      </c>
      <c r="AF37" s="105">
        <v>0</v>
      </c>
      <c r="AG37" s="94">
        <v>10</v>
      </c>
      <c r="AH37" s="20">
        <f t="shared" si="2"/>
        <v>2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>
        <v>300</v>
      </c>
      <c r="AC38" s="113">
        <v>300</v>
      </c>
      <c r="AD38" s="113">
        <v>300</v>
      </c>
      <c r="AE38" s="113">
        <v>300</v>
      </c>
      <c r="AF38" s="113">
        <v>300</v>
      </c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v>168</v>
      </c>
      <c r="C39" s="119">
        <v>150</v>
      </c>
      <c r="D39" s="119">
        <v>53</v>
      </c>
      <c r="E39" s="119">
        <f>48+94</f>
        <v>142</v>
      </c>
      <c r="F39" s="119">
        <f>48+94</f>
        <v>142</v>
      </c>
      <c r="G39" s="119">
        <f>59+93</f>
        <v>152</v>
      </c>
      <c r="H39" s="119">
        <v>150</v>
      </c>
      <c r="I39" s="119">
        <v>150</v>
      </c>
      <c r="J39" s="119">
        <v>150</v>
      </c>
      <c r="K39" s="119">
        <v>150</v>
      </c>
      <c r="L39" s="113">
        <v>144</v>
      </c>
      <c r="M39" s="113">
        <f>83.3+91.7</f>
        <v>175</v>
      </c>
      <c r="N39" s="113">
        <f>83.3+91.7</f>
        <v>175</v>
      </c>
      <c r="O39" s="113">
        <f>78.6+91.9</f>
        <v>170.5</v>
      </c>
      <c r="P39" s="113">
        <f>81.5+85.5</f>
        <v>167</v>
      </c>
      <c r="Q39" s="113">
        <f>81.4+91.2</f>
        <v>172.60000000000002</v>
      </c>
      <c r="R39" s="113">
        <f>75.3+75.2</f>
        <v>150.5</v>
      </c>
      <c r="S39" s="119">
        <f>63.4+72.4</f>
        <v>135.80000000000001</v>
      </c>
      <c r="T39" s="119">
        <f>75.3+72.4</f>
        <v>147.69999999999999</v>
      </c>
      <c r="U39" s="119">
        <f>72+76</f>
        <v>148</v>
      </c>
      <c r="V39" s="119">
        <f>76+77.1</f>
        <v>153.1</v>
      </c>
      <c r="W39" s="119">
        <f>83.1+75</f>
        <v>158.1</v>
      </c>
      <c r="X39" s="119">
        <f>86.4+74.3</f>
        <v>160.69999999999999</v>
      </c>
      <c r="Y39" s="119">
        <v>151.60000000000002</v>
      </c>
      <c r="Z39" s="119">
        <f>89.5+74.3</f>
        <v>163.80000000000001</v>
      </c>
      <c r="AA39" s="119">
        <f>94.9+73.8</f>
        <v>168.7</v>
      </c>
      <c r="AB39" s="119">
        <f>94.9+73.8</f>
        <v>168.7</v>
      </c>
      <c r="AC39" s="119">
        <f>74.8+95.3</f>
        <v>170.1</v>
      </c>
      <c r="AD39" s="119">
        <f>74.8+95.3</f>
        <v>170.1</v>
      </c>
      <c r="AE39" s="119">
        <v>160</v>
      </c>
      <c r="AF39" s="119">
        <v>160</v>
      </c>
      <c r="AG39" s="94">
        <v>240</v>
      </c>
      <c r="AH39" s="20">
        <f t="shared" si="2"/>
        <v>175</v>
      </c>
      <c r="AI39" s="19">
        <f t="shared" si="3"/>
        <v>53</v>
      </c>
      <c r="AK39" s="41"/>
    </row>
    <row r="40" spans="1:88" ht="15.75" thickBot="1" x14ac:dyDescent="0.3">
      <c r="A40" s="118" t="s">
        <v>195</v>
      </c>
      <c r="B40" s="86">
        <f t="shared" ref="B40:AG40" si="4">SUM(B11:B38)</f>
        <v>766.8</v>
      </c>
      <c r="C40" s="86">
        <f t="shared" si="4"/>
        <v>766.8</v>
      </c>
      <c r="D40" s="86">
        <f t="shared" si="4"/>
        <v>766.8</v>
      </c>
      <c r="E40" s="86">
        <f t="shared" si="4"/>
        <v>754.8</v>
      </c>
      <c r="F40" s="86">
        <f t="shared" si="4"/>
        <v>754.8</v>
      </c>
      <c r="G40" s="86">
        <f t="shared" si="4"/>
        <v>754.8</v>
      </c>
      <c r="H40" s="86">
        <f t="shared" si="4"/>
        <v>761.8</v>
      </c>
      <c r="I40" s="86">
        <f t="shared" si="4"/>
        <v>761.8</v>
      </c>
      <c r="J40" s="86">
        <f t="shared" si="4"/>
        <v>789.3</v>
      </c>
      <c r="K40" s="86">
        <f t="shared" si="4"/>
        <v>789.3</v>
      </c>
      <c r="L40" s="86">
        <f t="shared" si="4"/>
        <v>803.3</v>
      </c>
      <c r="M40" s="86">
        <f t="shared" ref="M40" si="5">SUM(M11:M38)</f>
        <v>831.3</v>
      </c>
      <c r="N40" s="86">
        <f t="shared" si="4"/>
        <v>843.3</v>
      </c>
      <c r="O40" s="86">
        <f t="shared" si="4"/>
        <v>843.3</v>
      </c>
      <c r="P40" s="86">
        <f t="shared" si="4"/>
        <v>843.3</v>
      </c>
      <c r="Q40" s="86">
        <f t="shared" si="4"/>
        <v>843.6</v>
      </c>
      <c r="R40" s="86">
        <f t="shared" si="4"/>
        <v>843.6</v>
      </c>
      <c r="S40" s="86">
        <f t="shared" si="4"/>
        <v>846.6</v>
      </c>
      <c r="T40" s="86">
        <f t="shared" si="4"/>
        <v>834.6</v>
      </c>
      <c r="U40" s="86">
        <f t="shared" si="4"/>
        <v>829.2</v>
      </c>
      <c r="V40" s="86">
        <f t="shared" si="4"/>
        <v>831.6</v>
      </c>
      <c r="W40" s="86">
        <f t="shared" si="4"/>
        <v>828.6</v>
      </c>
      <c r="X40" s="86">
        <f t="shared" si="4"/>
        <v>831.6</v>
      </c>
      <c r="Y40" s="86">
        <f t="shared" si="4"/>
        <v>836.6</v>
      </c>
      <c r="Z40" s="86">
        <f t="shared" si="4"/>
        <v>836.6</v>
      </c>
      <c r="AA40" s="86">
        <f t="shared" si="4"/>
        <v>836.6</v>
      </c>
      <c r="AB40" s="86">
        <f t="shared" si="4"/>
        <v>836.6</v>
      </c>
      <c r="AC40" s="86">
        <f t="shared" si="4"/>
        <v>836.6</v>
      </c>
      <c r="AD40" s="86">
        <f t="shared" si="4"/>
        <v>829.40000000000009</v>
      </c>
      <c r="AE40" s="86">
        <f t="shared" si="4"/>
        <v>792.40000000000009</v>
      </c>
      <c r="AF40" s="86">
        <f t="shared" si="4"/>
        <v>777.40000000000009</v>
      </c>
      <c r="AG40" s="101">
        <f t="shared" si="4"/>
        <v>707.78000000000009</v>
      </c>
      <c r="AH40" s="20">
        <f t="shared" si="2"/>
        <v>846.6</v>
      </c>
      <c r="AI40" s="19">
        <f t="shared" si="3"/>
        <v>754.8</v>
      </c>
      <c r="AK40" s="41"/>
    </row>
    <row r="41" spans="1:88" x14ac:dyDescent="0.25">
      <c r="A41" s="117" t="s">
        <v>194</v>
      </c>
      <c r="B41" s="105">
        <v>340</v>
      </c>
      <c r="C41" s="105">
        <v>320</v>
      </c>
      <c r="D41" s="105">
        <v>320</v>
      </c>
      <c r="E41" s="105">
        <v>300</v>
      </c>
      <c r="F41" s="105">
        <v>300</v>
      </c>
      <c r="G41" s="105">
        <v>300</v>
      </c>
      <c r="H41" s="105">
        <v>300</v>
      </c>
      <c r="I41" s="105">
        <v>330</v>
      </c>
      <c r="J41" s="105">
        <v>390</v>
      </c>
      <c r="K41" s="105">
        <v>400</v>
      </c>
      <c r="L41" s="105">
        <v>400</v>
      </c>
      <c r="M41" s="105">
        <v>400</v>
      </c>
      <c r="N41" s="105">
        <v>380</v>
      </c>
      <c r="O41" s="105">
        <v>380</v>
      </c>
      <c r="P41" s="105">
        <v>330</v>
      </c>
      <c r="Q41" s="105">
        <v>310</v>
      </c>
      <c r="R41" s="105">
        <v>335</v>
      </c>
      <c r="S41" s="105">
        <v>400</v>
      </c>
      <c r="T41" s="105">
        <v>400</v>
      </c>
      <c r="U41" s="105">
        <v>456</v>
      </c>
      <c r="V41" s="105">
        <v>420</v>
      </c>
      <c r="W41" s="105">
        <v>420</v>
      </c>
      <c r="X41" s="105">
        <v>456</v>
      </c>
      <c r="Y41" s="105">
        <v>456</v>
      </c>
      <c r="Z41" s="105">
        <v>456</v>
      </c>
      <c r="AA41" s="105">
        <v>456</v>
      </c>
      <c r="AB41" s="105">
        <v>420</v>
      </c>
      <c r="AC41" s="105">
        <v>400</v>
      </c>
      <c r="AD41" s="105">
        <v>320</v>
      </c>
      <c r="AE41" s="105">
        <v>300</v>
      </c>
      <c r="AF41" s="105">
        <v>320</v>
      </c>
      <c r="AG41" s="96">
        <v>456</v>
      </c>
      <c r="AH41" s="20">
        <f t="shared" si="2"/>
        <v>456</v>
      </c>
      <c r="AI41" s="19">
        <f t="shared" si="3"/>
        <v>300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>
        <v>60</v>
      </c>
      <c r="N42" s="80">
        <v>60</v>
      </c>
      <c r="O42" s="80">
        <v>60</v>
      </c>
      <c r="P42" s="80">
        <v>60</v>
      </c>
      <c r="Q42" s="80">
        <v>60</v>
      </c>
      <c r="R42" s="80">
        <v>60</v>
      </c>
      <c r="S42" s="80">
        <v>60</v>
      </c>
      <c r="T42" s="80">
        <v>60</v>
      </c>
      <c r="U42" s="80">
        <v>60</v>
      </c>
      <c r="V42" s="80">
        <v>60</v>
      </c>
      <c r="W42" s="80">
        <v>60</v>
      </c>
      <c r="X42" s="80">
        <v>60</v>
      </c>
      <c r="Y42" s="80">
        <v>60</v>
      </c>
      <c r="Z42" s="80">
        <v>60</v>
      </c>
      <c r="AA42" s="80">
        <v>60</v>
      </c>
      <c r="AB42" s="80">
        <v>60</v>
      </c>
      <c r="AC42" s="80">
        <v>60</v>
      </c>
      <c r="AD42" s="80">
        <v>60</v>
      </c>
      <c r="AE42" s="80">
        <v>60</v>
      </c>
      <c r="AF42" s="80">
        <v>60</v>
      </c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22.4</v>
      </c>
      <c r="K43" s="107">
        <v>22.4</v>
      </c>
      <c r="L43" s="107">
        <v>22.5</v>
      </c>
      <c r="M43" s="107">
        <v>22.5</v>
      </c>
      <c r="N43" s="107">
        <v>22.5</v>
      </c>
      <c r="O43" s="107">
        <v>22.5</v>
      </c>
      <c r="P43" s="107">
        <v>22.5</v>
      </c>
      <c r="Q43" s="107">
        <v>0</v>
      </c>
      <c r="R43" s="107">
        <v>11</v>
      </c>
      <c r="S43" s="107">
        <v>22</v>
      </c>
      <c r="T43" s="107">
        <v>22</v>
      </c>
      <c r="U43" s="107">
        <v>22</v>
      </c>
      <c r="V43" s="107">
        <v>22</v>
      </c>
      <c r="W43" s="107">
        <v>22</v>
      </c>
      <c r="X43" s="107">
        <v>22</v>
      </c>
      <c r="Y43" s="107">
        <v>22</v>
      </c>
      <c r="Z43" s="107">
        <v>22</v>
      </c>
      <c r="AA43" s="107">
        <v>22</v>
      </c>
      <c r="AB43" s="107">
        <v>22</v>
      </c>
      <c r="AC43" s="107">
        <v>22</v>
      </c>
      <c r="AD43" s="107">
        <v>22</v>
      </c>
      <c r="AE43" s="107">
        <v>22</v>
      </c>
      <c r="AF43" s="107">
        <v>22</v>
      </c>
      <c r="AG43" s="106">
        <v>22.1</v>
      </c>
      <c r="AH43" s="20">
        <f t="shared" si="2"/>
        <v>22.5</v>
      </c>
      <c r="AI43" s="19">
        <f t="shared" si="3"/>
        <v>0</v>
      </c>
      <c r="AK43" s="41"/>
    </row>
    <row r="44" spans="1:88" ht="15.75" thickBot="1" x14ac:dyDescent="0.3">
      <c r="A44" s="114" t="s">
        <v>191</v>
      </c>
      <c r="B44" s="86">
        <f t="shared" ref="B44:AG44" si="6">SUM(B41:B43)</f>
        <v>422</v>
      </c>
      <c r="C44" s="86">
        <f t="shared" si="6"/>
        <v>402</v>
      </c>
      <c r="D44" s="86">
        <f t="shared" si="6"/>
        <v>402</v>
      </c>
      <c r="E44" s="86">
        <f t="shared" si="6"/>
        <v>382</v>
      </c>
      <c r="F44" s="86">
        <f t="shared" si="6"/>
        <v>382</v>
      </c>
      <c r="G44" s="86">
        <f t="shared" si="6"/>
        <v>382</v>
      </c>
      <c r="H44" s="86">
        <f t="shared" si="6"/>
        <v>382</v>
      </c>
      <c r="I44" s="86">
        <f t="shared" si="6"/>
        <v>412</v>
      </c>
      <c r="J44" s="86">
        <f t="shared" si="6"/>
        <v>472.4</v>
      </c>
      <c r="K44" s="86">
        <f t="shared" si="6"/>
        <v>482.4</v>
      </c>
      <c r="L44" s="86">
        <f t="shared" si="6"/>
        <v>482.5</v>
      </c>
      <c r="M44" s="86">
        <f t="shared" si="6"/>
        <v>482.5</v>
      </c>
      <c r="N44" s="86">
        <f t="shared" si="6"/>
        <v>462.5</v>
      </c>
      <c r="O44" s="86">
        <f t="shared" si="6"/>
        <v>462.5</v>
      </c>
      <c r="P44" s="86">
        <f t="shared" si="6"/>
        <v>412.5</v>
      </c>
      <c r="Q44" s="86">
        <f t="shared" si="6"/>
        <v>370</v>
      </c>
      <c r="R44" s="86">
        <f t="shared" si="6"/>
        <v>406</v>
      </c>
      <c r="S44" s="86">
        <f t="shared" si="6"/>
        <v>482</v>
      </c>
      <c r="T44" s="86">
        <f t="shared" si="6"/>
        <v>482</v>
      </c>
      <c r="U44" s="86">
        <f t="shared" si="6"/>
        <v>538</v>
      </c>
      <c r="V44" s="86">
        <f t="shared" si="6"/>
        <v>502</v>
      </c>
      <c r="W44" s="86">
        <f t="shared" si="6"/>
        <v>502</v>
      </c>
      <c r="X44" s="86">
        <f t="shared" si="6"/>
        <v>538</v>
      </c>
      <c r="Y44" s="86">
        <f t="shared" si="6"/>
        <v>538</v>
      </c>
      <c r="Z44" s="86">
        <f t="shared" si="6"/>
        <v>538</v>
      </c>
      <c r="AA44" s="86">
        <f t="shared" si="6"/>
        <v>538</v>
      </c>
      <c r="AB44" s="86">
        <f t="shared" si="6"/>
        <v>502</v>
      </c>
      <c r="AC44" s="86">
        <f t="shared" si="6"/>
        <v>482</v>
      </c>
      <c r="AD44" s="86">
        <f t="shared" si="6"/>
        <v>402</v>
      </c>
      <c r="AE44" s="86">
        <f t="shared" si="6"/>
        <v>382</v>
      </c>
      <c r="AF44" s="86">
        <f t="shared" si="6"/>
        <v>402</v>
      </c>
      <c r="AG44" s="101">
        <f t="shared" si="6"/>
        <v>538.1</v>
      </c>
      <c r="AH44" s="20">
        <f t="shared" si="2"/>
        <v>538</v>
      </c>
      <c r="AI44" s="19">
        <f t="shared" si="3"/>
        <v>370</v>
      </c>
      <c r="AK44" s="41"/>
    </row>
    <row r="45" spans="1:88" x14ac:dyDescent="0.25">
      <c r="A45" s="97" t="s">
        <v>190</v>
      </c>
      <c r="B45" s="105">
        <v>91</v>
      </c>
      <c r="C45" s="105">
        <v>91</v>
      </c>
      <c r="D45" s="105">
        <v>91</v>
      </c>
      <c r="E45" s="105">
        <v>81</v>
      </c>
      <c r="F45" s="105">
        <v>81</v>
      </c>
      <c r="G45" s="105">
        <v>91</v>
      </c>
      <c r="H45" s="105">
        <v>91</v>
      </c>
      <c r="I45" s="105">
        <v>91</v>
      </c>
      <c r="J45" s="105">
        <v>93</v>
      </c>
      <c r="K45" s="105">
        <v>93</v>
      </c>
      <c r="L45" s="105">
        <v>92</v>
      </c>
      <c r="M45" s="105">
        <v>92</v>
      </c>
      <c r="N45" s="105">
        <v>92</v>
      </c>
      <c r="O45" s="105">
        <v>92</v>
      </c>
      <c r="P45" s="105">
        <v>92</v>
      </c>
      <c r="Q45" s="105">
        <v>92</v>
      </c>
      <c r="R45" s="105">
        <v>92</v>
      </c>
      <c r="S45" s="105">
        <v>92</v>
      </c>
      <c r="T45" s="105">
        <v>92.1</v>
      </c>
      <c r="U45" s="105">
        <v>92.1</v>
      </c>
      <c r="V45" s="105">
        <v>92.1</v>
      </c>
      <c r="W45" s="105">
        <v>92.1</v>
      </c>
      <c r="X45" s="105">
        <v>92.1</v>
      </c>
      <c r="Y45" s="105">
        <v>92.1</v>
      </c>
      <c r="Z45" s="105">
        <v>92.1</v>
      </c>
      <c r="AA45" s="105">
        <v>92.1</v>
      </c>
      <c r="AB45" s="105">
        <v>92.1</v>
      </c>
      <c r="AC45" s="105">
        <v>92.1</v>
      </c>
      <c r="AD45" s="105">
        <v>92.1</v>
      </c>
      <c r="AE45" s="105">
        <v>92.1</v>
      </c>
      <c r="AF45" s="105">
        <v>91</v>
      </c>
      <c r="AG45" s="96">
        <v>144</v>
      </c>
      <c r="AH45" s="20">
        <f t="shared" si="2"/>
        <v>93</v>
      </c>
      <c r="AI45" s="19">
        <f t="shared" si="3"/>
        <v>81</v>
      </c>
      <c r="AK45" s="41"/>
    </row>
    <row r="46" spans="1:88" x14ac:dyDescent="0.25">
      <c r="A46" s="95" t="s">
        <v>189</v>
      </c>
      <c r="B46" s="80">
        <v>70.400000000000006</v>
      </c>
      <c r="C46" s="80">
        <v>70.400000000000006</v>
      </c>
      <c r="D46" s="80">
        <v>70.400000000000006</v>
      </c>
      <c r="E46" s="80">
        <v>72.2</v>
      </c>
      <c r="F46" s="80">
        <v>72.2</v>
      </c>
      <c r="G46" s="80">
        <v>72.2</v>
      </c>
      <c r="H46" s="80">
        <v>72.2</v>
      </c>
      <c r="I46" s="80">
        <v>62</v>
      </c>
      <c r="J46" s="80">
        <v>65</v>
      </c>
      <c r="K46" s="80">
        <v>72</v>
      </c>
      <c r="L46" s="80">
        <v>72.5</v>
      </c>
      <c r="M46" s="80">
        <v>72.5</v>
      </c>
      <c r="N46" s="80">
        <v>72.5</v>
      </c>
      <c r="O46" s="80">
        <v>72.5</v>
      </c>
      <c r="P46" s="80">
        <v>73.400000000000006</v>
      </c>
      <c r="Q46" s="80">
        <v>73.400000000000006</v>
      </c>
      <c r="R46" s="80">
        <v>70.3</v>
      </c>
      <c r="S46" s="80">
        <v>70.3</v>
      </c>
      <c r="T46" s="80">
        <v>70.099999999999994</v>
      </c>
      <c r="U46" s="80">
        <v>70.099999999999994</v>
      </c>
      <c r="V46" s="80">
        <v>73.3</v>
      </c>
      <c r="W46" s="80">
        <v>73.3</v>
      </c>
      <c r="X46" s="80">
        <v>73.3</v>
      </c>
      <c r="Y46" s="80">
        <v>73.3</v>
      </c>
      <c r="Z46" s="80">
        <v>73.3</v>
      </c>
      <c r="AA46" s="80">
        <v>73.3</v>
      </c>
      <c r="AB46" s="80">
        <v>73.3</v>
      </c>
      <c r="AC46" s="80">
        <v>73.3</v>
      </c>
      <c r="AD46" s="80">
        <v>72.2</v>
      </c>
      <c r="AE46" s="80">
        <v>72.2</v>
      </c>
      <c r="AF46" s="80">
        <v>71.8</v>
      </c>
      <c r="AG46" s="94">
        <v>70</v>
      </c>
      <c r="AH46" s="20">
        <f t="shared" si="2"/>
        <v>73.400000000000006</v>
      </c>
      <c r="AI46" s="19">
        <f t="shared" si="3"/>
        <v>62</v>
      </c>
      <c r="AK46" s="41"/>
    </row>
    <row r="47" spans="1:88" x14ac:dyDescent="0.25">
      <c r="A47" s="95" t="s">
        <v>188</v>
      </c>
      <c r="B47" s="80">
        <v>40.700000000000003</v>
      </c>
      <c r="C47" s="80">
        <v>40.700000000000003</v>
      </c>
      <c r="D47" s="80">
        <v>40.700000000000003</v>
      </c>
      <c r="E47" s="80">
        <v>40.700000000000003</v>
      </c>
      <c r="F47" s="80">
        <v>40.700000000000003</v>
      </c>
      <c r="G47" s="80">
        <v>40.700000000000003</v>
      </c>
      <c r="H47" s="80">
        <v>40.700000000000003</v>
      </c>
      <c r="I47" s="80">
        <v>40.700000000000003</v>
      </c>
      <c r="J47" s="80">
        <v>42</v>
      </c>
      <c r="K47" s="80">
        <v>42</v>
      </c>
      <c r="L47" s="80">
        <v>42</v>
      </c>
      <c r="M47" s="80">
        <v>41</v>
      </c>
      <c r="N47" s="80">
        <v>41</v>
      </c>
      <c r="O47" s="80">
        <v>41</v>
      </c>
      <c r="P47" s="80">
        <v>41.9</v>
      </c>
      <c r="Q47" s="80">
        <v>41.9</v>
      </c>
      <c r="R47" s="80">
        <v>41.5</v>
      </c>
      <c r="S47" s="80">
        <v>41.5</v>
      </c>
      <c r="T47" s="80">
        <v>41.4</v>
      </c>
      <c r="U47" s="80">
        <v>41.4</v>
      </c>
      <c r="V47" s="80">
        <v>41.5</v>
      </c>
      <c r="W47" s="80">
        <v>41.5</v>
      </c>
      <c r="X47" s="80">
        <v>41.5</v>
      </c>
      <c r="Y47" s="80">
        <v>41.5</v>
      </c>
      <c r="Z47" s="80">
        <v>41.5</v>
      </c>
      <c r="AA47" s="80">
        <v>41.5</v>
      </c>
      <c r="AB47" s="80">
        <v>41.5</v>
      </c>
      <c r="AC47" s="80">
        <v>41.5</v>
      </c>
      <c r="AD47" s="80">
        <v>40.6</v>
      </c>
      <c r="AE47" s="80">
        <v>40.6</v>
      </c>
      <c r="AF47" s="80">
        <v>41.4</v>
      </c>
      <c r="AG47" s="94">
        <v>69</v>
      </c>
      <c r="AH47" s="20">
        <f t="shared" si="2"/>
        <v>42</v>
      </c>
      <c r="AI47" s="19">
        <f t="shared" si="3"/>
        <v>40.6</v>
      </c>
      <c r="AK47" s="41"/>
    </row>
    <row r="48" spans="1:88" x14ac:dyDescent="0.25">
      <c r="A48" s="95" t="s">
        <v>187</v>
      </c>
      <c r="B48" s="113">
        <v>61.4</v>
      </c>
      <c r="C48" s="113">
        <v>61.4</v>
      </c>
      <c r="D48" s="113">
        <v>61.4</v>
      </c>
      <c r="E48" s="113">
        <v>61.4</v>
      </c>
      <c r="F48" s="113">
        <v>61.4</v>
      </c>
      <c r="G48" s="113">
        <v>61.4</v>
      </c>
      <c r="H48" s="113">
        <v>61.4</v>
      </c>
      <c r="I48" s="113">
        <v>61.4</v>
      </c>
      <c r="J48" s="113">
        <v>61</v>
      </c>
      <c r="K48" s="113">
        <v>61</v>
      </c>
      <c r="L48" s="113">
        <v>61</v>
      </c>
      <c r="M48" s="113">
        <v>60.9</v>
      </c>
      <c r="N48" s="113">
        <v>60.9</v>
      </c>
      <c r="O48" s="113">
        <v>60.9</v>
      </c>
      <c r="P48" s="113">
        <v>60.9</v>
      </c>
      <c r="Q48" s="113">
        <v>60.9</v>
      </c>
      <c r="R48" s="113">
        <v>60.7</v>
      </c>
      <c r="S48" s="113">
        <v>60.7</v>
      </c>
      <c r="T48" s="105">
        <v>60.9</v>
      </c>
      <c r="U48" s="105">
        <v>60.9</v>
      </c>
      <c r="V48" s="80">
        <v>60.9</v>
      </c>
      <c r="W48" s="80">
        <v>60.9</v>
      </c>
      <c r="X48" s="80">
        <v>60.9</v>
      </c>
      <c r="Y48" s="80">
        <v>60.9</v>
      </c>
      <c r="Z48" s="80">
        <v>60.9</v>
      </c>
      <c r="AA48" s="80">
        <v>60.9</v>
      </c>
      <c r="AB48" s="80">
        <v>60.9</v>
      </c>
      <c r="AC48" s="80">
        <v>60.9</v>
      </c>
      <c r="AD48" s="80">
        <v>60.9</v>
      </c>
      <c r="AE48" s="80">
        <v>60.9</v>
      </c>
      <c r="AF48" s="80">
        <v>60.9</v>
      </c>
      <c r="AG48" s="94">
        <v>60</v>
      </c>
      <c r="AH48" s="20">
        <f t="shared" si="2"/>
        <v>61.4</v>
      </c>
      <c r="AI48" s="19">
        <f t="shared" si="3"/>
        <v>60.7</v>
      </c>
      <c r="AK48" s="41"/>
    </row>
    <row r="49" spans="1:41" x14ac:dyDescent="0.25">
      <c r="A49" s="95" t="s">
        <v>186</v>
      </c>
      <c r="B49" s="113">
        <v>0</v>
      </c>
      <c r="C49" s="113">
        <v>0</v>
      </c>
      <c r="D49" s="113">
        <v>0</v>
      </c>
      <c r="E49" s="113">
        <v>0</v>
      </c>
      <c r="F49" s="113">
        <v>0</v>
      </c>
      <c r="G49" s="113">
        <v>0</v>
      </c>
      <c r="H49" s="113">
        <v>0</v>
      </c>
      <c r="I49" s="113">
        <v>0</v>
      </c>
      <c r="J49" s="113">
        <v>0</v>
      </c>
      <c r="K49" s="113">
        <v>0</v>
      </c>
      <c r="L49" s="113">
        <v>0</v>
      </c>
      <c r="M49" s="105">
        <v>0</v>
      </c>
      <c r="N49" s="105">
        <v>0</v>
      </c>
      <c r="O49" s="105">
        <v>0</v>
      </c>
      <c r="P49" s="105">
        <v>0</v>
      </c>
      <c r="Q49" s="105">
        <v>0</v>
      </c>
      <c r="R49" s="105">
        <v>0</v>
      </c>
      <c r="S49" s="105">
        <v>0</v>
      </c>
      <c r="T49" s="105">
        <v>0</v>
      </c>
      <c r="U49" s="105">
        <v>0</v>
      </c>
      <c r="V49" s="105">
        <v>0</v>
      </c>
      <c r="W49" s="105">
        <v>0</v>
      </c>
      <c r="X49" s="105">
        <v>0</v>
      </c>
      <c r="Y49" s="105">
        <v>0</v>
      </c>
      <c r="Z49" s="105">
        <v>0</v>
      </c>
      <c r="AA49" s="105">
        <v>0</v>
      </c>
      <c r="AB49" s="105">
        <v>0</v>
      </c>
      <c r="AC49" s="105">
        <v>0</v>
      </c>
      <c r="AD49" s="105">
        <v>0</v>
      </c>
      <c r="AE49" s="105">
        <v>0</v>
      </c>
      <c r="AF49" s="105">
        <v>0</v>
      </c>
      <c r="AG49" s="94">
        <v>30</v>
      </c>
      <c r="AH49" s="20">
        <f t="shared" si="2"/>
        <v>0</v>
      </c>
      <c r="AI49" s="19">
        <f t="shared" si="3"/>
        <v>0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2.5</v>
      </c>
      <c r="M50" s="80">
        <v>2.5</v>
      </c>
      <c r="N50" s="80">
        <v>2.5</v>
      </c>
      <c r="O50" s="80">
        <v>2.5</v>
      </c>
      <c r="P50" s="80">
        <v>2.5</v>
      </c>
      <c r="Q50" s="80">
        <v>2.5</v>
      </c>
      <c r="R50" s="80">
        <v>2.5</v>
      </c>
      <c r="S50" s="80">
        <v>10</v>
      </c>
      <c r="T50" s="80">
        <v>10</v>
      </c>
      <c r="U50" s="80">
        <v>10</v>
      </c>
      <c r="V50" s="80">
        <v>10</v>
      </c>
      <c r="W50" s="80">
        <v>10</v>
      </c>
      <c r="X50" s="80">
        <v>0</v>
      </c>
      <c r="Y50" s="80">
        <v>0</v>
      </c>
      <c r="Z50" s="80">
        <v>0</v>
      </c>
      <c r="AA50" s="80">
        <v>0</v>
      </c>
      <c r="AB50" s="80">
        <v>0</v>
      </c>
      <c r="AC50" s="80">
        <v>0</v>
      </c>
      <c r="AD50" s="80">
        <v>0</v>
      </c>
      <c r="AE50" s="80">
        <v>0</v>
      </c>
      <c r="AF50" s="80">
        <v>0</v>
      </c>
      <c r="AG50" s="94">
        <v>25</v>
      </c>
      <c r="AH50" s="20">
        <f t="shared" si="2"/>
        <v>10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0</v>
      </c>
      <c r="C51" s="80">
        <v>0</v>
      </c>
      <c r="D51" s="80">
        <v>0</v>
      </c>
      <c r="E51" s="80">
        <v>0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>
        <v>0</v>
      </c>
      <c r="L51" s="80">
        <v>0</v>
      </c>
      <c r="M51" s="80">
        <v>0</v>
      </c>
      <c r="N51" s="80">
        <v>0</v>
      </c>
      <c r="O51" s="80">
        <v>0</v>
      </c>
      <c r="P51" s="80">
        <v>0</v>
      </c>
      <c r="Q51" s="80">
        <v>0</v>
      </c>
      <c r="R51" s="80">
        <v>0</v>
      </c>
      <c r="S51" s="80">
        <v>0</v>
      </c>
      <c r="T51" s="80">
        <v>0</v>
      </c>
      <c r="U51" s="80">
        <v>0</v>
      </c>
      <c r="V51" s="80">
        <v>0</v>
      </c>
      <c r="W51" s="80">
        <v>0</v>
      </c>
      <c r="X51" s="80">
        <v>0</v>
      </c>
      <c r="Y51" s="80">
        <v>0</v>
      </c>
      <c r="Z51" s="80">
        <v>0</v>
      </c>
      <c r="AA51" s="80">
        <v>0</v>
      </c>
      <c r="AB51" s="80">
        <v>0</v>
      </c>
      <c r="AC51" s="80">
        <v>0</v>
      </c>
      <c r="AD51" s="80">
        <v>0</v>
      </c>
      <c r="AE51" s="80">
        <v>0</v>
      </c>
      <c r="AF51" s="80">
        <v>0</v>
      </c>
      <c r="AG51" s="94">
        <v>24</v>
      </c>
      <c r="AH51" s="20">
        <f t="shared" si="2"/>
        <v>0</v>
      </c>
      <c r="AI51" s="19">
        <f t="shared" si="3"/>
        <v>0</v>
      </c>
      <c r="AK51" s="41"/>
    </row>
    <row r="52" spans="1:41" x14ac:dyDescent="0.25">
      <c r="A52" s="95" t="s">
        <v>183</v>
      </c>
      <c r="B52" s="80">
        <v>3</v>
      </c>
      <c r="C52" s="80">
        <v>3</v>
      </c>
      <c r="D52" s="80">
        <v>3</v>
      </c>
      <c r="E52" s="80">
        <v>3</v>
      </c>
      <c r="F52" s="80">
        <v>3</v>
      </c>
      <c r="G52" s="80">
        <v>3</v>
      </c>
      <c r="H52" s="80">
        <v>3</v>
      </c>
      <c r="I52" s="80">
        <v>3</v>
      </c>
      <c r="J52" s="80">
        <v>3</v>
      </c>
      <c r="K52" s="80">
        <v>3</v>
      </c>
      <c r="L52" s="80">
        <v>3</v>
      </c>
      <c r="M52" s="80">
        <v>3</v>
      </c>
      <c r="N52" s="80">
        <v>3</v>
      </c>
      <c r="O52" s="80">
        <v>3</v>
      </c>
      <c r="P52" s="80">
        <v>3</v>
      </c>
      <c r="Q52" s="80">
        <v>3</v>
      </c>
      <c r="R52" s="80">
        <v>3</v>
      </c>
      <c r="S52" s="80">
        <v>3</v>
      </c>
      <c r="T52" s="80">
        <v>3</v>
      </c>
      <c r="U52" s="80">
        <v>3</v>
      </c>
      <c r="V52" s="80">
        <v>3</v>
      </c>
      <c r="W52" s="80">
        <v>3</v>
      </c>
      <c r="X52" s="80">
        <v>3</v>
      </c>
      <c r="Y52" s="80">
        <v>3</v>
      </c>
      <c r="Z52" s="80">
        <v>3</v>
      </c>
      <c r="AA52" s="80">
        <v>3</v>
      </c>
      <c r="AB52" s="80">
        <v>3</v>
      </c>
      <c r="AC52" s="80">
        <v>3</v>
      </c>
      <c r="AD52" s="80">
        <v>3</v>
      </c>
      <c r="AE52" s="80">
        <v>3</v>
      </c>
      <c r="AF52" s="80">
        <v>3</v>
      </c>
      <c r="AG52" s="94">
        <v>15</v>
      </c>
      <c r="AH52" s="20">
        <f t="shared" si="2"/>
        <v>3</v>
      </c>
      <c r="AI52" s="19">
        <f t="shared" si="3"/>
        <v>3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0</v>
      </c>
      <c r="C53" s="80">
        <v>0</v>
      </c>
      <c r="D53" s="80">
        <v>0</v>
      </c>
      <c r="E53" s="80">
        <v>0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>
        <v>0</v>
      </c>
      <c r="L53" s="80">
        <v>0</v>
      </c>
      <c r="M53" s="80">
        <v>0</v>
      </c>
      <c r="N53" s="80">
        <v>0</v>
      </c>
      <c r="O53" s="80">
        <v>0</v>
      </c>
      <c r="P53" s="80">
        <v>0</v>
      </c>
      <c r="Q53" s="80">
        <v>0</v>
      </c>
      <c r="R53" s="80">
        <v>0</v>
      </c>
      <c r="S53" s="80">
        <v>0</v>
      </c>
      <c r="T53" s="80">
        <v>0</v>
      </c>
      <c r="U53" s="80">
        <v>0</v>
      </c>
      <c r="V53" s="80">
        <v>0</v>
      </c>
      <c r="W53" s="80">
        <v>0</v>
      </c>
      <c r="X53" s="80">
        <v>0</v>
      </c>
      <c r="Y53" s="80">
        <v>0</v>
      </c>
      <c r="Z53" s="80">
        <v>0</v>
      </c>
      <c r="AA53" s="80">
        <v>0</v>
      </c>
      <c r="AB53" s="80">
        <v>0</v>
      </c>
      <c r="AC53" s="80">
        <v>0</v>
      </c>
      <c r="AD53" s="80">
        <v>0</v>
      </c>
      <c r="AE53" s="80">
        <v>0</v>
      </c>
      <c r="AF53" s="80">
        <v>0</v>
      </c>
      <c r="AG53" s="94">
        <v>14.1</v>
      </c>
      <c r="AH53" s="20">
        <f t="shared" si="2"/>
        <v>0</v>
      </c>
      <c r="AI53" s="19">
        <f t="shared" si="3"/>
        <v>0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7</v>
      </c>
      <c r="C54" s="80">
        <v>7</v>
      </c>
      <c r="D54" s="80">
        <v>7</v>
      </c>
      <c r="E54" s="80">
        <v>7</v>
      </c>
      <c r="F54" s="80">
        <v>7</v>
      </c>
      <c r="G54" s="80">
        <v>7</v>
      </c>
      <c r="H54" s="80">
        <v>7</v>
      </c>
      <c r="I54" s="80">
        <v>5.7</v>
      </c>
      <c r="J54" s="80">
        <v>6</v>
      </c>
      <c r="K54" s="80">
        <v>6</v>
      </c>
      <c r="L54" s="80">
        <v>6</v>
      </c>
      <c r="M54" s="80">
        <v>7.2</v>
      </c>
      <c r="N54" s="80">
        <v>7.2</v>
      </c>
      <c r="O54" s="80">
        <v>7.2</v>
      </c>
      <c r="P54" s="80">
        <v>7.2</v>
      </c>
      <c r="Q54" s="80">
        <v>7.2</v>
      </c>
      <c r="R54" s="80">
        <v>7.2</v>
      </c>
      <c r="S54" s="80">
        <v>7.2</v>
      </c>
      <c r="T54" s="80">
        <v>7.2</v>
      </c>
      <c r="U54" s="80">
        <v>7.2</v>
      </c>
      <c r="V54" s="80">
        <v>7.2</v>
      </c>
      <c r="W54" s="80">
        <v>7.2</v>
      </c>
      <c r="X54" s="80">
        <v>7.2</v>
      </c>
      <c r="Y54" s="80">
        <v>7.2</v>
      </c>
      <c r="Z54" s="80">
        <v>7.2</v>
      </c>
      <c r="AA54" s="80">
        <v>7.2</v>
      </c>
      <c r="AB54" s="80">
        <v>7.2</v>
      </c>
      <c r="AC54" s="80">
        <v>7.2</v>
      </c>
      <c r="AD54" s="80">
        <v>7.2</v>
      </c>
      <c r="AE54" s="80">
        <v>7.2</v>
      </c>
      <c r="AF54" s="80">
        <v>7.2</v>
      </c>
      <c r="AG54" s="94">
        <v>14</v>
      </c>
      <c r="AH54" s="20">
        <f t="shared" si="2"/>
        <v>7.2</v>
      </c>
      <c r="AI54" s="19">
        <f t="shared" si="3"/>
        <v>5.7</v>
      </c>
      <c r="AK54" s="41"/>
    </row>
    <row r="55" spans="1:41" x14ac:dyDescent="0.25">
      <c r="A55" s="95" t="s">
        <v>180</v>
      </c>
      <c r="B55" s="80">
        <v>6.88</v>
      </c>
      <c r="C55" s="80">
        <v>6.88</v>
      </c>
      <c r="D55" s="80">
        <v>6.88</v>
      </c>
      <c r="E55" s="80">
        <v>6.88</v>
      </c>
      <c r="F55" s="80">
        <v>6.88</v>
      </c>
      <c r="G55" s="80">
        <v>6.88</v>
      </c>
      <c r="H55" s="80">
        <v>6.88</v>
      </c>
      <c r="I55" s="80">
        <v>6.88</v>
      </c>
      <c r="J55" s="80">
        <v>6.88</v>
      </c>
      <c r="K55" s="80">
        <v>6.88</v>
      </c>
      <c r="L55" s="80">
        <v>6.88</v>
      </c>
      <c r="M55" s="80">
        <v>6.88</v>
      </c>
      <c r="N55" s="80">
        <v>6.88</v>
      </c>
      <c r="O55" s="80">
        <v>6.88</v>
      </c>
      <c r="P55" s="80">
        <v>6.88</v>
      </c>
      <c r="Q55" s="80">
        <v>6.88</v>
      </c>
      <c r="R55" s="80">
        <v>6.88</v>
      </c>
      <c r="S55" s="80">
        <v>6.88</v>
      </c>
      <c r="T55" s="80">
        <v>6.88</v>
      </c>
      <c r="U55" s="80">
        <v>6.88</v>
      </c>
      <c r="V55" s="80">
        <v>6.88</v>
      </c>
      <c r="W55" s="80">
        <v>6.88</v>
      </c>
      <c r="X55" s="80">
        <v>6.88</v>
      </c>
      <c r="Y55" s="80">
        <v>6.88</v>
      </c>
      <c r="Z55" s="80">
        <v>6.88</v>
      </c>
      <c r="AA55" s="80">
        <v>6.88</v>
      </c>
      <c r="AB55" s="80">
        <v>6.88</v>
      </c>
      <c r="AC55" s="80">
        <v>6.88</v>
      </c>
      <c r="AD55" s="80">
        <v>6.88</v>
      </c>
      <c r="AE55" s="80">
        <v>6.88</v>
      </c>
      <c r="AF55" s="80">
        <v>6.88</v>
      </c>
      <c r="AG55" s="94">
        <v>10.050000000000001</v>
      </c>
      <c r="AH55" s="20">
        <f t="shared" si="2"/>
        <v>6.88</v>
      </c>
      <c r="AI55" s="19">
        <f t="shared" si="3"/>
        <v>6.88</v>
      </c>
      <c r="AK55" s="41"/>
    </row>
    <row r="56" spans="1:41" x14ac:dyDescent="0.25">
      <c r="A56" s="95" t="s">
        <v>179</v>
      </c>
      <c r="B56" s="80">
        <v>6.2</v>
      </c>
      <c r="C56" s="80">
        <v>6.2</v>
      </c>
      <c r="D56" s="80">
        <v>6.2</v>
      </c>
      <c r="E56" s="80">
        <v>6.2</v>
      </c>
      <c r="F56" s="80">
        <v>6.2</v>
      </c>
      <c r="G56" s="80">
        <v>6.2</v>
      </c>
      <c r="H56" s="80">
        <v>6.2</v>
      </c>
      <c r="I56" s="80">
        <v>6.2</v>
      </c>
      <c r="J56" s="80">
        <v>6.2</v>
      </c>
      <c r="K56" s="80">
        <v>6.2</v>
      </c>
      <c r="L56" s="80">
        <v>6.2</v>
      </c>
      <c r="M56" s="80">
        <v>6.2</v>
      </c>
      <c r="N56" s="80">
        <v>6.2</v>
      </c>
      <c r="O56" s="80">
        <v>6.2</v>
      </c>
      <c r="P56" s="80">
        <v>6.2</v>
      </c>
      <c r="Q56" s="80">
        <v>6.2</v>
      </c>
      <c r="R56" s="80">
        <v>6.2</v>
      </c>
      <c r="S56" s="80">
        <v>6.2</v>
      </c>
      <c r="T56" s="80">
        <v>6.2</v>
      </c>
      <c r="U56" s="80">
        <v>6.2</v>
      </c>
      <c r="V56" s="80">
        <v>6.2</v>
      </c>
      <c r="W56" s="80">
        <v>6.2</v>
      </c>
      <c r="X56" s="80">
        <v>6.2</v>
      </c>
      <c r="Y56" s="80">
        <v>6.2</v>
      </c>
      <c r="Z56" s="80">
        <v>6.2</v>
      </c>
      <c r="AA56" s="80">
        <v>6.2</v>
      </c>
      <c r="AB56" s="80">
        <v>6.2</v>
      </c>
      <c r="AC56" s="80">
        <v>6.2</v>
      </c>
      <c r="AD56" s="80">
        <v>6.2</v>
      </c>
      <c r="AE56" s="80">
        <v>6.2</v>
      </c>
      <c r="AF56" s="80">
        <v>6.2</v>
      </c>
      <c r="AG56" s="94">
        <v>6.2</v>
      </c>
      <c r="AH56" s="20">
        <f t="shared" si="2"/>
        <v>6.2</v>
      </c>
      <c r="AI56" s="19">
        <f t="shared" si="3"/>
        <v>6.2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7">SUM(B45:B57)</f>
        <v>290.12</v>
      </c>
      <c r="C58" s="86">
        <f t="shared" si="7"/>
        <v>290.12</v>
      </c>
      <c r="D58" s="86">
        <f t="shared" si="7"/>
        <v>290.12</v>
      </c>
      <c r="E58" s="86">
        <f t="shared" si="7"/>
        <v>281.91999999999996</v>
      </c>
      <c r="F58" s="86">
        <f t="shared" si="7"/>
        <v>281.91999999999996</v>
      </c>
      <c r="G58" s="86">
        <f t="shared" si="7"/>
        <v>291.91999999999996</v>
      </c>
      <c r="H58" s="86">
        <f t="shared" si="7"/>
        <v>291.91999999999996</v>
      </c>
      <c r="I58" s="86">
        <f t="shared" si="7"/>
        <v>280.42</v>
      </c>
      <c r="J58" s="86">
        <f t="shared" si="7"/>
        <v>286.62</v>
      </c>
      <c r="K58" s="86">
        <f t="shared" si="7"/>
        <v>293.62</v>
      </c>
      <c r="L58" s="86">
        <f t="shared" si="7"/>
        <v>295.62</v>
      </c>
      <c r="M58" s="86">
        <f t="shared" si="7"/>
        <v>295.71999999999997</v>
      </c>
      <c r="N58" s="86">
        <f t="shared" si="7"/>
        <v>295.71999999999997</v>
      </c>
      <c r="O58" s="86">
        <f t="shared" si="7"/>
        <v>295.71999999999997</v>
      </c>
      <c r="P58" s="86">
        <f t="shared" si="7"/>
        <v>297.52</v>
      </c>
      <c r="Q58" s="86">
        <f t="shared" si="7"/>
        <v>297.52</v>
      </c>
      <c r="R58" s="86">
        <f t="shared" si="7"/>
        <v>293.82</v>
      </c>
      <c r="S58" s="86">
        <f t="shared" si="7"/>
        <v>301.32</v>
      </c>
      <c r="T58" s="86">
        <f t="shared" si="7"/>
        <v>301.32</v>
      </c>
      <c r="U58" s="86">
        <f t="shared" si="7"/>
        <v>301.32</v>
      </c>
      <c r="V58" s="86">
        <f t="shared" si="7"/>
        <v>304.61999999999995</v>
      </c>
      <c r="W58" s="86">
        <f t="shared" si="7"/>
        <v>304.61999999999995</v>
      </c>
      <c r="X58" s="86">
        <f t="shared" si="7"/>
        <v>294.61999999999995</v>
      </c>
      <c r="Y58" s="86">
        <f t="shared" si="7"/>
        <v>294.61999999999995</v>
      </c>
      <c r="Z58" s="86">
        <f t="shared" si="7"/>
        <v>294.61999999999995</v>
      </c>
      <c r="AA58" s="86">
        <f t="shared" si="7"/>
        <v>294.61999999999995</v>
      </c>
      <c r="AB58" s="86">
        <f t="shared" si="7"/>
        <v>294.61999999999995</v>
      </c>
      <c r="AC58" s="86">
        <f t="shared" si="7"/>
        <v>294.61999999999995</v>
      </c>
      <c r="AD58" s="86">
        <f t="shared" si="7"/>
        <v>292.62</v>
      </c>
      <c r="AE58" s="86">
        <f t="shared" si="7"/>
        <v>292.62</v>
      </c>
      <c r="AF58" s="86">
        <f t="shared" si="7"/>
        <v>291.92</v>
      </c>
      <c r="AG58" s="101">
        <f t="shared" si="7"/>
        <v>489.91</v>
      </c>
      <c r="AH58" s="20">
        <f t="shared" si="2"/>
        <v>304.61999999999995</v>
      </c>
      <c r="AI58" s="19">
        <f t="shared" si="3"/>
        <v>280.42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5">
        <v>0</v>
      </c>
      <c r="R59" s="105">
        <v>0</v>
      </c>
      <c r="S59" s="105">
        <v>0</v>
      </c>
      <c r="T59" s="105">
        <v>0</v>
      </c>
      <c r="U59" s="105">
        <v>0</v>
      </c>
      <c r="V59" s="105">
        <v>0</v>
      </c>
      <c r="W59" s="105"/>
      <c r="X59" s="105"/>
      <c r="Y59" s="105"/>
      <c r="Z59" s="105"/>
      <c r="AA59" s="105"/>
      <c r="AB59" s="105">
        <v>0</v>
      </c>
      <c r="AC59" s="105">
        <v>0</v>
      </c>
      <c r="AD59" s="105">
        <v>0</v>
      </c>
      <c r="AE59" s="105">
        <v>0</v>
      </c>
      <c r="AF59" s="105">
        <v>0</v>
      </c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>
        <v>0</v>
      </c>
      <c r="N60" s="80">
        <v>0</v>
      </c>
      <c r="O60" s="80">
        <v>0</v>
      </c>
      <c r="P60" s="80">
        <v>0</v>
      </c>
      <c r="Q60" s="80">
        <v>0</v>
      </c>
      <c r="R60" s="80">
        <v>0</v>
      </c>
      <c r="S60" s="80">
        <v>0</v>
      </c>
      <c r="T60" s="80">
        <v>0</v>
      </c>
      <c r="U60" s="80">
        <v>0</v>
      </c>
      <c r="V60" s="80">
        <v>0</v>
      </c>
      <c r="W60" s="80"/>
      <c r="X60" s="80"/>
      <c r="Y60" s="80"/>
      <c r="Z60" s="80"/>
      <c r="AA60" s="80"/>
      <c r="AB60" s="80">
        <v>0</v>
      </c>
      <c r="AC60" s="80">
        <v>0</v>
      </c>
      <c r="AD60" s="80">
        <v>0</v>
      </c>
      <c r="AE60" s="80">
        <v>0</v>
      </c>
      <c r="AF60" s="80">
        <v>0</v>
      </c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>
        <v>0</v>
      </c>
      <c r="N61" s="107">
        <v>0</v>
      </c>
      <c r="O61" s="107">
        <v>0</v>
      </c>
      <c r="P61" s="107">
        <v>0</v>
      </c>
      <c r="Q61" s="107">
        <v>0</v>
      </c>
      <c r="R61" s="107">
        <v>0</v>
      </c>
      <c r="S61" s="107">
        <v>0</v>
      </c>
      <c r="T61" s="107">
        <v>0</v>
      </c>
      <c r="U61" s="107">
        <v>0</v>
      </c>
      <c r="V61" s="107">
        <v>0</v>
      </c>
      <c r="W61" s="107"/>
      <c r="X61" s="107"/>
      <c r="Y61" s="107"/>
      <c r="Z61" s="107"/>
      <c r="AA61" s="107"/>
      <c r="AB61" s="107">
        <v>0</v>
      </c>
      <c r="AC61" s="107">
        <v>0</v>
      </c>
      <c r="AD61" s="107">
        <v>0</v>
      </c>
      <c r="AE61" s="107">
        <v>0</v>
      </c>
      <c r="AF61" s="107">
        <v>0</v>
      </c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8">SUM(B59:B61)</f>
        <v>0</v>
      </c>
      <c r="C62" s="86">
        <f t="shared" si="8"/>
        <v>0</v>
      </c>
      <c r="D62" s="86">
        <f t="shared" si="8"/>
        <v>0</v>
      </c>
      <c r="E62" s="86">
        <f t="shared" si="8"/>
        <v>0</v>
      </c>
      <c r="F62" s="86">
        <f t="shared" si="8"/>
        <v>0</v>
      </c>
      <c r="G62" s="86">
        <f t="shared" si="8"/>
        <v>0</v>
      </c>
      <c r="H62" s="86">
        <f t="shared" si="8"/>
        <v>0</v>
      </c>
      <c r="I62" s="86">
        <f t="shared" si="8"/>
        <v>0</v>
      </c>
      <c r="J62" s="86">
        <f t="shared" si="8"/>
        <v>0</v>
      </c>
      <c r="K62" s="86">
        <f t="shared" si="8"/>
        <v>0</v>
      </c>
      <c r="L62" s="86">
        <f t="shared" si="8"/>
        <v>0</v>
      </c>
      <c r="M62" s="86">
        <f t="shared" si="8"/>
        <v>0</v>
      </c>
      <c r="N62" s="86">
        <f t="shared" si="8"/>
        <v>0</v>
      </c>
      <c r="O62" s="86">
        <f t="shared" si="8"/>
        <v>0</v>
      </c>
      <c r="P62" s="86">
        <f t="shared" si="8"/>
        <v>0</v>
      </c>
      <c r="Q62" s="86">
        <f t="shared" si="8"/>
        <v>0</v>
      </c>
      <c r="R62" s="86">
        <f t="shared" si="8"/>
        <v>0</v>
      </c>
      <c r="S62" s="86">
        <f t="shared" si="8"/>
        <v>0</v>
      </c>
      <c r="T62" s="86">
        <f t="shared" si="8"/>
        <v>0</v>
      </c>
      <c r="U62" s="86">
        <f t="shared" si="8"/>
        <v>0</v>
      </c>
      <c r="V62" s="86">
        <f t="shared" si="8"/>
        <v>0</v>
      </c>
      <c r="W62" s="86">
        <f t="shared" si="8"/>
        <v>0</v>
      </c>
      <c r="X62" s="86">
        <f t="shared" si="8"/>
        <v>0</v>
      </c>
      <c r="Y62" s="86">
        <f t="shared" si="8"/>
        <v>0</v>
      </c>
      <c r="Z62" s="86">
        <f t="shared" si="8"/>
        <v>0</v>
      </c>
      <c r="AA62" s="86">
        <f t="shared" si="8"/>
        <v>0</v>
      </c>
      <c r="AB62" s="86">
        <f t="shared" si="8"/>
        <v>0</v>
      </c>
      <c r="AC62" s="86">
        <f t="shared" si="8"/>
        <v>0</v>
      </c>
      <c r="AD62" s="86">
        <f t="shared" si="8"/>
        <v>0</v>
      </c>
      <c r="AE62" s="86">
        <f t="shared" si="8"/>
        <v>0</v>
      </c>
      <c r="AF62" s="86">
        <f t="shared" si="8"/>
        <v>0</v>
      </c>
      <c r="AG62" s="101">
        <f t="shared" si="8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>
        <v>0</v>
      </c>
      <c r="N63" s="105">
        <v>0</v>
      </c>
      <c r="O63" s="105">
        <v>0</v>
      </c>
      <c r="P63" s="105">
        <v>0</v>
      </c>
      <c r="Q63" s="105">
        <v>0</v>
      </c>
      <c r="R63" s="105">
        <v>0</v>
      </c>
      <c r="S63" s="105">
        <v>0</v>
      </c>
      <c r="T63" s="105">
        <v>0</v>
      </c>
      <c r="U63" s="105">
        <v>0</v>
      </c>
      <c r="V63" s="105">
        <v>0</v>
      </c>
      <c r="W63" s="105">
        <v>14</v>
      </c>
      <c r="X63" s="105">
        <v>42.3</v>
      </c>
      <c r="Y63" s="105">
        <v>72</v>
      </c>
      <c r="Z63" s="105">
        <v>71.400000000000006</v>
      </c>
      <c r="AA63" s="105">
        <v>68.5</v>
      </c>
      <c r="AB63" s="105">
        <v>17</v>
      </c>
      <c r="AC63" s="105">
        <v>5</v>
      </c>
      <c r="AD63" s="105">
        <v>0</v>
      </c>
      <c r="AE63" s="105">
        <v>0</v>
      </c>
      <c r="AF63" s="105">
        <v>0</v>
      </c>
      <c r="AG63" s="96"/>
      <c r="AH63" s="20">
        <f t="shared" si="2"/>
        <v>72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>
        <v>0</v>
      </c>
      <c r="N64" s="80">
        <v>0</v>
      </c>
      <c r="O64" s="80">
        <v>0</v>
      </c>
      <c r="P64" s="80">
        <v>0</v>
      </c>
      <c r="Q64" s="80">
        <v>0</v>
      </c>
      <c r="R64" s="80">
        <v>0</v>
      </c>
      <c r="S64" s="80">
        <v>0</v>
      </c>
      <c r="T64" s="80">
        <v>0</v>
      </c>
      <c r="U64" s="80">
        <v>0</v>
      </c>
      <c r="V64" s="80">
        <v>0</v>
      </c>
      <c r="W64" s="80">
        <v>0</v>
      </c>
      <c r="X64" s="80">
        <v>0</v>
      </c>
      <c r="Y64" s="80">
        <v>0</v>
      </c>
      <c r="Z64" s="80">
        <v>0</v>
      </c>
      <c r="AA64" s="80">
        <v>0</v>
      </c>
      <c r="AB64" s="80">
        <v>0</v>
      </c>
      <c r="AC64" s="80">
        <v>0</v>
      </c>
      <c r="AD64" s="80">
        <v>0</v>
      </c>
      <c r="AE64" s="80">
        <v>0</v>
      </c>
      <c r="AF64" s="80">
        <v>0</v>
      </c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-365</v>
      </c>
      <c r="C65" s="80">
        <v>-368</v>
      </c>
      <c r="D65" s="80">
        <v>-363</v>
      </c>
      <c r="E65" s="80">
        <v>-370</v>
      </c>
      <c r="F65" s="80">
        <v>-380</v>
      </c>
      <c r="G65" s="80">
        <v>-350</v>
      </c>
      <c r="H65" s="80">
        <v>-350</v>
      </c>
      <c r="I65" s="80">
        <v>-371</v>
      </c>
      <c r="J65" s="80">
        <v>-393</v>
      </c>
      <c r="K65" s="80">
        <v>-336</v>
      </c>
      <c r="L65" s="80">
        <v>-371</v>
      </c>
      <c r="M65" s="80">
        <v>-372</v>
      </c>
      <c r="N65" s="80">
        <v>-381</v>
      </c>
      <c r="O65" s="80">
        <v>-387</v>
      </c>
      <c r="P65" s="80">
        <v>-356.5</v>
      </c>
      <c r="Q65" s="80">
        <v>-363</v>
      </c>
      <c r="R65" s="80">
        <v>-368</v>
      </c>
      <c r="S65" s="80">
        <v>-370</v>
      </c>
      <c r="T65" s="80">
        <v>-366</v>
      </c>
      <c r="U65" s="80">
        <v>-378</v>
      </c>
      <c r="V65" s="80">
        <v>-378.7</v>
      </c>
      <c r="W65" s="80">
        <v>-348</v>
      </c>
      <c r="X65" s="80">
        <v>-266</v>
      </c>
      <c r="Y65" s="80">
        <v>-272</v>
      </c>
      <c r="Z65" s="80">
        <v>-354</v>
      </c>
      <c r="AA65" s="80">
        <v>-361</v>
      </c>
      <c r="AB65" s="80">
        <v>-378</v>
      </c>
      <c r="AC65" s="80">
        <v>-384</v>
      </c>
      <c r="AD65" s="80">
        <v>-364</v>
      </c>
      <c r="AE65" s="80">
        <v>-367</v>
      </c>
      <c r="AF65" s="80">
        <v>-368</v>
      </c>
      <c r="AG65" s="102"/>
      <c r="AH65" s="20">
        <f t="shared" si="2"/>
        <v>-266</v>
      </c>
      <c r="AI65" s="19">
        <f t="shared" si="3"/>
        <v>-393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>
        <v>0</v>
      </c>
      <c r="N66" s="93">
        <v>0</v>
      </c>
      <c r="O66" s="93">
        <v>0</v>
      </c>
      <c r="P66" s="93">
        <v>0</v>
      </c>
      <c r="Q66" s="93">
        <v>0</v>
      </c>
      <c r="R66" s="93">
        <v>0</v>
      </c>
      <c r="S66" s="93">
        <v>0</v>
      </c>
      <c r="T66" s="93">
        <v>0</v>
      </c>
      <c r="U66" s="93">
        <v>0</v>
      </c>
      <c r="V66" s="93">
        <v>0</v>
      </c>
      <c r="W66" s="93">
        <v>0</v>
      </c>
      <c r="X66" s="93">
        <v>0</v>
      </c>
      <c r="Y66" s="93">
        <v>0</v>
      </c>
      <c r="Z66" s="93">
        <v>0</v>
      </c>
      <c r="AA66" s="93">
        <v>0</v>
      </c>
      <c r="AB66" s="93">
        <v>0</v>
      </c>
      <c r="AC66" s="93">
        <v>0</v>
      </c>
      <c r="AD66" s="93">
        <v>0</v>
      </c>
      <c r="AE66" s="93">
        <v>0</v>
      </c>
      <c r="AF66" s="93">
        <v>0</v>
      </c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>
        <v>0</v>
      </c>
      <c r="N67" s="105">
        <v>0</v>
      </c>
      <c r="O67" s="105">
        <v>0</v>
      </c>
      <c r="P67" s="105">
        <v>0</v>
      </c>
      <c r="Q67" s="105">
        <v>0</v>
      </c>
      <c r="R67" s="105">
        <v>0</v>
      </c>
      <c r="S67" s="105">
        <v>0</v>
      </c>
      <c r="T67" s="105">
        <v>0</v>
      </c>
      <c r="U67" s="105">
        <v>0</v>
      </c>
      <c r="V67" s="105">
        <v>0</v>
      </c>
      <c r="W67" s="105">
        <v>0</v>
      </c>
      <c r="X67" s="105">
        <v>0</v>
      </c>
      <c r="Y67" s="105">
        <v>0</v>
      </c>
      <c r="Z67" s="105">
        <v>0</v>
      </c>
      <c r="AA67" s="105">
        <v>0</v>
      </c>
      <c r="AB67" s="105">
        <v>0</v>
      </c>
      <c r="AC67" s="105">
        <v>0</v>
      </c>
      <c r="AD67" s="105">
        <v>0</v>
      </c>
      <c r="AE67" s="105">
        <v>0</v>
      </c>
      <c r="AF67" s="105">
        <v>0</v>
      </c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>
        <v>0</v>
      </c>
      <c r="N68" s="103">
        <v>0</v>
      </c>
      <c r="O68" s="103">
        <v>0</v>
      </c>
      <c r="P68" s="103">
        <v>0</v>
      </c>
      <c r="Q68" s="103">
        <v>0</v>
      </c>
      <c r="R68" s="103">
        <v>0</v>
      </c>
      <c r="S68" s="103">
        <v>0</v>
      </c>
      <c r="T68" s="103">
        <v>0</v>
      </c>
      <c r="U68" s="103">
        <v>0</v>
      </c>
      <c r="V68" s="103">
        <v>0</v>
      </c>
      <c r="W68" s="103">
        <v>0</v>
      </c>
      <c r="X68" s="103">
        <v>0</v>
      </c>
      <c r="Y68" s="103">
        <v>0</v>
      </c>
      <c r="Z68" s="103">
        <v>0</v>
      </c>
      <c r="AA68" s="103">
        <v>0</v>
      </c>
      <c r="AB68" s="103">
        <v>0</v>
      </c>
      <c r="AC68" s="103">
        <v>0</v>
      </c>
      <c r="AD68" s="103">
        <v>0</v>
      </c>
      <c r="AE68" s="103">
        <v>0</v>
      </c>
      <c r="AF68" s="103">
        <v>0</v>
      </c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>
        <v>0</v>
      </c>
      <c r="N69" s="103">
        <v>0</v>
      </c>
      <c r="O69" s="103">
        <v>0</v>
      </c>
      <c r="P69" s="103">
        <v>0</v>
      </c>
      <c r="Q69" s="103">
        <v>0</v>
      </c>
      <c r="R69" s="103">
        <v>0</v>
      </c>
      <c r="S69" s="103">
        <v>0</v>
      </c>
      <c r="T69" s="103">
        <v>0</v>
      </c>
      <c r="U69" s="103">
        <v>0</v>
      </c>
      <c r="V69" s="103">
        <v>0</v>
      </c>
      <c r="W69" s="103">
        <v>0</v>
      </c>
      <c r="X69" s="103">
        <v>0</v>
      </c>
      <c r="Y69" s="103">
        <v>0</v>
      </c>
      <c r="Z69" s="103">
        <v>0</v>
      </c>
      <c r="AA69" s="103">
        <v>0</v>
      </c>
      <c r="AB69" s="103">
        <v>0</v>
      </c>
      <c r="AC69" s="103">
        <v>0</v>
      </c>
      <c r="AD69" s="103">
        <v>0</v>
      </c>
      <c r="AE69" s="103">
        <v>0</v>
      </c>
      <c r="AF69" s="103">
        <v>0</v>
      </c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103">
        <v>0</v>
      </c>
      <c r="C70" s="103">
        <v>0</v>
      </c>
      <c r="D70" s="103">
        <v>0</v>
      </c>
      <c r="E70" s="103">
        <v>0</v>
      </c>
      <c r="F70" s="103">
        <v>0</v>
      </c>
      <c r="G70" s="103">
        <v>0</v>
      </c>
      <c r="H70" s="103">
        <v>0</v>
      </c>
      <c r="I70" s="103">
        <v>0</v>
      </c>
      <c r="J70" s="103">
        <v>0</v>
      </c>
      <c r="K70" s="103">
        <v>0</v>
      </c>
      <c r="L70" s="103">
        <v>0</v>
      </c>
      <c r="M70" s="103">
        <v>0</v>
      </c>
      <c r="N70" s="103">
        <v>0</v>
      </c>
      <c r="O70" s="103">
        <v>0</v>
      </c>
      <c r="P70" s="93">
        <v>0</v>
      </c>
      <c r="Q70" s="93">
        <v>0</v>
      </c>
      <c r="R70" s="93">
        <v>0</v>
      </c>
      <c r="S70" s="93">
        <v>0</v>
      </c>
      <c r="T70" s="93">
        <v>0</v>
      </c>
      <c r="U70" s="93">
        <v>0</v>
      </c>
      <c r="V70" s="93">
        <v>0</v>
      </c>
      <c r="W70" s="93">
        <v>0</v>
      </c>
      <c r="X70" s="93">
        <v>0</v>
      </c>
      <c r="Y70" s="93">
        <v>0</v>
      </c>
      <c r="Z70" s="93">
        <v>0</v>
      </c>
      <c r="AA70" s="93">
        <v>0</v>
      </c>
      <c r="AB70" s="93">
        <v>0</v>
      </c>
      <c r="AC70" s="93">
        <v>0</v>
      </c>
      <c r="AD70" s="93">
        <v>0</v>
      </c>
      <c r="AE70" s="93">
        <v>0</v>
      </c>
      <c r="AF70" s="93">
        <v>0</v>
      </c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103">
        <v>0</v>
      </c>
      <c r="C71" s="103">
        <v>0</v>
      </c>
      <c r="D71" s="103">
        <v>0</v>
      </c>
      <c r="E71" s="103">
        <v>0</v>
      </c>
      <c r="F71" s="103">
        <v>0</v>
      </c>
      <c r="G71" s="103">
        <v>0</v>
      </c>
      <c r="H71" s="103">
        <v>0</v>
      </c>
      <c r="I71" s="103">
        <v>0</v>
      </c>
      <c r="J71" s="103">
        <v>0</v>
      </c>
      <c r="K71" s="103">
        <v>0</v>
      </c>
      <c r="L71" s="103">
        <v>0</v>
      </c>
      <c r="M71" s="103">
        <v>0</v>
      </c>
      <c r="N71" s="103">
        <v>0</v>
      </c>
      <c r="O71" s="103">
        <v>0</v>
      </c>
      <c r="P71" s="93">
        <v>0</v>
      </c>
      <c r="Q71" s="93">
        <v>0</v>
      </c>
      <c r="R71" s="93">
        <v>0</v>
      </c>
      <c r="S71" s="93">
        <v>0</v>
      </c>
      <c r="T71" s="93">
        <v>0</v>
      </c>
      <c r="U71" s="93">
        <v>0</v>
      </c>
      <c r="V71" s="93">
        <v>0</v>
      </c>
      <c r="W71" s="93">
        <v>0</v>
      </c>
      <c r="X71" s="93">
        <v>0</v>
      </c>
      <c r="Y71" s="93">
        <v>0</v>
      </c>
      <c r="Z71" s="93">
        <v>0</v>
      </c>
      <c r="AA71" s="93">
        <v>0</v>
      </c>
      <c r="AB71" s="93">
        <v>0</v>
      </c>
      <c r="AC71" s="93">
        <v>0</v>
      </c>
      <c r="AD71" s="93">
        <v>0</v>
      </c>
      <c r="AE71" s="93">
        <v>0</v>
      </c>
      <c r="AF71" s="93">
        <v>0</v>
      </c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103">
        <v>0</v>
      </c>
      <c r="C72" s="103">
        <v>0</v>
      </c>
      <c r="D72" s="103">
        <v>0</v>
      </c>
      <c r="E72" s="103">
        <v>0</v>
      </c>
      <c r="F72" s="103">
        <v>0</v>
      </c>
      <c r="G72" s="103">
        <v>0</v>
      </c>
      <c r="H72" s="103">
        <v>0</v>
      </c>
      <c r="I72" s="103">
        <v>0</v>
      </c>
      <c r="J72" s="103">
        <v>0</v>
      </c>
      <c r="K72" s="103">
        <v>0</v>
      </c>
      <c r="L72" s="103">
        <v>0</v>
      </c>
      <c r="M72" s="103">
        <v>0</v>
      </c>
      <c r="N72" s="103">
        <v>0</v>
      </c>
      <c r="O72" s="103">
        <v>0</v>
      </c>
      <c r="P72" s="90">
        <v>0</v>
      </c>
      <c r="Q72" s="90">
        <v>0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  <c r="AA72" s="90">
        <v>0</v>
      </c>
      <c r="AB72" s="90">
        <v>0</v>
      </c>
      <c r="AC72" s="90">
        <v>0</v>
      </c>
      <c r="AD72" s="90">
        <v>0</v>
      </c>
      <c r="AE72" s="90">
        <v>0</v>
      </c>
      <c r="AF72" s="90">
        <v>0</v>
      </c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103">
        <v>0</v>
      </c>
      <c r="C73" s="103">
        <v>0</v>
      </c>
      <c r="D73" s="103">
        <v>0</v>
      </c>
      <c r="E73" s="103">
        <v>0</v>
      </c>
      <c r="F73" s="103">
        <v>0</v>
      </c>
      <c r="G73" s="103">
        <v>0</v>
      </c>
      <c r="H73" s="103">
        <v>0</v>
      </c>
      <c r="I73" s="103">
        <v>0</v>
      </c>
      <c r="J73" s="103">
        <v>0</v>
      </c>
      <c r="K73" s="103">
        <v>0</v>
      </c>
      <c r="L73" s="103">
        <v>0</v>
      </c>
      <c r="M73" s="103">
        <v>0</v>
      </c>
      <c r="N73" s="103">
        <v>0</v>
      </c>
      <c r="O73" s="103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0">
        <v>0</v>
      </c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9">SUMIF(B63:B73,"&gt;0")</f>
        <v>0</v>
      </c>
      <c r="C74" s="86">
        <f t="shared" si="9"/>
        <v>0</v>
      </c>
      <c r="D74" s="86">
        <f t="shared" si="9"/>
        <v>0</v>
      </c>
      <c r="E74" s="86">
        <f t="shared" si="9"/>
        <v>0</v>
      </c>
      <c r="F74" s="86">
        <f t="shared" si="9"/>
        <v>0</v>
      </c>
      <c r="G74" s="86">
        <f t="shared" si="9"/>
        <v>0</v>
      </c>
      <c r="H74" s="86">
        <f t="shared" si="9"/>
        <v>0</v>
      </c>
      <c r="I74" s="86">
        <f t="shared" si="9"/>
        <v>0</v>
      </c>
      <c r="J74" s="86">
        <f t="shared" si="9"/>
        <v>0</v>
      </c>
      <c r="K74" s="86">
        <f t="shared" si="9"/>
        <v>0</v>
      </c>
      <c r="L74" s="86">
        <f t="shared" si="9"/>
        <v>0</v>
      </c>
      <c r="M74" s="86">
        <f t="shared" si="9"/>
        <v>0</v>
      </c>
      <c r="N74" s="86">
        <f t="shared" si="9"/>
        <v>0</v>
      </c>
      <c r="O74" s="86">
        <f t="shared" si="9"/>
        <v>0</v>
      </c>
      <c r="P74" s="86">
        <f t="shared" si="9"/>
        <v>0</v>
      </c>
      <c r="Q74" s="86">
        <f t="shared" si="9"/>
        <v>0</v>
      </c>
      <c r="R74" s="86">
        <f t="shared" si="9"/>
        <v>0</v>
      </c>
      <c r="S74" s="86">
        <f t="shared" si="9"/>
        <v>0</v>
      </c>
      <c r="T74" s="86">
        <f t="shared" si="9"/>
        <v>0</v>
      </c>
      <c r="U74" s="86">
        <f t="shared" si="9"/>
        <v>0</v>
      </c>
      <c r="V74" s="86">
        <f t="shared" si="9"/>
        <v>0</v>
      </c>
      <c r="W74" s="86">
        <f t="shared" si="9"/>
        <v>14</v>
      </c>
      <c r="X74" s="86">
        <f t="shared" si="9"/>
        <v>42.3</v>
      </c>
      <c r="Y74" s="86">
        <f t="shared" si="9"/>
        <v>72</v>
      </c>
      <c r="Z74" s="86">
        <f t="shared" si="9"/>
        <v>71.400000000000006</v>
      </c>
      <c r="AA74" s="86">
        <f t="shared" si="9"/>
        <v>68.5</v>
      </c>
      <c r="AB74" s="86">
        <f t="shared" si="9"/>
        <v>17</v>
      </c>
      <c r="AC74" s="86">
        <f t="shared" si="9"/>
        <v>5</v>
      </c>
      <c r="AD74" s="86">
        <f t="shared" si="9"/>
        <v>0</v>
      </c>
      <c r="AE74" s="86">
        <f t="shared" si="9"/>
        <v>0</v>
      </c>
      <c r="AF74" s="86">
        <f t="shared" si="9"/>
        <v>0</v>
      </c>
      <c r="AG74" s="85">
        <f>SUM(AG63:AG73)</f>
        <v>0</v>
      </c>
      <c r="AH74" s="20">
        <f t="shared" si="2"/>
        <v>72</v>
      </c>
      <c r="AI74" s="19">
        <f t="shared" si="3"/>
        <v>0</v>
      </c>
      <c r="AK74" s="41"/>
    </row>
    <row r="75" spans="1:37" x14ac:dyDescent="0.25">
      <c r="A75" s="97" t="s">
        <v>164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>
        <v>0</v>
      </c>
      <c r="AC75" s="93">
        <v>0</v>
      </c>
      <c r="AD75" s="93">
        <v>0</v>
      </c>
      <c r="AE75" s="93">
        <v>0</v>
      </c>
      <c r="AF75" s="93">
        <v>0</v>
      </c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>
        <v>0</v>
      </c>
      <c r="AC76" s="103">
        <v>0</v>
      </c>
      <c r="AD76" s="103">
        <v>0</v>
      </c>
      <c r="AE76" s="103">
        <v>0</v>
      </c>
      <c r="AF76" s="103">
        <v>0</v>
      </c>
      <c r="AG76" s="102">
        <v>14.4</v>
      </c>
      <c r="AH76" s="20">
        <f t="shared" ref="AH76:AH109" si="10">MAX(B76:AF76)</f>
        <v>0</v>
      </c>
      <c r="AI76" s="19">
        <f t="shared" ref="AI76:AI109" si="11">MIN(B76:AF76)</f>
        <v>0</v>
      </c>
      <c r="AK76" s="41"/>
    </row>
    <row r="77" spans="1:37" ht="15.75" thickBot="1" x14ac:dyDescent="0.3">
      <c r="A77" s="91" t="s">
        <v>162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>
        <v>0</v>
      </c>
      <c r="AC77" s="90">
        <v>0</v>
      </c>
      <c r="AD77" s="90">
        <v>0</v>
      </c>
      <c r="AE77" s="90">
        <v>0</v>
      </c>
      <c r="AF77" s="90">
        <v>0</v>
      </c>
      <c r="AG77" s="89">
        <v>2</v>
      </c>
      <c r="AH77" s="20">
        <f t="shared" si="10"/>
        <v>0</v>
      </c>
      <c r="AI77" s="19">
        <f t="shared" si="11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10"/>
        <v>0</v>
      </c>
      <c r="AI78" s="19">
        <f t="shared" si="11"/>
        <v>0</v>
      </c>
    </row>
    <row r="79" spans="1:37" ht="15.75" thickBot="1" x14ac:dyDescent="0.3">
      <c r="A79" s="87" t="s">
        <v>160</v>
      </c>
      <c r="B79" s="98">
        <f t="shared" ref="B79:AG79" si="12">B40+B44+B62+B58+B74+B78</f>
        <v>1478.92</v>
      </c>
      <c r="C79" s="98">
        <f t="shared" si="12"/>
        <v>1458.92</v>
      </c>
      <c r="D79" s="98">
        <f t="shared" si="12"/>
        <v>1458.92</v>
      </c>
      <c r="E79" s="98">
        <f t="shared" si="12"/>
        <v>1418.7199999999998</v>
      </c>
      <c r="F79" s="98">
        <f t="shared" si="12"/>
        <v>1418.7199999999998</v>
      </c>
      <c r="G79" s="98">
        <f t="shared" si="12"/>
        <v>1428.7199999999998</v>
      </c>
      <c r="H79" s="98">
        <f t="shared" si="12"/>
        <v>1435.7199999999998</v>
      </c>
      <c r="I79" s="98">
        <f t="shared" si="12"/>
        <v>1454.22</v>
      </c>
      <c r="J79" s="98">
        <f t="shared" si="12"/>
        <v>1548.3199999999997</v>
      </c>
      <c r="K79" s="98">
        <f t="shared" si="12"/>
        <v>1565.3199999999997</v>
      </c>
      <c r="L79" s="98">
        <f t="shared" si="12"/>
        <v>1581.42</v>
      </c>
      <c r="M79" s="98">
        <f t="shared" si="12"/>
        <v>1609.52</v>
      </c>
      <c r="N79" s="98">
        <f t="shared" si="12"/>
        <v>1601.52</v>
      </c>
      <c r="O79" s="98">
        <f t="shared" si="12"/>
        <v>1601.52</v>
      </c>
      <c r="P79" s="98">
        <f t="shared" si="12"/>
        <v>1553.32</v>
      </c>
      <c r="Q79" s="98">
        <f t="shared" si="12"/>
        <v>1511.12</v>
      </c>
      <c r="R79" s="98">
        <f t="shared" si="12"/>
        <v>1543.4199999999998</v>
      </c>
      <c r="S79" s="98">
        <f t="shared" si="12"/>
        <v>1629.9199999999998</v>
      </c>
      <c r="T79" s="98">
        <f t="shared" si="12"/>
        <v>1617.9199999999998</v>
      </c>
      <c r="U79" s="98">
        <f t="shared" si="12"/>
        <v>1668.52</v>
      </c>
      <c r="V79" s="98">
        <f t="shared" si="12"/>
        <v>1638.2199999999998</v>
      </c>
      <c r="W79" s="98">
        <f t="shared" si="12"/>
        <v>1649.2199999999998</v>
      </c>
      <c r="X79" s="98">
        <f t="shared" si="12"/>
        <v>1706.5199999999998</v>
      </c>
      <c r="Y79" s="98">
        <f t="shared" si="12"/>
        <v>1741.2199999999998</v>
      </c>
      <c r="Z79" s="98">
        <f t="shared" si="12"/>
        <v>1740.62</v>
      </c>
      <c r="AA79" s="98">
        <f t="shared" si="12"/>
        <v>1737.7199999999998</v>
      </c>
      <c r="AB79" s="98">
        <f t="shared" si="12"/>
        <v>1650.2199999999998</v>
      </c>
      <c r="AC79" s="98">
        <f t="shared" si="12"/>
        <v>1618.2199999999998</v>
      </c>
      <c r="AD79" s="98">
        <f t="shared" si="12"/>
        <v>1524.02</v>
      </c>
      <c r="AE79" s="98">
        <f t="shared" si="12"/>
        <v>1467.02</v>
      </c>
      <c r="AF79" s="98">
        <f t="shared" si="12"/>
        <v>1471.3200000000002</v>
      </c>
      <c r="AG79" s="101">
        <f t="shared" si="12"/>
        <v>1897.1900000000003</v>
      </c>
      <c r="AH79" s="20">
        <f t="shared" si="10"/>
        <v>1741.2199999999998</v>
      </c>
      <c r="AI79" s="19">
        <f t="shared" si="11"/>
        <v>1418.7199999999998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10"/>
        <v>0</v>
      </c>
      <c r="AI80" s="19">
        <f t="shared" si="11"/>
        <v>0</v>
      </c>
    </row>
    <row r="81" spans="1:37" ht="15.75" thickBot="1" x14ac:dyDescent="0.3">
      <c r="A81" s="87" t="s">
        <v>158</v>
      </c>
      <c r="B81" s="98">
        <f t="shared" ref="B81:AF81" si="13">B79+B80</f>
        <v>1478.92</v>
      </c>
      <c r="C81" s="98">
        <f t="shared" si="13"/>
        <v>1458.92</v>
      </c>
      <c r="D81" s="98">
        <f t="shared" si="13"/>
        <v>1458.92</v>
      </c>
      <c r="E81" s="98">
        <f t="shared" si="13"/>
        <v>1418.7199999999998</v>
      </c>
      <c r="F81" s="98">
        <f t="shared" si="13"/>
        <v>1418.7199999999998</v>
      </c>
      <c r="G81" s="98">
        <f t="shared" si="13"/>
        <v>1428.7199999999998</v>
      </c>
      <c r="H81" s="98">
        <f t="shared" si="13"/>
        <v>1435.7199999999998</v>
      </c>
      <c r="I81" s="98">
        <f t="shared" si="13"/>
        <v>1454.22</v>
      </c>
      <c r="J81" s="98">
        <f t="shared" si="13"/>
        <v>1548.3199999999997</v>
      </c>
      <c r="K81" s="98">
        <f t="shared" si="13"/>
        <v>1565.3199999999997</v>
      </c>
      <c r="L81" s="98">
        <f t="shared" si="13"/>
        <v>1581.42</v>
      </c>
      <c r="M81" s="98">
        <f t="shared" si="13"/>
        <v>1609.52</v>
      </c>
      <c r="N81" s="98">
        <f t="shared" si="13"/>
        <v>1601.52</v>
      </c>
      <c r="O81" s="98">
        <f t="shared" si="13"/>
        <v>1601.52</v>
      </c>
      <c r="P81" s="98">
        <f t="shared" si="13"/>
        <v>1553.32</v>
      </c>
      <c r="Q81" s="98">
        <f t="shared" si="13"/>
        <v>1511.12</v>
      </c>
      <c r="R81" s="98">
        <f t="shared" si="13"/>
        <v>1543.4199999999998</v>
      </c>
      <c r="S81" s="98">
        <f t="shared" si="13"/>
        <v>1629.9199999999998</v>
      </c>
      <c r="T81" s="98">
        <f t="shared" si="13"/>
        <v>1617.9199999999998</v>
      </c>
      <c r="U81" s="98">
        <f t="shared" si="13"/>
        <v>1668.52</v>
      </c>
      <c r="V81" s="98">
        <f t="shared" si="13"/>
        <v>1638.2199999999998</v>
      </c>
      <c r="W81" s="98">
        <f t="shared" si="13"/>
        <v>1649.2199999999998</v>
      </c>
      <c r="X81" s="98">
        <f t="shared" si="13"/>
        <v>1706.5199999999998</v>
      </c>
      <c r="Y81" s="98">
        <f t="shared" si="13"/>
        <v>1741.2199999999998</v>
      </c>
      <c r="Z81" s="98">
        <f t="shared" si="13"/>
        <v>1740.62</v>
      </c>
      <c r="AA81" s="98">
        <f t="shared" si="13"/>
        <v>1737.7199999999998</v>
      </c>
      <c r="AB81" s="98">
        <f t="shared" si="13"/>
        <v>1650.2199999999998</v>
      </c>
      <c r="AC81" s="98">
        <f t="shared" si="13"/>
        <v>1618.2199999999998</v>
      </c>
      <c r="AD81" s="98">
        <f t="shared" si="13"/>
        <v>1524.02</v>
      </c>
      <c r="AE81" s="98">
        <f t="shared" si="13"/>
        <v>1467.02</v>
      </c>
      <c r="AF81" s="98">
        <f t="shared" si="13"/>
        <v>1471.3200000000002</v>
      </c>
      <c r="AG81" s="85">
        <f>AG78+AG74+AG62+AG58+AG40+AG80</f>
        <v>1359.0900000000001</v>
      </c>
      <c r="AH81" s="20">
        <f t="shared" si="10"/>
        <v>1741.2199999999998</v>
      </c>
      <c r="AI81" s="19">
        <f t="shared" si="11"/>
        <v>1418.7199999999998</v>
      </c>
    </row>
    <row r="82" spans="1:37" ht="15.75" thickBot="1" x14ac:dyDescent="0.3">
      <c r="A82" s="87" t="s">
        <v>157</v>
      </c>
      <c r="B82" s="98">
        <f t="shared" ref="B82:AF82" si="14">B81-B89</f>
        <v>1113.92</v>
      </c>
      <c r="C82" s="98">
        <f t="shared" si="14"/>
        <v>1090.92</v>
      </c>
      <c r="D82" s="98">
        <f t="shared" si="14"/>
        <v>1095.92</v>
      </c>
      <c r="E82" s="98">
        <f t="shared" si="14"/>
        <v>1048.7199999999998</v>
      </c>
      <c r="F82" s="98">
        <f t="shared" si="14"/>
        <v>1038.7199999999998</v>
      </c>
      <c r="G82" s="98">
        <f t="shared" si="14"/>
        <v>1078.7199999999998</v>
      </c>
      <c r="H82" s="98">
        <f t="shared" si="14"/>
        <v>1085.7199999999998</v>
      </c>
      <c r="I82" s="98">
        <f t="shared" si="14"/>
        <v>1083.22</v>
      </c>
      <c r="J82" s="98">
        <f t="shared" si="14"/>
        <v>1155.3199999999997</v>
      </c>
      <c r="K82" s="98">
        <f t="shared" si="14"/>
        <v>1229.3199999999997</v>
      </c>
      <c r="L82" s="98">
        <f t="shared" si="14"/>
        <v>1210.42</v>
      </c>
      <c r="M82" s="98">
        <f t="shared" si="14"/>
        <v>1237.52</v>
      </c>
      <c r="N82" s="98">
        <f t="shared" si="14"/>
        <v>1220.52</v>
      </c>
      <c r="O82" s="98">
        <f t="shared" si="14"/>
        <v>1214.52</v>
      </c>
      <c r="P82" s="98">
        <f t="shared" si="14"/>
        <v>1196.82</v>
      </c>
      <c r="Q82" s="98">
        <f t="shared" si="14"/>
        <v>1148.1199999999999</v>
      </c>
      <c r="R82" s="98">
        <f t="shared" si="14"/>
        <v>1175.4199999999998</v>
      </c>
      <c r="S82" s="98">
        <f t="shared" si="14"/>
        <v>1259.9199999999998</v>
      </c>
      <c r="T82" s="98">
        <f t="shared" si="14"/>
        <v>1251.9199999999998</v>
      </c>
      <c r="U82" s="98">
        <f t="shared" si="14"/>
        <v>1290.52</v>
      </c>
      <c r="V82" s="98">
        <f t="shared" si="14"/>
        <v>1259.5199999999998</v>
      </c>
      <c r="W82" s="98">
        <f t="shared" si="14"/>
        <v>1301.2199999999998</v>
      </c>
      <c r="X82" s="98">
        <f t="shared" si="14"/>
        <v>1440.5199999999998</v>
      </c>
      <c r="Y82" s="98">
        <f t="shared" si="14"/>
        <v>1469.2199999999998</v>
      </c>
      <c r="Z82" s="98">
        <f t="shared" si="14"/>
        <v>1386.62</v>
      </c>
      <c r="AA82" s="98">
        <f t="shared" si="14"/>
        <v>1376.7199999999998</v>
      </c>
      <c r="AB82" s="98">
        <f t="shared" si="14"/>
        <v>1272.2199999999998</v>
      </c>
      <c r="AC82" s="98">
        <f t="shared" si="14"/>
        <v>1234.2199999999998</v>
      </c>
      <c r="AD82" s="98">
        <f t="shared" si="14"/>
        <v>1160.02</v>
      </c>
      <c r="AE82" s="98">
        <f t="shared" si="14"/>
        <v>1100.02</v>
      </c>
      <c r="AF82" s="98">
        <f t="shared" si="14"/>
        <v>1103.3200000000002</v>
      </c>
      <c r="AG82" s="85"/>
      <c r="AH82" s="20">
        <f t="shared" si="10"/>
        <v>1469.2199999999998</v>
      </c>
      <c r="AI82" s="19">
        <f t="shared" si="11"/>
        <v>1038.7199999999998</v>
      </c>
    </row>
    <row r="83" spans="1:37" x14ac:dyDescent="0.25">
      <c r="A83" s="97" t="s">
        <v>156</v>
      </c>
      <c r="B83" s="93">
        <f t="shared" ref="B83:AF83" si="15">IF(B66&lt;0,B66*-1,0)</f>
        <v>0</v>
      </c>
      <c r="C83" s="93">
        <f t="shared" si="15"/>
        <v>0</v>
      </c>
      <c r="D83" s="93">
        <f t="shared" si="15"/>
        <v>0</v>
      </c>
      <c r="E83" s="93">
        <f t="shared" si="15"/>
        <v>0</v>
      </c>
      <c r="F83" s="93">
        <f t="shared" si="15"/>
        <v>0</v>
      </c>
      <c r="G83" s="93">
        <f t="shared" si="15"/>
        <v>0</v>
      </c>
      <c r="H83" s="93">
        <f t="shared" si="15"/>
        <v>0</v>
      </c>
      <c r="I83" s="93">
        <f t="shared" si="15"/>
        <v>0</v>
      </c>
      <c r="J83" s="93">
        <f t="shared" si="15"/>
        <v>0</v>
      </c>
      <c r="K83" s="93">
        <f t="shared" si="15"/>
        <v>0</v>
      </c>
      <c r="L83" s="93">
        <f t="shared" si="15"/>
        <v>0</v>
      </c>
      <c r="M83" s="93">
        <f t="shared" si="15"/>
        <v>0</v>
      </c>
      <c r="N83" s="93">
        <f t="shared" si="15"/>
        <v>0</v>
      </c>
      <c r="O83" s="93">
        <f t="shared" si="15"/>
        <v>0</v>
      </c>
      <c r="P83" s="93">
        <f t="shared" si="15"/>
        <v>0</v>
      </c>
      <c r="Q83" s="93">
        <f t="shared" si="15"/>
        <v>0</v>
      </c>
      <c r="R83" s="93">
        <f t="shared" si="15"/>
        <v>0</v>
      </c>
      <c r="S83" s="93">
        <f t="shared" si="15"/>
        <v>0</v>
      </c>
      <c r="T83" s="93">
        <f t="shared" si="15"/>
        <v>0</v>
      </c>
      <c r="U83" s="93">
        <f t="shared" si="15"/>
        <v>0</v>
      </c>
      <c r="V83" s="93">
        <f t="shared" si="15"/>
        <v>0</v>
      </c>
      <c r="W83" s="93">
        <f t="shared" si="15"/>
        <v>0</v>
      </c>
      <c r="X83" s="93">
        <f t="shared" si="15"/>
        <v>0</v>
      </c>
      <c r="Y83" s="93">
        <f t="shared" si="15"/>
        <v>0</v>
      </c>
      <c r="Z83" s="93">
        <f t="shared" si="15"/>
        <v>0</v>
      </c>
      <c r="AA83" s="93">
        <f t="shared" si="15"/>
        <v>0</v>
      </c>
      <c r="AB83" s="93">
        <f t="shared" si="15"/>
        <v>0</v>
      </c>
      <c r="AC83" s="93">
        <f t="shared" si="15"/>
        <v>0</v>
      </c>
      <c r="AD83" s="93">
        <f t="shared" si="15"/>
        <v>0</v>
      </c>
      <c r="AE83" s="93">
        <f t="shared" si="15"/>
        <v>0</v>
      </c>
      <c r="AF83" s="93">
        <f t="shared" si="15"/>
        <v>0</v>
      </c>
      <c r="AG83" s="96"/>
      <c r="AH83" s="20">
        <f t="shared" si="10"/>
        <v>0</v>
      </c>
      <c r="AI83" s="19">
        <f t="shared" si="11"/>
        <v>0</v>
      </c>
    </row>
    <row r="84" spans="1:37" x14ac:dyDescent="0.25">
      <c r="A84" s="95" t="s">
        <v>155</v>
      </c>
      <c r="B84" s="93">
        <f t="shared" ref="B84:AF84" si="16">IF(B64&lt;0,B64*-1,0)</f>
        <v>0</v>
      </c>
      <c r="C84" s="93">
        <f t="shared" si="16"/>
        <v>0</v>
      </c>
      <c r="D84" s="93">
        <f t="shared" si="16"/>
        <v>0</v>
      </c>
      <c r="E84" s="93">
        <f t="shared" si="16"/>
        <v>0</v>
      </c>
      <c r="F84" s="93">
        <f t="shared" si="16"/>
        <v>0</v>
      </c>
      <c r="G84" s="93">
        <f t="shared" si="16"/>
        <v>0</v>
      </c>
      <c r="H84" s="93">
        <f t="shared" si="16"/>
        <v>0</v>
      </c>
      <c r="I84" s="93">
        <f t="shared" si="16"/>
        <v>0</v>
      </c>
      <c r="J84" s="93">
        <f t="shared" si="16"/>
        <v>0</v>
      </c>
      <c r="K84" s="93">
        <f t="shared" si="16"/>
        <v>0</v>
      </c>
      <c r="L84" s="93">
        <f t="shared" si="16"/>
        <v>0</v>
      </c>
      <c r="M84" s="93">
        <f t="shared" si="16"/>
        <v>0</v>
      </c>
      <c r="N84" s="93">
        <f t="shared" si="16"/>
        <v>0</v>
      </c>
      <c r="O84" s="93">
        <f t="shared" si="16"/>
        <v>0</v>
      </c>
      <c r="P84" s="93">
        <f t="shared" si="16"/>
        <v>0</v>
      </c>
      <c r="Q84" s="93">
        <f t="shared" si="16"/>
        <v>0</v>
      </c>
      <c r="R84" s="93">
        <f t="shared" si="16"/>
        <v>0</v>
      </c>
      <c r="S84" s="93">
        <f t="shared" si="16"/>
        <v>0</v>
      </c>
      <c r="T84" s="93">
        <f t="shared" si="16"/>
        <v>0</v>
      </c>
      <c r="U84" s="93">
        <f t="shared" si="16"/>
        <v>0</v>
      </c>
      <c r="V84" s="93">
        <f t="shared" si="16"/>
        <v>0</v>
      </c>
      <c r="W84" s="93">
        <f t="shared" si="16"/>
        <v>0</v>
      </c>
      <c r="X84" s="93">
        <f t="shared" si="16"/>
        <v>0</v>
      </c>
      <c r="Y84" s="93">
        <f t="shared" si="16"/>
        <v>0</v>
      </c>
      <c r="Z84" s="93">
        <f t="shared" si="16"/>
        <v>0</v>
      </c>
      <c r="AA84" s="93">
        <f t="shared" si="16"/>
        <v>0</v>
      </c>
      <c r="AB84" s="93">
        <f t="shared" si="16"/>
        <v>0</v>
      </c>
      <c r="AC84" s="93">
        <f t="shared" si="16"/>
        <v>0</v>
      </c>
      <c r="AD84" s="93">
        <f t="shared" si="16"/>
        <v>0</v>
      </c>
      <c r="AE84" s="93">
        <f t="shared" si="16"/>
        <v>0</v>
      </c>
      <c r="AF84" s="93">
        <f t="shared" si="16"/>
        <v>0</v>
      </c>
      <c r="AG84" s="94"/>
      <c r="AH84" s="20">
        <f t="shared" si="10"/>
        <v>0</v>
      </c>
      <c r="AI84" s="19">
        <f t="shared" si="11"/>
        <v>0</v>
      </c>
    </row>
    <row r="85" spans="1:37" x14ac:dyDescent="0.25">
      <c r="A85" s="91" t="s">
        <v>154</v>
      </c>
      <c r="B85" s="93">
        <f t="shared" ref="B85:AF85" si="17">IF(B67&lt;0,B67*-1,0)</f>
        <v>0</v>
      </c>
      <c r="C85" s="93">
        <f t="shared" si="17"/>
        <v>0</v>
      </c>
      <c r="D85" s="93">
        <f t="shared" si="17"/>
        <v>0</v>
      </c>
      <c r="E85" s="93">
        <f t="shared" si="17"/>
        <v>0</v>
      </c>
      <c r="F85" s="93">
        <f t="shared" si="17"/>
        <v>0</v>
      </c>
      <c r="G85" s="93">
        <f t="shared" si="17"/>
        <v>0</v>
      </c>
      <c r="H85" s="93">
        <f t="shared" si="17"/>
        <v>0</v>
      </c>
      <c r="I85" s="93">
        <f t="shared" si="17"/>
        <v>0</v>
      </c>
      <c r="J85" s="93">
        <f t="shared" si="17"/>
        <v>0</v>
      </c>
      <c r="K85" s="93">
        <f t="shared" si="17"/>
        <v>0</v>
      </c>
      <c r="L85" s="93">
        <f t="shared" si="17"/>
        <v>0</v>
      </c>
      <c r="M85" s="93">
        <f t="shared" si="17"/>
        <v>0</v>
      </c>
      <c r="N85" s="93">
        <f t="shared" si="17"/>
        <v>0</v>
      </c>
      <c r="O85" s="93">
        <f t="shared" si="17"/>
        <v>0</v>
      </c>
      <c r="P85" s="93">
        <f t="shared" si="17"/>
        <v>0</v>
      </c>
      <c r="Q85" s="93">
        <f t="shared" si="17"/>
        <v>0</v>
      </c>
      <c r="R85" s="93">
        <f t="shared" si="17"/>
        <v>0</v>
      </c>
      <c r="S85" s="93">
        <f t="shared" si="17"/>
        <v>0</v>
      </c>
      <c r="T85" s="93">
        <f t="shared" si="17"/>
        <v>0</v>
      </c>
      <c r="U85" s="93">
        <f t="shared" si="17"/>
        <v>0</v>
      </c>
      <c r="V85" s="93">
        <f t="shared" si="17"/>
        <v>0</v>
      </c>
      <c r="W85" s="93">
        <f t="shared" si="17"/>
        <v>0</v>
      </c>
      <c r="X85" s="93">
        <f t="shared" si="17"/>
        <v>0</v>
      </c>
      <c r="Y85" s="93">
        <f t="shared" si="17"/>
        <v>0</v>
      </c>
      <c r="Z85" s="93">
        <f t="shared" si="17"/>
        <v>0</v>
      </c>
      <c r="AA85" s="93">
        <f t="shared" si="17"/>
        <v>0</v>
      </c>
      <c r="AB85" s="93">
        <f t="shared" si="17"/>
        <v>0</v>
      </c>
      <c r="AC85" s="93">
        <f t="shared" si="17"/>
        <v>0</v>
      </c>
      <c r="AD85" s="93">
        <f t="shared" si="17"/>
        <v>0</v>
      </c>
      <c r="AE85" s="93">
        <f t="shared" si="17"/>
        <v>0</v>
      </c>
      <c r="AF85" s="93">
        <f t="shared" si="17"/>
        <v>0</v>
      </c>
      <c r="AG85" s="92"/>
      <c r="AH85" s="20">
        <f t="shared" si="10"/>
        <v>0</v>
      </c>
      <c r="AI85" s="19">
        <f t="shared" si="11"/>
        <v>0</v>
      </c>
    </row>
    <row r="86" spans="1:37" x14ac:dyDescent="0.25">
      <c r="A86" s="91" t="s">
        <v>153</v>
      </c>
      <c r="B86" s="93">
        <f t="shared" ref="B86:AF86" si="18">IF(B65&lt;0,B65*-1,0)</f>
        <v>365</v>
      </c>
      <c r="C86" s="93">
        <f t="shared" si="18"/>
        <v>368</v>
      </c>
      <c r="D86" s="93">
        <f t="shared" si="18"/>
        <v>363</v>
      </c>
      <c r="E86" s="93">
        <f t="shared" si="18"/>
        <v>370</v>
      </c>
      <c r="F86" s="93">
        <f t="shared" si="18"/>
        <v>380</v>
      </c>
      <c r="G86" s="93">
        <f t="shared" si="18"/>
        <v>350</v>
      </c>
      <c r="H86" s="93">
        <f t="shared" si="18"/>
        <v>350</v>
      </c>
      <c r="I86" s="93">
        <f t="shared" si="18"/>
        <v>371</v>
      </c>
      <c r="J86" s="93">
        <f t="shared" si="18"/>
        <v>393</v>
      </c>
      <c r="K86" s="93">
        <f t="shared" si="18"/>
        <v>336</v>
      </c>
      <c r="L86" s="93">
        <f t="shared" si="18"/>
        <v>371</v>
      </c>
      <c r="M86" s="93">
        <f t="shared" si="18"/>
        <v>372</v>
      </c>
      <c r="N86" s="93">
        <f t="shared" si="18"/>
        <v>381</v>
      </c>
      <c r="O86" s="93">
        <f t="shared" si="18"/>
        <v>387</v>
      </c>
      <c r="P86" s="93">
        <f t="shared" si="18"/>
        <v>356.5</v>
      </c>
      <c r="Q86" s="93">
        <f t="shared" si="18"/>
        <v>363</v>
      </c>
      <c r="R86" s="93">
        <f t="shared" si="18"/>
        <v>368</v>
      </c>
      <c r="S86" s="93">
        <f t="shared" si="18"/>
        <v>370</v>
      </c>
      <c r="T86" s="93">
        <f t="shared" si="18"/>
        <v>366</v>
      </c>
      <c r="U86" s="93">
        <f t="shared" si="18"/>
        <v>378</v>
      </c>
      <c r="V86" s="93">
        <f t="shared" si="18"/>
        <v>378.7</v>
      </c>
      <c r="W86" s="93">
        <f t="shared" si="18"/>
        <v>348</v>
      </c>
      <c r="X86" s="93">
        <f t="shared" si="18"/>
        <v>266</v>
      </c>
      <c r="Y86" s="93">
        <f t="shared" si="18"/>
        <v>272</v>
      </c>
      <c r="Z86" s="93">
        <f t="shared" si="18"/>
        <v>354</v>
      </c>
      <c r="AA86" s="93">
        <f t="shared" si="18"/>
        <v>361</v>
      </c>
      <c r="AB86" s="93">
        <f t="shared" si="18"/>
        <v>378</v>
      </c>
      <c r="AC86" s="93">
        <f t="shared" si="18"/>
        <v>384</v>
      </c>
      <c r="AD86" s="93">
        <f t="shared" si="18"/>
        <v>364</v>
      </c>
      <c r="AE86" s="93">
        <f t="shared" si="18"/>
        <v>367</v>
      </c>
      <c r="AF86" s="93">
        <f t="shared" si="18"/>
        <v>368</v>
      </c>
      <c r="AG86" s="92"/>
      <c r="AH86" s="20">
        <f t="shared" si="10"/>
        <v>393</v>
      </c>
      <c r="AI86" s="19">
        <f t="shared" si="11"/>
        <v>266</v>
      </c>
    </row>
    <row r="87" spans="1:37" x14ac:dyDescent="0.25">
      <c r="A87" s="91" t="s">
        <v>152</v>
      </c>
      <c r="B87" s="93">
        <f t="shared" ref="B87:AF87" si="19">IF(B63&lt;0,B63*-1,0)</f>
        <v>0</v>
      </c>
      <c r="C87" s="93">
        <f t="shared" si="19"/>
        <v>0</v>
      </c>
      <c r="D87" s="93">
        <f t="shared" si="19"/>
        <v>0</v>
      </c>
      <c r="E87" s="93">
        <f t="shared" si="19"/>
        <v>0</v>
      </c>
      <c r="F87" s="93">
        <f t="shared" si="19"/>
        <v>0</v>
      </c>
      <c r="G87" s="93">
        <f t="shared" si="19"/>
        <v>0</v>
      </c>
      <c r="H87" s="93">
        <f t="shared" si="19"/>
        <v>0</v>
      </c>
      <c r="I87" s="93">
        <f t="shared" si="19"/>
        <v>0</v>
      </c>
      <c r="J87" s="93">
        <f t="shared" si="19"/>
        <v>0</v>
      </c>
      <c r="K87" s="93">
        <f t="shared" si="19"/>
        <v>0</v>
      </c>
      <c r="L87" s="93">
        <f t="shared" si="19"/>
        <v>0</v>
      </c>
      <c r="M87" s="93">
        <f t="shared" si="19"/>
        <v>0</v>
      </c>
      <c r="N87" s="93">
        <f t="shared" si="19"/>
        <v>0</v>
      </c>
      <c r="O87" s="93">
        <f t="shared" si="19"/>
        <v>0</v>
      </c>
      <c r="P87" s="93">
        <f t="shared" si="19"/>
        <v>0</v>
      </c>
      <c r="Q87" s="93">
        <f t="shared" si="19"/>
        <v>0</v>
      </c>
      <c r="R87" s="93">
        <f t="shared" si="19"/>
        <v>0</v>
      </c>
      <c r="S87" s="93">
        <f t="shared" si="19"/>
        <v>0</v>
      </c>
      <c r="T87" s="93">
        <f t="shared" si="19"/>
        <v>0</v>
      </c>
      <c r="U87" s="93">
        <f t="shared" si="19"/>
        <v>0</v>
      </c>
      <c r="V87" s="93">
        <f t="shared" si="19"/>
        <v>0</v>
      </c>
      <c r="W87" s="93">
        <f t="shared" si="19"/>
        <v>0</v>
      </c>
      <c r="X87" s="93">
        <f t="shared" si="19"/>
        <v>0</v>
      </c>
      <c r="Y87" s="93">
        <f t="shared" si="19"/>
        <v>0</v>
      </c>
      <c r="Z87" s="93">
        <f t="shared" si="19"/>
        <v>0</v>
      </c>
      <c r="AA87" s="93">
        <f t="shared" si="19"/>
        <v>0</v>
      </c>
      <c r="AB87" s="93">
        <f t="shared" si="19"/>
        <v>0</v>
      </c>
      <c r="AC87" s="93">
        <f t="shared" si="19"/>
        <v>0</v>
      </c>
      <c r="AD87" s="93">
        <f t="shared" si="19"/>
        <v>0</v>
      </c>
      <c r="AE87" s="93">
        <f t="shared" si="19"/>
        <v>0</v>
      </c>
      <c r="AF87" s="93">
        <f t="shared" si="19"/>
        <v>0</v>
      </c>
      <c r="AG87" s="92"/>
      <c r="AH87" s="20">
        <f t="shared" si="10"/>
        <v>0</v>
      </c>
      <c r="AI87" s="19">
        <f t="shared" si="11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10"/>
        <v>0</v>
      </c>
      <c r="AI88" s="19">
        <f t="shared" si="11"/>
        <v>0</v>
      </c>
    </row>
    <row r="89" spans="1:37" ht="15.75" thickBot="1" x14ac:dyDescent="0.3">
      <c r="A89" s="88" t="s">
        <v>150</v>
      </c>
      <c r="B89" s="86">
        <f t="shared" ref="B89:AF89" si="20">SUM(B83:B88)</f>
        <v>365</v>
      </c>
      <c r="C89" s="86">
        <f t="shared" si="20"/>
        <v>368</v>
      </c>
      <c r="D89" s="86">
        <f t="shared" si="20"/>
        <v>363</v>
      </c>
      <c r="E89" s="86">
        <f t="shared" si="20"/>
        <v>370</v>
      </c>
      <c r="F89" s="86">
        <f t="shared" si="20"/>
        <v>380</v>
      </c>
      <c r="G89" s="86">
        <f t="shared" si="20"/>
        <v>350</v>
      </c>
      <c r="H89" s="86">
        <f t="shared" si="20"/>
        <v>350</v>
      </c>
      <c r="I89" s="86">
        <f t="shared" si="20"/>
        <v>371</v>
      </c>
      <c r="J89" s="86">
        <f t="shared" si="20"/>
        <v>393</v>
      </c>
      <c r="K89" s="86">
        <f t="shared" si="20"/>
        <v>336</v>
      </c>
      <c r="L89" s="86">
        <f t="shared" si="20"/>
        <v>371</v>
      </c>
      <c r="M89" s="86">
        <f t="shared" si="20"/>
        <v>372</v>
      </c>
      <c r="N89" s="86">
        <f t="shared" si="20"/>
        <v>381</v>
      </c>
      <c r="O89" s="86">
        <f t="shared" si="20"/>
        <v>387</v>
      </c>
      <c r="P89" s="86">
        <f t="shared" si="20"/>
        <v>356.5</v>
      </c>
      <c r="Q89" s="86">
        <f t="shared" si="20"/>
        <v>363</v>
      </c>
      <c r="R89" s="86">
        <f t="shared" si="20"/>
        <v>368</v>
      </c>
      <c r="S89" s="86">
        <f t="shared" si="20"/>
        <v>370</v>
      </c>
      <c r="T89" s="86">
        <f t="shared" si="20"/>
        <v>366</v>
      </c>
      <c r="U89" s="86">
        <f t="shared" si="20"/>
        <v>378</v>
      </c>
      <c r="V89" s="86">
        <f t="shared" si="20"/>
        <v>378.7</v>
      </c>
      <c r="W89" s="86">
        <f t="shared" si="20"/>
        <v>348</v>
      </c>
      <c r="X89" s="86">
        <f t="shared" si="20"/>
        <v>266</v>
      </c>
      <c r="Y89" s="86">
        <f t="shared" si="20"/>
        <v>272</v>
      </c>
      <c r="Z89" s="86">
        <f t="shared" si="20"/>
        <v>354</v>
      </c>
      <c r="AA89" s="86">
        <f t="shared" si="20"/>
        <v>361</v>
      </c>
      <c r="AB89" s="86">
        <f t="shared" si="20"/>
        <v>378</v>
      </c>
      <c r="AC89" s="86">
        <f t="shared" si="20"/>
        <v>384</v>
      </c>
      <c r="AD89" s="86">
        <f t="shared" si="20"/>
        <v>364</v>
      </c>
      <c r="AE89" s="86">
        <f t="shared" si="20"/>
        <v>367</v>
      </c>
      <c r="AF89" s="86">
        <f t="shared" si="20"/>
        <v>368</v>
      </c>
      <c r="AG89" s="85"/>
      <c r="AH89" s="20">
        <f t="shared" si="10"/>
        <v>393</v>
      </c>
      <c r="AI89" s="19">
        <f t="shared" si="11"/>
        <v>266</v>
      </c>
      <c r="AK89" s="41"/>
    </row>
    <row r="90" spans="1:37" ht="15.75" thickBot="1" x14ac:dyDescent="0.3">
      <c r="A90" s="87" t="s">
        <v>149</v>
      </c>
      <c r="B90" s="86">
        <f t="shared" ref="B90:AF90" si="21">B74-B89</f>
        <v>-365</v>
      </c>
      <c r="C90" s="86">
        <f t="shared" si="21"/>
        <v>-368</v>
      </c>
      <c r="D90" s="86">
        <f t="shared" si="21"/>
        <v>-363</v>
      </c>
      <c r="E90" s="86">
        <f t="shared" si="21"/>
        <v>-370</v>
      </c>
      <c r="F90" s="86">
        <f t="shared" si="21"/>
        <v>-380</v>
      </c>
      <c r="G90" s="86">
        <f t="shared" si="21"/>
        <v>-350</v>
      </c>
      <c r="H90" s="86">
        <f t="shared" si="21"/>
        <v>-350</v>
      </c>
      <c r="I90" s="86">
        <f t="shared" si="21"/>
        <v>-371</v>
      </c>
      <c r="J90" s="86">
        <f t="shared" si="21"/>
        <v>-393</v>
      </c>
      <c r="K90" s="86">
        <f t="shared" si="21"/>
        <v>-336</v>
      </c>
      <c r="L90" s="86">
        <f t="shared" si="21"/>
        <v>-371</v>
      </c>
      <c r="M90" s="86">
        <f t="shared" si="21"/>
        <v>-372</v>
      </c>
      <c r="N90" s="86">
        <f t="shared" si="21"/>
        <v>-381</v>
      </c>
      <c r="O90" s="86">
        <f t="shared" si="21"/>
        <v>-387</v>
      </c>
      <c r="P90" s="86">
        <f t="shared" si="21"/>
        <v>-356.5</v>
      </c>
      <c r="Q90" s="86">
        <f t="shared" si="21"/>
        <v>-363</v>
      </c>
      <c r="R90" s="86">
        <f t="shared" si="21"/>
        <v>-368</v>
      </c>
      <c r="S90" s="86">
        <f t="shared" si="21"/>
        <v>-370</v>
      </c>
      <c r="T90" s="86">
        <f t="shared" si="21"/>
        <v>-366</v>
      </c>
      <c r="U90" s="86">
        <f t="shared" si="21"/>
        <v>-378</v>
      </c>
      <c r="V90" s="86">
        <f t="shared" si="21"/>
        <v>-378.7</v>
      </c>
      <c r="W90" s="86">
        <f t="shared" si="21"/>
        <v>-334</v>
      </c>
      <c r="X90" s="86">
        <f t="shared" si="21"/>
        <v>-223.7</v>
      </c>
      <c r="Y90" s="86">
        <f t="shared" si="21"/>
        <v>-200</v>
      </c>
      <c r="Z90" s="86">
        <f t="shared" si="21"/>
        <v>-282.60000000000002</v>
      </c>
      <c r="AA90" s="86">
        <f t="shared" si="21"/>
        <v>-292.5</v>
      </c>
      <c r="AB90" s="86">
        <f t="shared" si="21"/>
        <v>-361</v>
      </c>
      <c r="AC90" s="86">
        <f t="shared" si="21"/>
        <v>-379</v>
      </c>
      <c r="AD90" s="86">
        <f t="shared" si="21"/>
        <v>-364</v>
      </c>
      <c r="AE90" s="86">
        <f t="shared" si="21"/>
        <v>-367</v>
      </c>
      <c r="AF90" s="86">
        <f t="shared" si="21"/>
        <v>-368</v>
      </c>
      <c r="AG90" s="85"/>
      <c r="AH90" s="20">
        <f t="shared" si="10"/>
        <v>-200</v>
      </c>
      <c r="AI90" s="19">
        <f t="shared" si="11"/>
        <v>-393</v>
      </c>
    </row>
    <row r="91" spans="1:37" x14ac:dyDescent="0.25">
      <c r="A91" s="47" t="s">
        <v>148</v>
      </c>
      <c r="B91" s="84">
        <v>50.04</v>
      </c>
      <c r="C91" s="84">
        <v>50.02</v>
      </c>
      <c r="D91" s="84">
        <v>50.02</v>
      </c>
      <c r="E91" s="84">
        <v>50.02</v>
      </c>
      <c r="F91" s="84">
        <v>50.02</v>
      </c>
      <c r="G91" s="84">
        <v>50.02</v>
      </c>
      <c r="H91" s="84">
        <v>50.02</v>
      </c>
      <c r="I91" s="84">
        <v>49.966000000000001</v>
      </c>
      <c r="J91" s="84">
        <v>49.826000000000001</v>
      </c>
      <c r="K91" s="84">
        <v>49.826000000000001</v>
      </c>
      <c r="L91" s="84">
        <v>49.826000000000001</v>
      </c>
      <c r="M91" s="84">
        <v>50.09</v>
      </c>
      <c r="N91" s="84">
        <v>50.055999999999997</v>
      </c>
      <c r="O91" s="84">
        <v>50.01</v>
      </c>
      <c r="P91" s="84">
        <v>49.97</v>
      </c>
      <c r="Q91" s="84">
        <v>49.98</v>
      </c>
      <c r="R91" s="84">
        <v>50.05</v>
      </c>
      <c r="S91" s="84">
        <v>49.939</v>
      </c>
      <c r="T91" s="84">
        <v>50.033999999999999</v>
      </c>
      <c r="U91" s="84">
        <v>50.006</v>
      </c>
      <c r="V91" s="84">
        <v>49.856999999999999</v>
      </c>
      <c r="W91" s="84">
        <v>49.893000000000001</v>
      </c>
      <c r="X91" s="84">
        <v>49.951999999999998</v>
      </c>
      <c r="Y91" s="84">
        <v>49.808</v>
      </c>
      <c r="Z91" s="84">
        <v>50.034999999999997</v>
      </c>
      <c r="AA91" s="84">
        <v>50.03</v>
      </c>
      <c r="AB91" s="84">
        <v>50.1</v>
      </c>
      <c r="AC91" s="84">
        <v>49.991</v>
      </c>
      <c r="AD91" s="84">
        <v>49.98</v>
      </c>
      <c r="AE91" s="84">
        <v>50.05</v>
      </c>
      <c r="AF91" s="84">
        <v>49.99</v>
      </c>
      <c r="AG91" s="83"/>
      <c r="AH91" s="20">
        <f t="shared" si="10"/>
        <v>50.1</v>
      </c>
      <c r="AI91" s="19">
        <f t="shared" si="11"/>
        <v>49.808</v>
      </c>
    </row>
    <row r="92" spans="1:37" x14ac:dyDescent="0.25">
      <c r="A92" s="44" t="s">
        <v>147</v>
      </c>
      <c r="B92" s="80">
        <v>125</v>
      </c>
      <c r="C92" s="80">
        <v>126</v>
      </c>
      <c r="D92" s="80">
        <v>125</v>
      </c>
      <c r="E92" s="80">
        <v>125</v>
      </c>
      <c r="F92" s="80">
        <v>125</v>
      </c>
      <c r="G92" s="80">
        <v>125</v>
      </c>
      <c r="H92" s="80">
        <v>125</v>
      </c>
      <c r="I92" s="80">
        <v>125</v>
      </c>
      <c r="J92" s="80">
        <v>124</v>
      </c>
      <c r="K92" s="80">
        <v>124</v>
      </c>
      <c r="L92" s="80">
        <v>124</v>
      </c>
      <c r="M92" s="80">
        <v>123.9</v>
      </c>
      <c r="N92" s="80">
        <v>123</v>
      </c>
      <c r="O92" s="80">
        <v>122.99</v>
      </c>
      <c r="P92" s="80">
        <v>123.6</v>
      </c>
      <c r="Q92" s="80">
        <v>124.1</v>
      </c>
      <c r="R92" s="80">
        <v>124.7</v>
      </c>
      <c r="S92" s="80">
        <v>122.6</v>
      </c>
      <c r="T92" s="80">
        <v>125.5</v>
      </c>
      <c r="U92" s="80">
        <v>123.7</v>
      </c>
      <c r="V92" s="80">
        <v>123.9</v>
      </c>
      <c r="W92" s="80">
        <v>125.6</v>
      </c>
      <c r="X92" s="80">
        <v>124.2</v>
      </c>
      <c r="Y92" s="80">
        <v>124.5</v>
      </c>
      <c r="Z92" s="80">
        <v>126.5</v>
      </c>
      <c r="AA92" s="80">
        <v>126.5</v>
      </c>
      <c r="AB92" s="80">
        <v>126.7</v>
      </c>
      <c r="AC92" s="80">
        <v>125.8</v>
      </c>
      <c r="AD92" s="80">
        <v>125.8</v>
      </c>
      <c r="AE92" s="80">
        <v>126.3</v>
      </c>
      <c r="AF92" s="80">
        <v>127</v>
      </c>
      <c r="AG92" s="79"/>
      <c r="AH92" s="20">
        <f t="shared" si="10"/>
        <v>127</v>
      </c>
      <c r="AI92" s="19">
        <f t="shared" si="11"/>
        <v>122.6</v>
      </c>
    </row>
    <row r="93" spans="1:37" x14ac:dyDescent="0.25">
      <c r="A93" s="44" t="s">
        <v>146</v>
      </c>
      <c r="B93" s="80">
        <v>129.80000000000001</v>
      </c>
      <c r="C93" s="80">
        <v>130</v>
      </c>
      <c r="D93" s="80">
        <v>130</v>
      </c>
      <c r="E93" s="80">
        <v>130</v>
      </c>
      <c r="F93" s="80">
        <v>130</v>
      </c>
      <c r="G93" s="80">
        <v>130</v>
      </c>
      <c r="H93" s="80">
        <v>130</v>
      </c>
      <c r="I93" s="80">
        <v>130</v>
      </c>
      <c r="J93" s="80">
        <v>130</v>
      </c>
      <c r="K93" s="80">
        <v>130</v>
      </c>
      <c r="L93" s="80">
        <v>130</v>
      </c>
      <c r="M93" s="80">
        <v>127.4</v>
      </c>
      <c r="N93" s="80">
        <v>127</v>
      </c>
      <c r="O93" s="80">
        <v>127</v>
      </c>
      <c r="P93" s="80">
        <v>127.3</v>
      </c>
      <c r="Q93" s="80">
        <v>127.6</v>
      </c>
      <c r="R93" s="80">
        <v>128</v>
      </c>
      <c r="S93" s="80">
        <v>126.6</v>
      </c>
      <c r="T93" s="80">
        <v>129.1</v>
      </c>
      <c r="U93" s="80">
        <v>126.4</v>
      </c>
      <c r="V93" s="80">
        <v>127.3</v>
      </c>
      <c r="W93" s="80">
        <v>125.6</v>
      </c>
      <c r="X93" s="80">
        <v>126.7</v>
      </c>
      <c r="Y93" s="80">
        <v>127.1</v>
      </c>
      <c r="Z93" s="80">
        <v>129</v>
      </c>
      <c r="AA93" s="80">
        <v>129.5</v>
      </c>
      <c r="AB93" s="80">
        <v>130.19999999999999</v>
      </c>
      <c r="AC93" s="80">
        <v>129.6</v>
      </c>
      <c r="AD93" s="80">
        <v>129.6</v>
      </c>
      <c r="AE93" s="80">
        <v>130.69999999999999</v>
      </c>
      <c r="AF93" s="80">
        <v>131</v>
      </c>
      <c r="AG93" s="79"/>
      <c r="AH93" s="20">
        <f t="shared" si="10"/>
        <v>131</v>
      </c>
      <c r="AI93" s="19">
        <f t="shared" si="11"/>
        <v>125.6</v>
      </c>
    </row>
    <row r="94" spans="1:37" x14ac:dyDescent="0.25">
      <c r="A94" s="44" t="s">
        <v>145</v>
      </c>
      <c r="B94" s="80">
        <v>130</v>
      </c>
      <c r="C94" s="80">
        <v>132</v>
      </c>
      <c r="D94" s="80">
        <v>130</v>
      </c>
      <c r="E94" s="80">
        <v>130</v>
      </c>
      <c r="F94" s="80">
        <v>130</v>
      </c>
      <c r="G94" s="80">
        <v>130</v>
      </c>
      <c r="H94" s="80">
        <v>130</v>
      </c>
      <c r="I94" s="80">
        <v>130</v>
      </c>
      <c r="J94" s="80">
        <v>130</v>
      </c>
      <c r="K94" s="80">
        <v>130</v>
      </c>
      <c r="L94" s="80">
        <v>130</v>
      </c>
      <c r="M94" s="80">
        <v>130.5</v>
      </c>
      <c r="N94" s="80">
        <v>127.5</v>
      </c>
      <c r="O94" s="80">
        <v>128.4</v>
      </c>
      <c r="P94" s="80">
        <v>128.69999999999999</v>
      </c>
      <c r="Q94" s="80">
        <v>129.5</v>
      </c>
      <c r="R94" s="80">
        <v>128.4</v>
      </c>
      <c r="S94" s="80">
        <v>126.7</v>
      </c>
      <c r="T94" s="80">
        <v>128.5</v>
      </c>
      <c r="U94" s="80">
        <v>128.80000000000001</v>
      </c>
      <c r="V94" s="80">
        <v>129.80000000000001</v>
      </c>
      <c r="W94" s="80">
        <v>129</v>
      </c>
      <c r="X94" s="80">
        <v>127</v>
      </c>
      <c r="Y94" s="80">
        <v>130.1</v>
      </c>
      <c r="Z94" s="80">
        <v>129.5</v>
      </c>
      <c r="AA94" s="80">
        <v>130.19999999999999</v>
      </c>
      <c r="AB94" s="80">
        <v>129.5</v>
      </c>
      <c r="AC94" s="80">
        <v>129.19999999999999</v>
      </c>
      <c r="AD94" s="80">
        <v>129.19999999999999</v>
      </c>
      <c r="AE94" s="80">
        <v>130</v>
      </c>
      <c r="AF94" s="80">
        <v>130</v>
      </c>
      <c r="AG94" s="79"/>
      <c r="AH94" s="20">
        <f t="shared" si="10"/>
        <v>132</v>
      </c>
      <c r="AI94" s="19">
        <f t="shared" si="11"/>
        <v>126.7</v>
      </c>
    </row>
    <row r="95" spans="1:37" x14ac:dyDescent="0.25">
      <c r="A95" s="82" t="s">
        <v>144</v>
      </c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79"/>
      <c r="AH95" s="20">
        <f t="shared" si="10"/>
        <v>0</v>
      </c>
      <c r="AI95" s="19">
        <f t="shared" si="11"/>
        <v>0</v>
      </c>
    </row>
    <row r="96" spans="1:37" x14ac:dyDescent="0.25">
      <c r="A96" s="82" t="s">
        <v>143</v>
      </c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>
        <v>132.9</v>
      </c>
      <c r="AD96" s="66">
        <v>132.9</v>
      </c>
      <c r="AE96" s="66">
        <v>134</v>
      </c>
      <c r="AF96" s="66">
        <v>132.9</v>
      </c>
      <c r="AG96" s="81"/>
      <c r="AH96" s="20">
        <f t="shared" si="10"/>
        <v>134</v>
      </c>
      <c r="AI96" s="19">
        <f t="shared" si="11"/>
        <v>132.9</v>
      </c>
    </row>
    <row r="97" spans="1:37" x14ac:dyDescent="0.25">
      <c r="A97" s="44" t="s">
        <v>142</v>
      </c>
      <c r="B97" s="80">
        <v>129</v>
      </c>
      <c r="C97" s="80">
        <v>132</v>
      </c>
      <c r="D97" s="80">
        <v>131</v>
      </c>
      <c r="E97" s="80">
        <v>131</v>
      </c>
      <c r="F97" s="80">
        <v>131</v>
      </c>
      <c r="G97" s="80">
        <v>131</v>
      </c>
      <c r="H97" s="80">
        <v>131</v>
      </c>
      <c r="I97" s="80">
        <v>131</v>
      </c>
      <c r="J97" s="80">
        <v>131</v>
      </c>
      <c r="K97" s="80">
        <v>131</v>
      </c>
      <c r="L97" s="80">
        <v>131</v>
      </c>
      <c r="M97" s="80">
        <v>130.9</v>
      </c>
      <c r="N97" s="80">
        <v>130</v>
      </c>
      <c r="O97" s="80">
        <v>125.7</v>
      </c>
      <c r="P97" s="80">
        <v>126.9</v>
      </c>
      <c r="Q97" s="80">
        <v>129.69999999999999</v>
      </c>
      <c r="R97" s="80">
        <v>130.9</v>
      </c>
      <c r="S97" s="80">
        <v>124.5</v>
      </c>
      <c r="T97" s="80">
        <v>130.6</v>
      </c>
      <c r="U97" s="80">
        <v>127.2</v>
      </c>
      <c r="V97" s="80">
        <v>131.69999999999999</v>
      </c>
      <c r="W97" s="80">
        <v>133.30000000000001</v>
      </c>
      <c r="X97" s="80">
        <v>134</v>
      </c>
      <c r="Y97" s="80">
        <v>132.1</v>
      </c>
      <c r="Z97" s="80">
        <v>135.69999999999999</v>
      </c>
      <c r="AA97" s="80">
        <v>135.69999999999999</v>
      </c>
      <c r="AB97" s="80">
        <v>132.6</v>
      </c>
      <c r="AC97" s="80">
        <v>132.1</v>
      </c>
      <c r="AD97" s="80">
        <v>132.1</v>
      </c>
      <c r="AE97" s="80">
        <v>131</v>
      </c>
      <c r="AF97" s="80">
        <v>130</v>
      </c>
      <c r="AG97" s="79"/>
      <c r="AH97" s="20">
        <f t="shared" si="10"/>
        <v>135.69999999999999</v>
      </c>
      <c r="AI97" s="19">
        <f t="shared" si="11"/>
        <v>124.5</v>
      </c>
    </row>
    <row r="98" spans="1:37" ht="15.75" thickBot="1" x14ac:dyDescent="0.3">
      <c r="A98" s="44" t="s">
        <v>141</v>
      </c>
      <c r="B98" s="77">
        <v>65.599999999999994</v>
      </c>
      <c r="C98" s="77">
        <v>65.7</v>
      </c>
      <c r="D98" s="77">
        <v>65.7</v>
      </c>
      <c r="E98" s="77">
        <v>65.7</v>
      </c>
      <c r="F98" s="77">
        <v>65.7</v>
      </c>
      <c r="G98" s="77">
        <v>65.7</v>
      </c>
      <c r="H98" s="77">
        <v>65.7</v>
      </c>
      <c r="I98" s="77">
        <v>65.7</v>
      </c>
      <c r="J98" s="77">
        <v>64.8</v>
      </c>
      <c r="K98" s="77">
        <v>64.8</v>
      </c>
      <c r="L98" s="77">
        <v>64.8</v>
      </c>
      <c r="M98" s="77">
        <v>64.3</v>
      </c>
      <c r="N98" s="77">
        <v>64</v>
      </c>
      <c r="O98" s="77">
        <v>63.9</v>
      </c>
      <c r="P98" s="77">
        <v>64.3</v>
      </c>
      <c r="Q98" s="77">
        <v>64.3</v>
      </c>
      <c r="R98" s="77">
        <v>64.5</v>
      </c>
      <c r="S98" s="77">
        <v>64</v>
      </c>
      <c r="T98" s="77">
        <v>64.2</v>
      </c>
      <c r="U98" s="77">
        <v>64</v>
      </c>
      <c r="V98" s="77">
        <v>64.400000000000006</v>
      </c>
      <c r="W98" s="77">
        <v>65</v>
      </c>
      <c r="X98" s="77">
        <v>64.2</v>
      </c>
      <c r="Y98" s="77">
        <v>64.400000000000006</v>
      </c>
      <c r="Z98" s="77">
        <v>65.5</v>
      </c>
      <c r="AA98" s="77">
        <v>65.599999999999994</v>
      </c>
      <c r="AB98" s="77">
        <v>66</v>
      </c>
      <c r="AC98" s="77">
        <v>65.599999999999994</v>
      </c>
      <c r="AD98" s="77">
        <v>65.599999999999994</v>
      </c>
      <c r="AE98" s="77">
        <v>66.2</v>
      </c>
      <c r="AF98" s="77">
        <v>66.599999999999994</v>
      </c>
      <c r="AG98" s="76"/>
      <c r="AH98" s="20">
        <f t="shared" si="10"/>
        <v>66.599999999999994</v>
      </c>
      <c r="AI98" s="19">
        <f t="shared" si="11"/>
        <v>63.9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10"/>
        <v>0</v>
      </c>
      <c r="AI99" s="19">
        <f t="shared" si="11"/>
        <v>0</v>
      </c>
    </row>
    <row r="100" spans="1:37" ht="15.75" thickBot="1" x14ac:dyDescent="0.3">
      <c r="A100" s="75" t="s">
        <v>140</v>
      </c>
      <c r="B100" s="74">
        <f t="shared" ref="B100:AF100" si="22">SUM(B15,B20,B22:B23,B48,B50:B51,B53,B55,B101:B105,B127,B133,B139,B148,B150,B162,B169,B172:B173,B180,B182,B184,B188:B190,B192:B194,B199,B205:B206,B208:B210,B218,B223)</f>
        <v>39.78</v>
      </c>
      <c r="C100" s="74">
        <f t="shared" si="22"/>
        <v>36.22</v>
      </c>
      <c r="D100" s="74">
        <f t="shared" si="22"/>
        <v>35.22</v>
      </c>
      <c r="E100" s="74">
        <f t="shared" si="22"/>
        <v>35.22</v>
      </c>
      <c r="F100" s="74">
        <f t="shared" si="22"/>
        <v>36.22</v>
      </c>
      <c r="G100" s="74">
        <f t="shared" si="22"/>
        <v>48.72</v>
      </c>
      <c r="H100" s="74">
        <f t="shared" si="22"/>
        <v>48.72</v>
      </c>
      <c r="I100" s="74">
        <f t="shared" si="22"/>
        <v>82.22</v>
      </c>
      <c r="J100" s="74">
        <f t="shared" si="22"/>
        <v>138.82</v>
      </c>
      <c r="K100" s="74">
        <f t="shared" si="22"/>
        <v>190.82</v>
      </c>
      <c r="L100" s="74">
        <f t="shared" si="22"/>
        <v>193.32</v>
      </c>
      <c r="M100" s="74">
        <f t="shared" si="22"/>
        <v>218.12</v>
      </c>
      <c r="N100" s="74">
        <f t="shared" si="22"/>
        <v>209.22</v>
      </c>
      <c r="O100" s="74">
        <f t="shared" si="22"/>
        <v>190.32000000000002</v>
      </c>
      <c r="P100" s="74">
        <f t="shared" si="22"/>
        <v>181.92000000000002</v>
      </c>
      <c r="Q100" s="74">
        <f t="shared" si="22"/>
        <v>179.98</v>
      </c>
      <c r="R100" s="74">
        <f t="shared" si="22"/>
        <v>181.08</v>
      </c>
      <c r="S100" s="74">
        <f t="shared" si="22"/>
        <v>172.87999999999997</v>
      </c>
      <c r="T100" s="74">
        <f t="shared" si="22"/>
        <v>189.38</v>
      </c>
      <c r="U100" s="74">
        <f t="shared" si="22"/>
        <v>196.58</v>
      </c>
      <c r="V100" s="74">
        <f t="shared" si="22"/>
        <v>202.18</v>
      </c>
      <c r="W100" s="74">
        <f t="shared" si="22"/>
        <v>224.07999999999998</v>
      </c>
      <c r="X100" s="74">
        <f t="shared" si="22"/>
        <v>269.67999999999995</v>
      </c>
      <c r="Y100" s="74">
        <f t="shared" si="22"/>
        <v>263.88</v>
      </c>
      <c r="Z100" s="74">
        <f t="shared" si="22"/>
        <v>247.78000000000003</v>
      </c>
      <c r="AA100" s="74">
        <f t="shared" si="22"/>
        <v>223.08000000000004</v>
      </c>
      <c r="AB100" s="74">
        <f t="shared" si="22"/>
        <v>190.07999999999998</v>
      </c>
      <c r="AC100" s="74">
        <f t="shared" si="22"/>
        <v>166.27999999999997</v>
      </c>
      <c r="AD100" s="74">
        <f t="shared" si="22"/>
        <v>115.58</v>
      </c>
      <c r="AE100" s="74">
        <f t="shared" si="22"/>
        <v>79.38</v>
      </c>
      <c r="AF100" s="74">
        <f t="shared" si="22"/>
        <v>52.78</v>
      </c>
      <c r="AG100" s="73"/>
      <c r="AH100" s="20">
        <f t="shared" si="10"/>
        <v>269.67999999999995</v>
      </c>
      <c r="AI100" s="19">
        <f t="shared" si="11"/>
        <v>35.22</v>
      </c>
    </row>
    <row r="101" spans="1:37" x14ac:dyDescent="0.25">
      <c r="A101" s="47" t="s">
        <v>139</v>
      </c>
      <c r="B101" s="72">
        <v>7</v>
      </c>
      <c r="C101" s="72">
        <v>11</v>
      </c>
      <c r="D101" s="72">
        <v>13</v>
      </c>
      <c r="E101" s="72">
        <v>13</v>
      </c>
      <c r="F101" s="72">
        <v>12</v>
      </c>
      <c r="G101" s="72">
        <v>11</v>
      </c>
      <c r="H101" s="72">
        <v>11</v>
      </c>
      <c r="I101" s="72">
        <v>13</v>
      </c>
      <c r="J101" s="72">
        <v>17</v>
      </c>
      <c r="K101" s="72">
        <v>20</v>
      </c>
      <c r="L101" s="72">
        <v>20</v>
      </c>
      <c r="M101" s="72">
        <v>26.6</v>
      </c>
      <c r="N101" s="72">
        <v>29.6</v>
      </c>
      <c r="O101" s="72">
        <v>33.5</v>
      </c>
      <c r="P101" s="72">
        <v>32.200000000000003</v>
      </c>
      <c r="Q101" s="72">
        <v>26.7</v>
      </c>
      <c r="R101" s="72">
        <v>27.5</v>
      </c>
      <c r="S101" s="72">
        <v>22.1</v>
      </c>
      <c r="T101" s="72">
        <v>24.2</v>
      </c>
      <c r="U101" s="72">
        <v>20</v>
      </c>
      <c r="V101" s="72">
        <v>25.9</v>
      </c>
      <c r="W101" s="72">
        <v>23</v>
      </c>
      <c r="X101" s="72">
        <v>25.7</v>
      </c>
      <c r="Y101" s="72">
        <v>26</v>
      </c>
      <c r="Z101" s="72">
        <v>32.9</v>
      </c>
      <c r="AA101" s="72">
        <v>36.200000000000003</v>
      </c>
      <c r="AB101" s="72">
        <v>29</v>
      </c>
      <c r="AC101" s="72">
        <v>28.9</v>
      </c>
      <c r="AD101" s="72">
        <v>31</v>
      </c>
      <c r="AE101" s="72">
        <v>26</v>
      </c>
      <c r="AF101" s="72">
        <v>20</v>
      </c>
      <c r="AG101" s="70">
        <v>75</v>
      </c>
      <c r="AH101" s="20">
        <f t="shared" si="10"/>
        <v>36.200000000000003</v>
      </c>
      <c r="AI101" s="19">
        <f t="shared" si="11"/>
        <v>7</v>
      </c>
    </row>
    <row r="102" spans="1:37" x14ac:dyDescent="0.25">
      <c r="A102" s="44" t="s">
        <v>138</v>
      </c>
      <c r="B102" s="71">
        <v>23</v>
      </c>
      <c r="C102" s="71">
        <v>29</v>
      </c>
      <c r="D102" s="71">
        <v>31</v>
      </c>
      <c r="E102" s="71">
        <v>31</v>
      </c>
      <c r="F102" s="71">
        <v>31</v>
      </c>
      <c r="G102" s="71">
        <v>29</v>
      </c>
      <c r="H102" s="71">
        <v>29</v>
      </c>
      <c r="I102" s="71">
        <v>29</v>
      </c>
      <c r="J102" s="71">
        <v>35</v>
      </c>
      <c r="K102" s="71">
        <v>40</v>
      </c>
      <c r="L102" s="71">
        <v>40</v>
      </c>
      <c r="M102" s="71">
        <v>51.9</v>
      </c>
      <c r="N102" s="71">
        <v>56.5</v>
      </c>
      <c r="O102" s="71">
        <v>58.7</v>
      </c>
      <c r="P102" s="71">
        <v>60.8</v>
      </c>
      <c r="Q102" s="71">
        <v>52.5</v>
      </c>
      <c r="R102" s="71">
        <v>54.8</v>
      </c>
      <c r="S102" s="71">
        <v>46.6</v>
      </c>
      <c r="T102" s="71">
        <v>49.1</v>
      </c>
      <c r="U102" s="71">
        <v>42.4</v>
      </c>
      <c r="V102" s="71">
        <v>44.3</v>
      </c>
      <c r="W102" s="71">
        <v>39.299999999999997</v>
      </c>
      <c r="X102" s="71">
        <v>40.5</v>
      </c>
      <c r="Y102" s="71">
        <v>42.9</v>
      </c>
      <c r="Z102" s="71">
        <v>52.8</v>
      </c>
      <c r="AA102" s="71">
        <v>57.3</v>
      </c>
      <c r="AB102" s="71">
        <v>48</v>
      </c>
      <c r="AC102" s="71">
        <v>49.7</v>
      </c>
      <c r="AD102" s="71">
        <v>53</v>
      </c>
      <c r="AE102" s="71">
        <v>45.6</v>
      </c>
      <c r="AF102" s="71">
        <v>40</v>
      </c>
      <c r="AG102" s="70">
        <v>240</v>
      </c>
      <c r="AH102" s="20">
        <f t="shared" si="10"/>
        <v>60.8</v>
      </c>
      <c r="AI102" s="19">
        <f t="shared" si="11"/>
        <v>23</v>
      </c>
    </row>
    <row r="103" spans="1:37" x14ac:dyDescent="0.25">
      <c r="A103" s="44" t="s">
        <v>137</v>
      </c>
      <c r="B103" s="71">
        <v>-125</v>
      </c>
      <c r="C103" s="71">
        <v>-136</v>
      </c>
      <c r="D103" s="71">
        <v>-140</v>
      </c>
      <c r="E103" s="71">
        <v>-140</v>
      </c>
      <c r="F103" s="71">
        <v>-140</v>
      </c>
      <c r="G103" s="71">
        <v>-127</v>
      </c>
      <c r="H103" s="71">
        <v>-127</v>
      </c>
      <c r="I103" s="71">
        <v>-101</v>
      </c>
      <c r="J103" s="71">
        <v>-100</v>
      </c>
      <c r="K103" s="71">
        <v>-83</v>
      </c>
      <c r="L103" s="71">
        <v>-83</v>
      </c>
      <c r="M103" s="71">
        <f>-45.4-44.9</f>
        <v>-90.3</v>
      </c>
      <c r="N103" s="71">
        <v>-96.7</v>
      </c>
      <c r="O103" s="71">
        <f>-50.7-54.4</f>
        <v>-105.1</v>
      </c>
      <c r="P103" s="71">
        <f>-56.3-55</f>
        <v>-111.3</v>
      </c>
      <c r="Q103" s="71">
        <f>-49.3-53</f>
        <v>-102.3</v>
      </c>
      <c r="R103" s="71">
        <f>-56.1-55.1</f>
        <v>-111.2</v>
      </c>
      <c r="S103" s="71">
        <f>-54-58</f>
        <v>-112</v>
      </c>
      <c r="T103" s="71">
        <f>-30-32.5</f>
        <v>-62.5</v>
      </c>
      <c r="U103" s="71">
        <f>-43-46</f>
        <v>-89</v>
      </c>
      <c r="V103" s="71">
        <f>-46.2-49.4</f>
        <v>-95.6</v>
      </c>
      <c r="W103" s="71">
        <f>-39.3-44</f>
        <v>-83.3</v>
      </c>
      <c r="X103" s="71">
        <f>-19.8-21.9</f>
        <v>-41.7</v>
      </c>
      <c r="Y103" s="71">
        <f>-26-28.6</f>
        <v>-54.6</v>
      </c>
      <c r="Z103" s="71">
        <f>-39.3-43.3</f>
        <v>-82.6</v>
      </c>
      <c r="AA103" s="71">
        <f>-41.2-45.5</f>
        <v>-86.7</v>
      </c>
      <c r="AB103" s="71">
        <v>-94</v>
      </c>
      <c r="AC103" s="71">
        <v>-105</v>
      </c>
      <c r="AD103" s="71">
        <v>-145</v>
      </c>
      <c r="AE103" s="71">
        <v>-130</v>
      </c>
      <c r="AF103" s="71">
        <v>-130</v>
      </c>
      <c r="AG103" s="70">
        <v>240</v>
      </c>
      <c r="AH103" s="20">
        <f t="shared" si="10"/>
        <v>-41.7</v>
      </c>
      <c r="AI103" s="19">
        <f t="shared" si="11"/>
        <v>-145</v>
      </c>
    </row>
    <row r="104" spans="1:37" x14ac:dyDescent="0.25">
      <c r="A104" s="44" t="s">
        <v>136</v>
      </c>
      <c r="B104" s="71">
        <v>2.5</v>
      </c>
      <c r="C104" s="71">
        <v>-1</v>
      </c>
      <c r="D104" s="71">
        <v>-2</v>
      </c>
      <c r="E104" s="71">
        <v>-2</v>
      </c>
      <c r="F104" s="71">
        <v>0</v>
      </c>
      <c r="G104" s="71">
        <v>2.5</v>
      </c>
      <c r="H104" s="71">
        <v>2.5</v>
      </c>
      <c r="I104" s="71">
        <v>8</v>
      </c>
      <c r="J104" s="71">
        <v>10</v>
      </c>
      <c r="K104" s="71">
        <v>12</v>
      </c>
      <c r="L104" s="71">
        <v>12</v>
      </c>
      <c r="M104" s="71">
        <v>13.6</v>
      </c>
      <c r="N104" s="71">
        <v>11</v>
      </c>
      <c r="O104" s="71">
        <v>11.4</v>
      </c>
      <c r="P104" s="71">
        <v>11.4</v>
      </c>
      <c r="Q104" s="71">
        <v>15.2</v>
      </c>
      <c r="R104" s="71">
        <v>14.4</v>
      </c>
      <c r="S104" s="71">
        <v>12</v>
      </c>
      <c r="T104" s="71">
        <v>14.8</v>
      </c>
      <c r="U104" s="71">
        <v>7.8</v>
      </c>
      <c r="V104" s="71">
        <v>6.2</v>
      </c>
      <c r="W104" s="71">
        <v>9.3000000000000007</v>
      </c>
      <c r="X104" s="71">
        <v>18.5</v>
      </c>
      <c r="Y104" s="71">
        <v>17.2</v>
      </c>
      <c r="Z104" s="71">
        <v>12.9</v>
      </c>
      <c r="AA104" s="71">
        <v>13.4</v>
      </c>
      <c r="AB104" s="71">
        <v>11.6</v>
      </c>
      <c r="AC104" s="71">
        <v>8.6</v>
      </c>
      <c r="AD104" s="71">
        <v>7</v>
      </c>
      <c r="AE104" s="71">
        <v>4</v>
      </c>
      <c r="AF104" s="71">
        <v>-11</v>
      </c>
      <c r="AG104" s="70">
        <v>60</v>
      </c>
      <c r="AH104" s="20">
        <f t="shared" si="10"/>
        <v>18.5</v>
      </c>
      <c r="AI104" s="19">
        <f t="shared" si="11"/>
        <v>-11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33</v>
      </c>
      <c r="K105" s="68">
        <v>58</v>
      </c>
      <c r="L105" s="68">
        <v>58</v>
      </c>
      <c r="M105" s="68">
        <v>50.1</v>
      </c>
      <c r="N105" s="68">
        <v>42.6</v>
      </c>
      <c r="O105" s="68">
        <v>25.6</v>
      </c>
      <c r="P105" s="68">
        <v>22.6</v>
      </c>
      <c r="Q105" s="68">
        <v>22.6</v>
      </c>
      <c r="R105" s="68">
        <v>30.5</v>
      </c>
      <c r="S105" s="68">
        <v>40.6</v>
      </c>
      <c r="T105" s="68">
        <v>0</v>
      </c>
      <c r="U105" s="68">
        <v>61.6</v>
      </c>
      <c r="V105" s="68">
        <v>67.599999999999994</v>
      </c>
      <c r="W105" s="68">
        <v>82</v>
      </c>
      <c r="X105" s="68">
        <v>82.9</v>
      </c>
      <c r="Y105" s="68">
        <v>83.6</v>
      </c>
      <c r="Z105" s="68">
        <v>83</v>
      </c>
      <c r="AA105" s="68">
        <v>54.1</v>
      </c>
      <c r="AB105" s="68">
        <v>46.7</v>
      </c>
      <c r="AC105" s="68">
        <v>35.299999999999997</v>
      </c>
      <c r="AD105" s="68">
        <v>20.8</v>
      </c>
      <c r="AE105" s="68">
        <v>0</v>
      </c>
      <c r="AF105" s="68">
        <v>0</v>
      </c>
      <c r="AG105" s="69">
        <v>120</v>
      </c>
      <c r="AH105" s="20">
        <f t="shared" si="10"/>
        <v>83.6</v>
      </c>
      <c r="AI105" s="19">
        <f t="shared" si="11"/>
        <v>0</v>
      </c>
    </row>
    <row r="106" spans="1:37" x14ac:dyDescent="0.25">
      <c r="A106" s="40" t="s">
        <v>134</v>
      </c>
      <c r="B106" s="68">
        <v>30</v>
      </c>
      <c r="C106" s="68">
        <v>12</v>
      </c>
      <c r="D106" s="68">
        <v>6</v>
      </c>
      <c r="E106" s="68">
        <v>6</v>
      </c>
      <c r="F106" s="68">
        <v>2</v>
      </c>
      <c r="G106" s="68">
        <v>15</v>
      </c>
      <c r="H106" s="68">
        <v>15</v>
      </c>
      <c r="I106" s="68">
        <v>25</v>
      </c>
      <c r="J106" s="68">
        <v>33</v>
      </c>
      <c r="K106" s="68">
        <v>44</v>
      </c>
      <c r="L106" s="68">
        <v>44</v>
      </c>
      <c r="M106" s="68">
        <v>40</v>
      </c>
      <c r="N106" s="68">
        <v>36.6</v>
      </c>
      <c r="O106" s="68">
        <v>26.1</v>
      </c>
      <c r="P106" s="68">
        <v>22.4</v>
      </c>
      <c r="Q106" s="68">
        <v>22.4</v>
      </c>
      <c r="R106" s="68">
        <v>22.6</v>
      </c>
      <c r="S106" s="68">
        <v>29.3</v>
      </c>
      <c r="T106" s="68">
        <v>62.1</v>
      </c>
      <c r="U106" s="68">
        <v>43.4</v>
      </c>
      <c r="V106" s="68">
        <v>44.7</v>
      </c>
      <c r="W106" s="68">
        <v>42</v>
      </c>
      <c r="X106" s="68">
        <v>84.8</v>
      </c>
      <c r="Y106" s="68">
        <v>82.4</v>
      </c>
      <c r="Z106" s="68">
        <v>46.3</v>
      </c>
      <c r="AA106" s="68">
        <v>40.5</v>
      </c>
      <c r="AB106" s="68">
        <v>30.7</v>
      </c>
      <c r="AC106" s="68">
        <v>28.4</v>
      </c>
      <c r="AD106" s="68">
        <v>21</v>
      </c>
      <c r="AE106" s="68">
        <v>7</v>
      </c>
      <c r="AF106" s="68">
        <v>14</v>
      </c>
      <c r="AG106" s="69"/>
      <c r="AH106" s="20">
        <f t="shared" si="10"/>
        <v>84.8</v>
      </c>
      <c r="AI106" s="19">
        <f t="shared" si="11"/>
        <v>2</v>
      </c>
    </row>
    <row r="107" spans="1:37" x14ac:dyDescent="0.25">
      <c r="A107" s="40" t="s">
        <v>133</v>
      </c>
      <c r="B107" s="68">
        <v>67</v>
      </c>
      <c r="C107" s="68">
        <v>51</v>
      </c>
      <c r="D107" s="68">
        <v>46</v>
      </c>
      <c r="E107" s="68">
        <v>46</v>
      </c>
      <c r="F107" s="68">
        <v>47</v>
      </c>
      <c r="G107" s="68">
        <v>48</v>
      </c>
      <c r="H107" s="68">
        <v>48</v>
      </c>
      <c r="I107" s="68">
        <v>38</v>
      </c>
      <c r="J107" s="68">
        <v>55</v>
      </c>
      <c r="K107" s="68">
        <v>61</v>
      </c>
      <c r="L107" s="68">
        <v>61</v>
      </c>
      <c r="M107" s="68">
        <v>41.5</v>
      </c>
      <c r="N107" s="68">
        <v>27</v>
      </c>
      <c r="O107" s="68">
        <v>30.7</v>
      </c>
      <c r="P107" s="68">
        <v>34.1</v>
      </c>
      <c r="Q107" s="68">
        <v>34.1</v>
      </c>
      <c r="R107" s="68">
        <v>32.5</v>
      </c>
      <c r="S107" s="68">
        <v>53</v>
      </c>
      <c r="T107" s="68">
        <v>57.9</v>
      </c>
      <c r="U107" s="68">
        <v>56.1</v>
      </c>
      <c r="V107" s="68">
        <v>52.9</v>
      </c>
      <c r="W107" s="68">
        <v>60</v>
      </c>
      <c r="X107" s="68">
        <v>50.1</v>
      </c>
      <c r="Y107" s="68">
        <v>64</v>
      </c>
      <c r="Z107" s="68">
        <v>29.5</v>
      </c>
      <c r="AA107" s="68">
        <v>27.4</v>
      </c>
      <c r="AB107" s="68">
        <v>56</v>
      </c>
      <c r="AC107" s="68">
        <v>51.1</v>
      </c>
      <c r="AD107" s="68">
        <v>50.7</v>
      </c>
      <c r="AE107" s="68">
        <v>35</v>
      </c>
      <c r="AF107" s="68">
        <v>14</v>
      </c>
      <c r="AG107" s="48"/>
      <c r="AH107" s="20">
        <f t="shared" si="10"/>
        <v>67</v>
      </c>
      <c r="AI107" s="19">
        <f t="shared" si="11"/>
        <v>14</v>
      </c>
    </row>
    <row r="108" spans="1:37" x14ac:dyDescent="0.25">
      <c r="A108" s="67" t="s">
        <v>132</v>
      </c>
      <c r="B108" s="66">
        <v>110</v>
      </c>
      <c r="C108" s="66">
        <v>105</v>
      </c>
      <c r="D108" s="66">
        <v>107</v>
      </c>
      <c r="E108" s="66">
        <v>107</v>
      </c>
      <c r="F108" s="66">
        <v>98</v>
      </c>
      <c r="G108" s="66">
        <v>105</v>
      </c>
      <c r="H108" s="66">
        <v>105</v>
      </c>
      <c r="I108" s="66">
        <v>102</v>
      </c>
      <c r="J108" s="66">
        <v>100</v>
      </c>
      <c r="K108" s="66">
        <v>92</v>
      </c>
      <c r="L108" s="66">
        <v>92</v>
      </c>
      <c r="M108" s="66">
        <v>102.2</v>
      </c>
      <c r="N108" s="66">
        <v>113.8</v>
      </c>
      <c r="O108" s="66">
        <v>112.1</v>
      </c>
      <c r="P108" s="66">
        <v>100.5</v>
      </c>
      <c r="Q108" s="66">
        <v>67.599999999999994</v>
      </c>
      <c r="R108" s="66">
        <v>87.2</v>
      </c>
      <c r="S108" s="66">
        <v>73</v>
      </c>
      <c r="T108" s="66">
        <v>82</v>
      </c>
      <c r="U108" s="66">
        <v>86</v>
      </c>
      <c r="V108" s="66">
        <v>86.4</v>
      </c>
      <c r="W108" s="66">
        <v>81</v>
      </c>
      <c r="X108" s="66">
        <v>77.5</v>
      </c>
      <c r="Y108" s="66">
        <v>74.3</v>
      </c>
      <c r="Z108" s="66">
        <v>91.1</v>
      </c>
      <c r="AA108" s="66">
        <v>99.3</v>
      </c>
      <c r="AB108" s="66">
        <v>105</v>
      </c>
      <c r="AC108" s="66">
        <v>107.2</v>
      </c>
      <c r="AD108" s="66">
        <v>111</v>
      </c>
      <c r="AE108" s="66">
        <v>115</v>
      </c>
      <c r="AF108" s="66">
        <v>117</v>
      </c>
      <c r="AG108" s="48"/>
      <c r="AH108" s="20">
        <f t="shared" si="10"/>
        <v>117</v>
      </c>
      <c r="AI108" s="19">
        <f t="shared" si="11"/>
        <v>67.599999999999994</v>
      </c>
    </row>
    <row r="109" spans="1:37" ht="15.75" thickBot="1" x14ac:dyDescent="0.3">
      <c r="A109" s="67" t="s">
        <v>131</v>
      </c>
      <c r="B109" s="66">
        <v>86</v>
      </c>
      <c r="C109" s="66">
        <v>92</v>
      </c>
      <c r="D109" s="66">
        <v>95</v>
      </c>
      <c r="E109" s="66">
        <v>95</v>
      </c>
      <c r="F109" s="66">
        <v>96</v>
      </c>
      <c r="G109" s="66">
        <v>83</v>
      </c>
      <c r="H109" s="66">
        <v>83</v>
      </c>
      <c r="I109" s="66">
        <v>71</v>
      </c>
      <c r="J109" s="66">
        <v>65</v>
      </c>
      <c r="K109" s="66">
        <v>54</v>
      </c>
      <c r="L109" s="66">
        <v>64</v>
      </c>
      <c r="M109" s="66">
        <v>62.5</v>
      </c>
      <c r="N109" s="66">
        <v>69.400000000000006</v>
      </c>
      <c r="O109" s="66">
        <v>74.400000000000006</v>
      </c>
      <c r="P109" s="66">
        <v>73.099999999999994</v>
      </c>
      <c r="Q109" s="66">
        <v>66.5</v>
      </c>
      <c r="R109" s="66">
        <v>71.5</v>
      </c>
      <c r="S109" s="66">
        <v>67</v>
      </c>
      <c r="T109" s="66">
        <v>42.1</v>
      </c>
      <c r="U109" s="66">
        <v>86</v>
      </c>
      <c r="V109" s="66">
        <v>60.2</v>
      </c>
      <c r="W109" s="66">
        <v>53.3</v>
      </c>
      <c r="X109" s="66">
        <v>24.1</v>
      </c>
      <c r="Y109" s="66">
        <v>30.7</v>
      </c>
      <c r="Z109" s="66">
        <v>55.7</v>
      </c>
      <c r="AA109" s="66">
        <v>64.7</v>
      </c>
      <c r="AB109" s="66">
        <v>69</v>
      </c>
      <c r="AC109" s="66">
        <v>71.099999999999994</v>
      </c>
      <c r="AD109" s="66">
        <v>79</v>
      </c>
      <c r="AE109" s="66">
        <v>94</v>
      </c>
      <c r="AF109" s="66">
        <v>90</v>
      </c>
      <c r="AG109" s="48"/>
      <c r="AH109" s="20">
        <f t="shared" si="10"/>
        <v>96</v>
      </c>
      <c r="AI109" s="19">
        <f t="shared" si="11"/>
        <v>24.1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3">SUM(B111:B215)</f>
        <v>0</v>
      </c>
      <c r="C216" s="36">
        <f t="shared" si="23"/>
        <v>0</v>
      </c>
      <c r="D216" s="36">
        <f t="shared" si="23"/>
        <v>0</v>
      </c>
      <c r="E216" s="36">
        <f t="shared" si="23"/>
        <v>0</v>
      </c>
      <c r="F216" s="36">
        <f t="shared" si="23"/>
        <v>0</v>
      </c>
      <c r="G216" s="36">
        <f t="shared" si="23"/>
        <v>0</v>
      </c>
      <c r="H216" s="36">
        <f t="shared" si="23"/>
        <v>0</v>
      </c>
      <c r="I216" s="36">
        <f t="shared" si="23"/>
        <v>0</v>
      </c>
      <c r="J216" s="36">
        <f t="shared" si="23"/>
        <v>0</v>
      </c>
      <c r="K216" s="36">
        <f t="shared" si="23"/>
        <v>0</v>
      </c>
      <c r="L216" s="36">
        <f t="shared" si="23"/>
        <v>0</v>
      </c>
      <c r="M216" s="36">
        <f t="shared" si="23"/>
        <v>0</v>
      </c>
      <c r="N216" s="36">
        <f t="shared" si="23"/>
        <v>0</v>
      </c>
      <c r="O216" s="36">
        <f t="shared" si="23"/>
        <v>0</v>
      </c>
      <c r="P216" s="36">
        <f t="shared" si="23"/>
        <v>0</v>
      </c>
      <c r="Q216" s="36">
        <f t="shared" si="23"/>
        <v>0</v>
      </c>
      <c r="R216" s="36">
        <f t="shared" si="23"/>
        <v>0</v>
      </c>
      <c r="S216" s="36">
        <f t="shared" si="23"/>
        <v>0</v>
      </c>
      <c r="T216" s="36">
        <f t="shared" si="23"/>
        <v>0</v>
      </c>
      <c r="U216" s="36">
        <f t="shared" si="23"/>
        <v>0</v>
      </c>
      <c r="V216" s="36">
        <f t="shared" si="23"/>
        <v>0</v>
      </c>
      <c r="W216" s="36">
        <f t="shared" si="23"/>
        <v>0</v>
      </c>
      <c r="X216" s="36">
        <f t="shared" si="23"/>
        <v>0</v>
      </c>
      <c r="Y216" s="36">
        <f t="shared" si="23"/>
        <v>0</v>
      </c>
      <c r="Z216" s="36">
        <f t="shared" si="23"/>
        <v>0</v>
      </c>
      <c r="AA216" s="36">
        <f t="shared" si="23"/>
        <v>0</v>
      </c>
      <c r="AB216" s="36">
        <f t="shared" si="23"/>
        <v>0</v>
      </c>
      <c r="AC216" s="36">
        <f t="shared" si="23"/>
        <v>0</v>
      </c>
      <c r="AD216" s="36">
        <f t="shared" si="23"/>
        <v>0</v>
      </c>
      <c r="AE216" s="36">
        <f t="shared" si="23"/>
        <v>0</v>
      </c>
      <c r="AF216" s="51">
        <f t="shared" si="23"/>
        <v>0</v>
      </c>
      <c r="AG216" s="50">
        <f t="shared" si="23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4">AF218</f>
        <v>0</v>
      </c>
      <c r="C218" s="46">
        <v>0.3</v>
      </c>
      <c r="D218" s="46">
        <f t="shared" ref="D218:P223" si="25">C218</f>
        <v>0.3</v>
      </c>
      <c r="E218" s="46">
        <f t="shared" si="25"/>
        <v>0.3</v>
      </c>
      <c r="F218" s="46">
        <f t="shared" si="25"/>
        <v>0.3</v>
      </c>
      <c r="G218" s="46">
        <f t="shared" si="25"/>
        <v>0.3</v>
      </c>
      <c r="H218" s="46">
        <f t="shared" si="25"/>
        <v>0.3</v>
      </c>
      <c r="I218" s="46">
        <f t="shared" si="25"/>
        <v>0.3</v>
      </c>
      <c r="J218" s="46">
        <f t="shared" si="25"/>
        <v>0.3</v>
      </c>
      <c r="K218" s="46">
        <f t="shared" si="25"/>
        <v>0.3</v>
      </c>
      <c r="L218" s="46">
        <f t="shared" si="25"/>
        <v>0.3</v>
      </c>
      <c r="M218" s="46">
        <f t="shared" si="25"/>
        <v>0.3</v>
      </c>
      <c r="N218" s="46">
        <f t="shared" si="25"/>
        <v>0.3</v>
      </c>
      <c r="O218" s="46">
        <f t="shared" si="25"/>
        <v>0.3</v>
      </c>
      <c r="P218" s="46">
        <f t="shared" si="25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4"/>
        <v>0</v>
      </c>
      <c r="C219" s="43">
        <v>0.4</v>
      </c>
      <c r="D219" s="43">
        <f t="shared" si="25"/>
        <v>0.4</v>
      </c>
      <c r="E219" s="43">
        <f t="shared" si="25"/>
        <v>0.4</v>
      </c>
      <c r="F219" s="43">
        <f t="shared" si="25"/>
        <v>0.4</v>
      </c>
      <c r="G219" s="43">
        <f t="shared" si="25"/>
        <v>0.4</v>
      </c>
      <c r="H219" s="43">
        <f t="shared" si="25"/>
        <v>0.4</v>
      </c>
      <c r="I219" s="43">
        <f t="shared" si="25"/>
        <v>0.4</v>
      </c>
      <c r="J219" s="43">
        <f t="shared" si="25"/>
        <v>0.4</v>
      </c>
      <c r="K219" s="43">
        <f t="shared" si="25"/>
        <v>0.4</v>
      </c>
      <c r="L219" s="43">
        <f t="shared" si="25"/>
        <v>0.4</v>
      </c>
      <c r="M219" s="43">
        <f t="shared" si="25"/>
        <v>0.4</v>
      </c>
      <c r="N219" s="43">
        <f t="shared" si="25"/>
        <v>0.4</v>
      </c>
      <c r="O219" s="43">
        <f t="shared" si="25"/>
        <v>0.4</v>
      </c>
      <c r="P219" s="43">
        <f t="shared" si="25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4"/>
        <v>0</v>
      </c>
      <c r="C220" s="43">
        <v>1.5</v>
      </c>
      <c r="D220" s="43">
        <f t="shared" si="25"/>
        <v>1.5</v>
      </c>
      <c r="E220" s="43">
        <f t="shared" si="25"/>
        <v>1.5</v>
      </c>
      <c r="F220" s="43">
        <f t="shared" si="25"/>
        <v>1.5</v>
      </c>
      <c r="G220" s="43">
        <f t="shared" si="25"/>
        <v>1.5</v>
      </c>
      <c r="H220" s="43">
        <f t="shared" si="25"/>
        <v>1.5</v>
      </c>
      <c r="I220" s="43">
        <f t="shared" si="25"/>
        <v>1.5</v>
      </c>
      <c r="J220" s="43">
        <f t="shared" si="25"/>
        <v>1.5</v>
      </c>
      <c r="K220" s="43">
        <f t="shared" si="25"/>
        <v>1.5</v>
      </c>
      <c r="L220" s="43">
        <f t="shared" si="25"/>
        <v>1.5</v>
      </c>
      <c r="M220" s="43">
        <f t="shared" si="25"/>
        <v>1.5</v>
      </c>
      <c r="N220" s="43">
        <f t="shared" si="25"/>
        <v>1.5</v>
      </c>
      <c r="O220" s="43">
        <f t="shared" si="25"/>
        <v>1.5</v>
      </c>
      <c r="P220" s="43">
        <f t="shared" si="25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4"/>
        <v>0</v>
      </c>
      <c r="C221" s="43">
        <v>0.3</v>
      </c>
      <c r="D221" s="43">
        <f t="shared" si="25"/>
        <v>0.3</v>
      </c>
      <c r="E221" s="43">
        <f t="shared" si="25"/>
        <v>0.3</v>
      </c>
      <c r="F221" s="43">
        <f t="shared" si="25"/>
        <v>0.3</v>
      </c>
      <c r="G221" s="43">
        <f t="shared" si="25"/>
        <v>0.3</v>
      </c>
      <c r="H221" s="43">
        <f t="shared" si="25"/>
        <v>0.3</v>
      </c>
      <c r="I221" s="43">
        <f t="shared" si="25"/>
        <v>0.3</v>
      </c>
      <c r="J221" s="43">
        <f t="shared" si="25"/>
        <v>0.3</v>
      </c>
      <c r="K221" s="43">
        <f t="shared" si="25"/>
        <v>0.3</v>
      </c>
      <c r="L221" s="43">
        <f t="shared" si="25"/>
        <v>0.3</v>
      </c>
      <c r="M221" s="43">
        <f t="shared" si="25"/>
        <v>0.3</v>
      </c>
      <c r="N221" s="43">
        <f t="shared" si="25"/>
        <v>0.3</v>
      </c>
      <c r="O221" s="43">
        <f t="shared" si="25"/>
        <v>0.3</v>
      </c>
      <c r="P221" s="43">
        <f t="shared" si="25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4"/>
        <v>0</v>
      </c>
      <c r="C222" s="43">
        <v>0.4</v>
      </c>
      <c r="D222" s="43">
        <f t="shared" si="25"/>
        <v>0.4</v>
      </c>
      <c r="E222" s="43">
        <f t="shared" si="25"/>
        <v>0.4</v>
      </c>
      <c r="F222" s="43">
        <f t="shared" si="25"/>
        <v>0.4</v>
      </c>
      <c r="G222" s="43">
        <f t="shared" si="25"/>
        <v>0.4</v>
      </c>
      <c r="H222" s="43">
        <f t="shared" si="25"/>
        <v>0.4</v>
      </c>
      <c r="I222" s="43">
        <f t="shared" si="25"/>
        <v>0.4</v>
      </c>
      <c r="J222" s="43">
        <f t="shared" si="25"/>
        <v>0.4</v>
      </c>
      <c r="K222" s="43">
        <f t="shared" si="25"/>
        <v>0.4</v>
      </c>
      <c r="L222" s="43">
        <f t="shared" si="25"/>
        <v>0.4</v>
      </c>
      <c r="M222" s="43">
        <f t="shared" si="25"/>
        <v>0.4</v>
      </c>
      <c r="N222" s="43">
        <f t="shared" si="25"/>
        <v>0.4</v>
      </c>
      <c r="O222" s="43">
        <f t="shared" si="25"/>
        <v>0.4</v>
      </c>
      <c r="P222" s="43">
        <f t="shared" si="25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4"/>
        <v>0</v>
      </c>
      <c r="C223" s="39">
        <v>0.64</v>
      </c>
      <c r="D223" s="39">
        <f t="shared" si="25"/>
        <v>0.64</v>
      </c>
      <c r="E223" s="39">
        <f t="shared" si="25"/>
        <v>0.64</v>
      </c>
      <c r="F223" s="39">
        <f t="shared" si="25"/>
        <v>0.64</v>
      </c>
      <c r="G223" s="39">
        <f t="shared" si="25"/>
        <v>0.64</v>
      </c>
      <c r="H223" s="39">
        <f t="shared" si="25"/>
        <v>0.64</v>
      </c>
      <c r="I223" s="39">
        <f t="shared" si="25"/>
        <v>0.64</v>
      </c>
      <c r="J223" s="39">
        <f t="shared" si="25"/>
        <v>0.64</v>
      </c>
      <c r="K223" s="39">
        <f t="shared" si="25"/>
        <v>0.64</v>
      </c>
      <c r="L223" s="39">
        <f t="shared" si="25"/>
        <v>0.64</v>
      </c>
      <c r="M223" s="39">
        <f t="shared" si="25"/>
        <v>0.64</v>
      </c>
      <c r="N223" s="39">
        <f t="shared" si="25"/>
        <v>0.64</v>
      </c>
      <c r="O223" s="39">
        <f t="shared" si="25"/>
        <v>0.64</v>
      </c>
      <c r="P223" s="39">
        <f t="shared" si="25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6">SUM(B218:B223)</f>
        <v>0</v>
      </c>
      <c r="C224" s="36">
        <f t="shared" si="26"/>
        <v>3.54</v>
      </c>
      <c r="D224" s="36">
        <f t="shared" si="26"/>
        <v>3.54</v>
      </c>
      <c r="E224" s="36">
        <f t="shared" si="26"/>
        <v>3.54</v>
      </c>
      <c r="F224" s="36">
        <f t="shared" si="26"/>
        <v>3.54</v>
      </c>
      <c r="G224" s="36">
        <f t="shared" si="26"/>
        <v>3.54</v>
      </c>
      <c r="H224" s="36">
        <f t="shared" si="26"/>
        <v>3.54</v>
      </c>
      <c r="I224" s="36">
        <f t="shared" si="26"/>
        <v>3.54</v>
      </c>
      <c r="J224" s="36">
        <f t="shared" si="26"/>
        <v>3.54</v>
      </c>
      <c r="K224" s="36">
        <f t="shared" si="26"/>
        <v>3.54</v>
      </c>
      <c r="L224" s="36">
        <f t="shared" si="26"/>
        <v>3.54</v>
      </c>
      <c r="M224" s="36">
        <f t="shared" si="26"/>
        <v>3.54</v>
      </c>
      <c r="N224" s="36">
        <f t="shared" si="26"/>
        <v>3.54</v>
      </c>
      <c r="O224" s="36">
        <f t="shared" si="26"/>
        <v>3.54</v>
      </c>
      <c r="P224" s="36">
        <f t="shared" si="26"/>
        <v>3.54</v>
      </c>
      <c r="Q224" s="36">
        <f t="shared" si="26"/>
        <v>0</v>
      </c>
      <c r="R224" s="36">
        <f t="shared" si="26"/>
        <v>0</v>
      </c>
      <c r="S224" s="36">
        <f t="shared" si="26"/>
        <v>0</v>
      </c>
      <c r="T224" s="36">
        <f t="shared" si="26"/>
        <v>0</v>
      </c>
      <c r="U224" s="36">
        <f t="shared" si="26"/>
        <v>0</v>
      </c>
      <c r="V224" s="36">
        <f t="shared" si="26"/>
        <v>0</v>
      </c>
      <c r="W224" s="36">
        <f t="shared" si="26"/>
        <v>0</v>
      </c>
      <c r="X224" s="36">
        <f t="shared" si="26"/>
        <v>0</v>
      </c>
      <c r="Y224" s="36">
        <f t="shared" si="26"/>
        <v>0</v>
      </c>
      <c r="Z224" s="36">
        <f t="shared" si="26"/>
        <v>0</v>
      </c>
      <c r="AA224" s="36">
        <f t="shared" si="26"/>
        <v>0</v>
      </c>
      <c r="AB224" s="36">
        <f t="shared" si="26"/>
        <v>0</v>
      </c>
      <c r="AC224" s="36">
        <f t="shared" si="26"/>
        <v>0</v>
      </c>
      <c r="AD224" s="36">
        <f t="shared" si="26"/>
        <v>0</v>
      </c>
      <c r="AE224" s="36">
        <f t="shared" si="26"/>
        <v>0</v>
      </c>
      <c r="AF224" s="36">
        <f t="shared" si="26"/>
        <v>0</v>
      </c>
      <c r="AG224" s="35">
        <f t="shared" si="26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1609.52</v>
      </c>
      <c r="C233" s="16">
        <f>INDEX(G9:N9,1,MATCH(MAX(G81:N81),G81:N81,0))</f>
        <v>0.33333333333333331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31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str">
        <f ca="1">"Pie Chart of Daily Peak Demand(Inclusive of Export) of Nepal ("&amp;A4&amp;" "&amp;B4&amp;")"</f>
        <v>Pie Chart of Daily Peak Demand(Inclusive of Export) of Nepal (Nepali Date: 2079/06/31)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str">
        <f ca="1">"Daily Load Curve(Excluding of Export) of Nepal ("&amp;A4&amp;" "&amp;B4&amp;")"</f>
        <v>Daily Load Curve(Excluding of Export) of Nepal (Nepali Date: 2079/06/31)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7">B81</f>
        <v>1478.92</v>
      </c>
      <c r="U238" s="9">
        <f t="shared" si="27"/>
        <v>1458.92</v>
      </c>
      <c r="V238" s="9">
        <f t="shared" si="27"/>
        <v>1458.92</v>
      </c>
      <c r="W238" s="9">
        <f t="shared" si="27"/>
        <v>1418.7199999999998</v>
      </c>
      <c r="X238" s="9">
        <f t="shared" si="27"/>
        <v>1418.7199999999998</v>
      </c>
      <c r="Y238" s="9">
        <f t="shared" si="27"/>
        <v>1428.7199999999998</v>
      </c>
      <c r="Z238" s="9">
        <f t="shared" si="27"/>
        <v>1435.7199999999998</v>
      </c>
      <c r="AA238" s="9">
        <f t="shared" si="27"/>
        <v>1454.22</v>
      </c>
      <c r="AB238" s="9">
        <f t="shared" si="27"/>
        <v>1548.3199999999997</v>
      </c>
      <c r="AC238" s="9">
        <f t="shared" si="27"/>
        <v>1565.3199999999997</v>
      </c>
      <c r="AD238" s="9">
        <f t="shared" si="27"/>
        <v>1581.42</v>
      </c>
      <c r="AE238" s="9">
        <f t="shared" si="27"/>
        <v>1609.52</v>
      </c>
      <c r="AF238" s="9">
        <f t="shared" si="27"/>
        <v>1601.52</v>
      </c>
      <c r="AG238" s="9">
        <f t="shared" si="27"/>
        <v>1601.52</v>
      </c>
      <c r="AH238" s="9">
        <f t="shared" si="27"/>
        <v>1553.32</v>
      </c>
      <c r="AI238" s="9">
        <f t="shared" si="27"/>
        <v>1511.12</v>
      </c>
      <c r="AJ238" s="9">
        <f t="shared" si="27"/>
        <v>1543.4199999999998</v>
      </c>
      <c r="AK238" s="9">
        <f t="shared" si="27"/>
        <v>1629.9199999999998</v>
      </c>
      <c r="AL238" s="9">
        <f t="shared" si="27"/>
        <v>1617.9199999999998</v>
      </c>
      <c r="AM238" s="9">
        <f t="shared" si="27"/>
        <v>1668.52</v>
      </c>
      <c r="AN238" s="9">
        <f t="shared" si="27"/>
        <v>1638.2199999999998</v>
      </c>
      <c r="AO238" s="9">
        <f t="shared" si="27"/>
        <v>1649.2199999999998</v>
      </c>
      <c r="AP238" s="9">
        <f t="shared" si="27"/>
        <v>1706.5199999999998</v>
      </c>
      <c r="AQ238" s="9">
        <f t="shared" si="27"/>
        <v>1741.2199999999998</v>
      </c>
      <c r="AR238" s="9">
        <f t="shared" si="27"/>
        <v>1740.62</v>
      </c>
      <c r="AS238" s="9">
        <f t="shared" si="27"/>
        <v>1737.7199999999998</v>
      </c>
      <c r="AT238" s="9">
        <f t="shared" si="27"/>
        <v>1650.2199999999998</v>
      </c>
      <c r="AU238" s="9">
        <f t="shared" si="27"/>
        <v>1618.2199999999998</v>
      </c>
      <c r="AV238" s="9">
        <f t="shared" si="27"/>
        <v>1524.02</v>
      </c>
      <c r="AW238" s="9">
        <f t="shared" si="27"/>
        <v>1467.02</v>
      </c>
      <c r="AX238" s="9">
        <f t="shared" si="27"/>
        <v>1471.3200000000002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8">C223</f>
        <v>0.64</v>
      </c>
      <c r="C259" s="4">
        <f t="shared" si="28"/>
        <v>0.64</v>
      </c>
      <c r="D259" s="4">
        <f t="shared" si="28"/>
        <v>0.64</v>
      </c>
      <c r="E259" s="4">
        <f t="shared" si="28"/>
        <v>0.64</v>
      </c>
      <c r="F259" s="4">
        <f t="shared" si="28"/>
        <v>0.64</v>
      </c>
      <c r="G259" s="4">
        <f t="shared" si="28"/>
        <v>0.64</v>
      </c>
      <c r="H259" s="4">
        <f t="shared" si="28"/>
        <v>0.64</v>
      </c>
      <c r="I259" s="4">
        <f t="shared" si="28"/>
        <v>0.64</v>
      </c>
      <c r="J259" s="4">
        <f t="shared" si="28"/>
        <v>0.64</v>
      </c>
      <c r="K259" s="4">
        <f t="shared" si="28"/>
        <v>0.64</v>
      </c>
      <c r="L259" s="4">
        <f t="shared" si="28"/>
        <v>0.64</v>
      </c>
      <c r="M259" s="4">
        <f t="shared" si="28"/>
        <v>0.64</v>
      </c>
      <c r="N259" s="4">
        <f t="shared" si="28"/>
        <v>0.64</v>
      </c>
      <c r="O259" s="4">
        <f t="shared" si="28"/>
        <v>0.64</v>
      </c>
      <c r="P259" s="4">
        <f t="shared" si="28"/>
        <v>0</v>
      </c>
      <c r="Q259" s="4">
        <f t="shared" si="28"/>
        <v>0</v>
      </c>
      <c r="R259" s="4">
        <f t="shared" si="28"/>
        <v>0</v>
      </c>
      <c r="S259" s="4">
        <f t="shared" si="28"/>
        <v>0</v>
      </c>
      <c r="T259" s="4">
        <f t="shared" si="28"/>
        <v>0</v>
      </c>
      <c r="U259" s="4">
        <f t="shared" si="28"/>
        <v>0</v>
      </c>
      <c r="V259" s="4">
        <f t="shared" si="28"/>
        <v>0</v>
      </c>
      <c r="W259" s="4">
        <f t="shared" si="28"/>
        <v>0</v>
      </c>
      <c r="X259" s="4">
        <f t="shared" si="28"/>
        <v>0</v>
      </c>
      <c r="Y259" s="4">
        <f t="shared" si="28"/>
        <v>0</v>
      </c>
      <c r="Z259" s="4">
        <f t="shared" si="28"/>
        <v>0</v>
      </c>
      <c r="AA259" s="4">
        <f t="shared" si="28"/>
        <v>0</v>
      </c>
      <c r="AB259" s="4">
        <f t="shared" si="28"/>
        <v>0</v>
      </c>
      <c r="AC259" s="4">
        <f t="shared" si="28"/>
        <v>0</v>
      </c>
      <c r="AD259" s="4">
        <f t="shared" si="28"/>
        <v>0</v>
      </c>
      <c r="AE259" s="4">
        <f t="shared" si="28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29">IF(B227&lt;100,"",B227-520)</f>
        <v/>
      </c>
      <c r="C260" s="3" t="str">
        <f t="shared" si="29"/>
        <v/>
      </c>
      <c r="D260" s="3" t="str">
        <f t="shared" si="29"/>
        <v/>
      </c>
      <c r="E260" s="3" t="str">
        <f t="shared" si="29"/>
        <v/>
      </c>
      <c r="F260" s="3" t="str">
        <f t="shared" si="29"/>
        <v/>
      </c>
      <c r="G260" s="3" t="str">
        <f t="shared" si="29"/>
        <v/>
      </c>
      <c r="H260" s="3" t="str">
        <f t="shared" si="29"/>
        <v/>
      </c>
      <c r="I260" s="3" t="str">
        <f t="shared" si="29"/>
        <v/>
      </c>
      <c r="J260" s="3" t="str">
        <f t="shared" si="29"/>
        <v/>
      </c>
      <c r="K260" s="3" t="str">
        <f t="shared" si="29"/>
        <v/>
      </c>
      <c r="L260" s="3" t="str">
        <f t="shared" si="29"/>
        <v/>
      </c>
      <c r="M260" s="3" t="str">
        <f t="shared" si="29"/>
        <v/>
      </c>
      <c r="N260" s="3" t="str">
        <f t="shared" si="29"/>
        <v/>
      </c>
      <c r="O260" s="3" t="str">
        <f t="shared" si="29"/>
        <v/>
      </c>
      <c r="P260" s="3" t="str">
        <f t="shared" si="29"/>
        <v/>
      </c>
      <c r="Q260" s="3" t="str">
        <f t="shared" si="29"/>
        <v/>
      </c>
      <c r="R260" s="3" t="str">
        <f t="shared" si="29"/>
        <v/>
      </c>
      <c r="S260" s="3" t="str">
        <f t="shared" si="29"/>
        <v/>
      </c>
      <c r="T260" s="3" t="str">
        <f t="shared" si="29"/>
        <v/>
      </c>
      <c r="U260" s="3" t="str">
        <f t="shared" si="29"/>
        <v/>
      </c>
      <c r="V260" s="3" t="str">
        <f t="shared" si="29"/>
        <v/>
      </c>
      <c r="W260" s="3" t="str">
        <f t="shared" si="29"/>
        <v/>
      </c>
      <c r="X260" s="3" t="str">
        <f t="shared" si="29"/>
        <v/>
      </c>
      <c r="Y260" s="3" t="str">
        <f t="shared" si="29"/>
        <v/>
      </c>
      <c r="Z260" s="3" t="str">
        <f t="shared" si="29"/>
        <v/>
      </c>
      <c r="AA260" s="3" t="str">
        <f t="shared" si="29"/>
        <v/>
      </c>
      <c r="AB260" s="3" t="str">
        <f t="shared" si="29"/>
        <v/>
      </c>
      <c r="AC260" s="3" t="str">
        <f t="shared" si="29"/>
        <v/>
      </c>
      <c r="AD260" s="3" t="str">
        <f t="shared" si="29"/>
        <v/>
      </c>
      <c r="AE260" s="3" t="str">
        <f t="shared" si="29"/>
        <v/>
      </c>
      <c r="AF260" s="3" t="str">
        <f t="shared" si="29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30">IF(B228&lt;100,"",B228-620)</f>
        <v/>
      </c>
      <c r="C261" s="3" t="str">
        <f t="shared" si="30"/>
        <v/>
      </c>
      <c r="D261" s="3" t="str">
        <f t="shared" si="30"/>
        <v/>
      </c>
      <c r="E261" s="3" t="str">
        <f t="shared" si="30"/>
        <v/>
      </c>
      <c r="F261" s="3" t="str">
        <f t="shared" si="30"/>
        <v/>
      </c>
      <c r="G261" s="3" t="str">
        <f t="shared" si="30"/>
        <v/>
      </c>
      <c r="H261" s="3" t="str">
        <f t="shared" si="30"/>
        <v/>
      </c>
      <c r="I261" s="3" t="str">
        <f t="shared" si="30"/>
        <v/>
      </c>
      <c r="J261" s="3" t="str">
        <f t="shared" si="30"/>
        <v/>
      </c>
      <c r="K261" s="3" t="str">
        <f t="shared" si="30"/>
        <v/>
      </c>
      <c r="L261" s="3" t="str">
        <f t="shared" si="30"/>
        <v/>
      </c>
      <c r="M261" s="3" t="str">
        <f t="shared" si="30"/>
        <v/>
      </c>
      <c r="N261" s="3" t="str">
        <f t="shared" si="30"/>
        <v/>
      </c>
      <c r="O261" s="3" t="str">
        <f t="shared" si="30"/>
        <v/>
      </c>
      <c r="P261" s="3" t="str">
        <f t="shared" si="30"/>
        <v/>
      </c>
      <c r="Q261" s="3" t="str">
        <f t="shared" si="30"/>
        <v/>
      </c>
      <c r="R261" s="3" t="str">
        <f t="shared" si="30"/>
        <v/>
      </c>
      <c r="S261" s="3" t="str">
        <f t="shared" si="30"/>
        <v/>
      </c>
      <c r="T261" s="3" t="str">
        <f t="shared" si="30"/>
        <v/>
      </c>
      <c r="U261" s="3" t="str">
        <f t="shared" si="30"/>
        <v/>
      </c>
      <c r="V261" s="3" t="str">
        <f t="shared" si="30"/>
        <v/>
      </c>
      <c r="W261" s="3" t="str">
        <f t="shared" si="30"/>
        <v/>
      </c>
      <c r="X261" s="3" t="str">
        <f t="shared" si="30"/>
        <v/>
      </c>
      <c r="Y261" s="3" t="str">
        <f t="shared" si="30"/>
        <v/>
      </c>
      <c r="Z261" s="3" t="str">
        <f t="shared" si="30"/>
        <v/>
      </c>
      <c r="AA261" s="3" t="str">
        <f t="shared" si="30"/>
        <v/>
      </c>
      <c r="AB261" s="3" t="str">
        <f t="shared" si="30"/>
        <v/>
      </c>
      <c r="AC261" s="3" t="str">
        <f t="shared" si="30"/>
        <v/>
      </c>
      <c r="AD261" s="3" t="str">
        <f t="shared" si="30"/>
        <v/>
      </c>
      <c r="AE261" s="3" t="str">
        <f t="shared" si="30"/>
        <v/>
      </c>
      <c r="AF261" s="3" t="str">
        <f t="shared" si="30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1">IF(B229&lt;100,"",B229-330)</f>
        <v/>
      </c>
      <c r="C262" s="3" t="str">
        <f t="shared" si="31"/>
        <v/>
      </c>
      <c r="D262" s="3" t="str">
        <f t="shared" si="31"/>
        <v/>
      </c>
      <c r="E262" s="3" t="str">
        <f t="shared" si="31"/>
        <v/>
      </c>
      <c r="F262" s="3" t="str">
        <f t="shared" si="31"/>
        <v/>
      </c>
      <c r="G262" s="3" t="str">
        <f t="shared" si="31"/>
        <v/>
      </c>
      <c r="H262" s="3" t="str">
        <f t="shared" si="31"/>
        <v/>
      </c>
      <c r="I262" s="3" t="str">
        <f t="shared" si="31"/>
        <v/>
      </c>
      <c r="J262" s="3" t="str">
        <f t="shared" si="31"/>
        <v/>
      </c>
      <c r="K262" s="3" t="str">
        <f t="shared" si="31"/>
        <v/>
      </c>
      <c r="L262" s="3" t="str">
        <f t="shared" si="31"/>
        <v/>
      </c>
      <c r="M262" s="3" t="str">
        <f t="shared" si="31"/>
        <v/>
      </c>
      <c r="N262" s="3" t="str">
        <f t="shared" si="31"/>
        <v/>
      </c>
      <c r="O262" s="3" t="str">
        <f t="shared" si="31"/>
        <v/>
      </c>
      <c r="P262" s="3" t="str">
        <f t="shared" si="31"/>
        <v/>
      </c>
      <c r="Q262" s="3" t="str">
        <f t="shared" si="31"/>
        <v/>
      </c>
      <c r="R262" s="3" t="str">
        <f t="shared" si="31"/>
        <v/>
      </c>
      <c r="S262" s="3" t="str">
        <f t="shared" si="31"/>
        <v/>
      </c>
      <c r="T262" s="3" t="str">
        <f t="shared" si="31"/>
        <v/>
      </c>
      <c r="U262" s="3" t="str">
        <f t="shared" si="31"/>
        <v/>
      </c>
      <c r="V262" s="3" t="str">
        <f t="shared" si="31"/>
        <v/>
      </c>
      <c r="W262" s="3" t="str">
        <f t="shared" si="31"/>
        <v/>
      </c>
      <c r="X262" s="3" t="str">
        <f t="shared" si="31"/>
        <v/>
      </c>
      <c r="Y262" s="3" t="str">
        <f t="shared" si="31"/>
        <v/>
      </c>
      <c r="Z262" s="3" t="str">
        <f t="shared" si="31"/>
        <v/>
      </c>
      <c r="AA262" s="3" t="str">
        <f t="shared" si="31"/>
        <v/>
      </c>
      <c r="AB262" s="3" t="str">
        <f t="shared" si="31"/>
        <v/>
      </c>
      <c r="AC262" s="3" t="str">
        <f t="shared" si="31"/>
        <v/>
      </c>
      <c r="AD262" s="3" t="str">
        <f t="shared" si="31"/>
        <v/>
      </c>
      <c r="AE262" s="3" t="str">
        <f t="shared" si="31"/>
        <v/>
      </c>
      <c r="AF262" s="3" t="str">
        <f t="shared" si="31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2">IF(B230&lt;100,"",B230-1500)</f>
        <v/>
      </c>
      <c r="C263" s="3" t="str">
        <f t="shared" si="32"/>
        <v/>
      </c>
      <c r="D263" s="3" t="str">
        <f t="shared" si="32"/>
        <v/>
      </c>
      <c r="E263" s="3" t="str">
        <f t="shared" si="32"/>
        <v/>
      </c>
      <c r="F263" s="3" t="str">
        <f t="shared" si="32"/>
        <v/>
      </c>
      <c r="G263" s="3" t="str">
        <f t="shared" si="32"/>
        <v/>
      </c>
      <c r="H263" s="3" t="str">
        <f t="shared" si="32"/>
        <v/>
      </c>
      <c r="I263" s="3" t="str">
        <f t="shared" si="32"/>
        <v/>
      </c>
      <c r="J263" s="3" t="str">
        <f t="shared" si="32"/>
        <v/>
      </c>
      <c r="K263" s="3" t="str">
        <f t="shared" si="32"/>
        <v/>
      </c>
      <c r="L263" s="3" t="str">
        <f t="shared" si="32"/>
        <v/>
      </c>
      <c r="M263" s="3" t="str">
        <f t="shared" si="32"/>
        <v/>
      </c>
      <c r="N263" s="3" t="str">
        <f t="shared" si="32"/>
        <v/>
      </c>
      <c r="O263" s="3" t="str">
        <f t="shared" si="32"/>
        <v/>
      </c>
      <c r="P263" s="3" t="str">
        <f t="shared" si="32"/>
        <v/>
      </c>
      <c r="Q263" s="3" t="str">
        <f t="shared" si="32"/>
        <v/>
      </c>
      <c r="R263" s="3" t="str">
        <f t="shared" si="32"/>
        <v/>
      </c>
      <c r="S263" s="3" t="str">
        <f t="shared" si="32"/>
        <v/>
      </c>
      <c r="T263" s="3" t="str">
        <f t="shared" si="32"/>
        <v/>
      </c>
      <c r="U263" s="3" t="str">
        <f t="shared" si="32"/>
        <v/>
      </c>
      <c r="V263" s="3" t="str">
        <f t="shared" si="32"/>
        <v/>
      </c>
      <c r="W263" s="3" t="str">
        <f t="shared" si="32"/>
        <v/>
      </c>
      <c r="X263" s="3" t="str">
        <f t="shared" si="32"/>
        <v/>
      </c>
      <c r="Y263" s="3" t="str">
        <f t="shared" si="32"/>
        <v/>
      </c>
      <c r="Z263" s="3" t="str">
        <f t="shared" si="32"/>
        <v/>
      </c>
      <c r="AA263" s="3" t="str">
        <f t="shared" si="32"/>
        <v/>
      </c>
      <c r="AB263" s="3" t="str">
        <f t="shared" si="32"/>
        <v/>
      </c>
      <c r="AC263" s="3" t="str">
        <f t="shared" si="32"/>
        <v/>
      </c>
      <c r="AD263" s="3" t="str">
        <f t="shared" si="32"/>
        <v/>
      </c>
      <c r="AE263" s="3" t="str">
        <f t="shared" si="32"/>
        <v/>
      </c>
      <c r="AF263" s="3" t="str">
        <f t="shared" si="32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C101:AF101 C103:AF108 Y11:AF11 B20:AF23 B16:AF16">
    <cfRule type="expression" dxfId="1704" priority="239">
      <formula>B$9&gt;=20/24</formula>
    </cfRule>
    <cfRule type="expression" dxfId="1703" priority="240">
      <formula>AND(B$9&gt;=14/24,B$9&lt;20/24)</formula>
    </cfRule>
    <cfRule type="expression" dxfId="1702" priority="241">
      <formula>AND(B$9&gt;=8/24,B$9&lt;14/24)</formula>
    </cfRule>
    <cfRule type="expression" dxfId="1701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1700" priority="234">
      <formula>S$9&gt;=20/24</formula>
    </cfRule>
    <cfRule type="expression" dxfId="1699" priority="235">
      <formula>AND(S$9&gt;=14/24,S$9&lt;20/24)</formula>
    </cfRule>
    <cfRule type="expression" dxfId="1698" priority="236">
      <formula>AND(S$9&gt;=8/24,S$9&lt;14/24)</formula>
    </cfRule>
    <cfRule type="expression" dxfId="1697" priority="237">
      <formula>S$9&lt;8/24</formula>
    </cfRule>
  </conditionalFormatting>
  <conditionalFormatting sqref="AG57 B12:X16 S39:AF39 Y11:AF16 B18:AF18 B20:AF23 B37:AF37">
    <cfRule type="expression" dxfId="1696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1695" priority="232">
      <formula>$AH11=0</formula>
    </cfRule>
  </conditionalFormatting>
  <conditionalFormatting sqref="A106">
    <cfRule type="expression" dxfId="1694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693" priority="229">
      <formula>$AH37=0</formula>
    </cfRule>
  </conditionalFormatting>
  <conditionalFormatting sqref="A90">
    <cfRule type="expression" dxfId="1692" priority="228">
      <formula>$AH90=0</formula>
    </cfRule>
  </conditionalFormatting>
  <conditionalFormatting sqref="A15">
    <cfRule type="expression" dxfId="1691" priority="227">
      <formula>$AH15=0</formula>
    </cfRule>
  </conditionalFormatting>
  <conditionalFormatting sqref="A188:A193">
    <cfRule type="expression" dxfId="1690" priority="226">
      <formula>$AH188=0</formula>
    </cfRule>
  </conditionalFormatting>
  <conditionalFormatting sqref="A182:A187">
    <cfRule type="expression" dxfId="1689" priority="225">
      <formula>$AH182=0</formula>
    </cfRule>
  </conditionalFormatting>
  <conditionalFormatting sqref="A50">
    <cfRule type="expression" dxfId="1688" priority="224">
      <formula>$AH50=0</formula>
    </cfRule>
  </conditionalFormatting>
  <conditionalFormatting sqref="A86">
    <cfRule type="expression" dxfId="1687" priority="223">
      <formula>$AH86=0</formula>
    </cfRule>
  </conditionalFormatting>
  <conditionalFormatting sqref="C91:AF91">
    <cfRule type="expression" dxfId="1686" priority="219">
      <formula>C$9&gt;=20/24</formula>
    </cfRule>
    <cfRule type="expression" dxfId="1685" priority="220">
      <formula>AND(C$9&gt;=14/24,C$9&lt;20/24)</formula>
    </cfRule>
    <cfRule type="expression" dxfId="1684" priority="221">
      <formula>AND(C$9&gt;=8/24,C$9&lt;14/24)</formula>
    </cfRule>
    <cfRule type="expression" dxfId="1683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682" priority="245">
      <formula>C$9&gt;=20/24</formula>
    </cfRule>
    <cfRule type="expression" dxfId="1681" priority="246">
      <formula>AND(C$9&gt;=14/24,C$9&lt;20/24)</formula>
    </cfRule>
    <cfRule type="expression" dxfId="1680" priority="247">
      <formula>AND(C$9&gt;=8/24,C$9&lt;14/24)</formula>
    </cfRule>
    <cfRule type="expression" dxfId="1679" priority="248">
      <formula>C$9&lt;8/24</formula>
    </cfRule>
  </conditionalFormatting>
  <conditionalFormatting sqref="A225">
    <cfRule type="expression" dxfId="1678" priority="249">
      <formula>$AH225=0</formula>
    </cfRule>
  </conditionalFormatting>
  <conditionalFormatting sqref="AG237">
    <cfRule type="expression" dxfId="1677" priority="250">
      <formula>B$9&gt;=20/24</formula>
    </cfRule>
    <cfRule type="expression" dxfId="1676" priority="251">
      <formula>AND(B$9&gt;=14/24,B$9&lt;20/24)</formula>
    </cfRule>
    <cfRule type="expression" dxfId="1675" priority="252">
      <formula>AND(B$9&gt;=8/24,B$9&lt;14/24)</formula>
    </cfRule>
    <cfRule type="expression" dxfId="1674" priority="253">
      <formula>B$9&lt;8/24</formula>
    </cfRule>
  </conditionalFormatting>
  <conditionalFormatting sqref="S8">
    <cfRule type="expression" dxfId="1673" priority="214">
      <formula>U$9&gt;=20/24</formula>
    </cfRule>
    <cfRule type="expression" dxfId="1672" priority="215">
      <formula>AND(U$9&gt;=14/24,U$9&lt;20/24)</formula>
    </cfRule>
    <cfRule type="expression" dxfId="1671" priority="216">
      <formula>AND(U$9&gt;=8/24,U$9&lt;14/24)</formula>
    </cfRule>
    <cfRule type="expression" dxfId="1670" priority="217">
      <formula>U$9&lt;8/24</formula>
    </cfRule>
  </conditionalFormatting>
  <conditionalFormatting sqref="AB8">
    <cfRule type="expression" dxfId="1669" priority="210">
      <formula>AD$9&gt;=20/24</formula>
    </cfRule>
    <cfRule type="expression" dxfId="1668" priority="211">
      <formula>AND(AD$9&gt;=14/24,AD$9&lt;20/24)</formula>
    </cfRule>
    <cfRule type="expression" dxfId="1667" priority="212">
      <formula>AND(AD$9&gt;=8/24,AD$9&lt;14/24)</formula>
    </cfRule>
    <cfRule type="expression" dxfId="1666" priority="213">
      <formula>AD$9&lt;8/24</formula>
    </cfRule>
  </conditionalFormatting>
  <conditionalFormatting sqref="AH237:AX237">
    <cfRule type="expression" dxfId="1665" priority="254">
      <formula>AG$9&gt;=20/24</formula>
    </cfRule>
    <cfRule type="expression" dxfId="1664" priority="255">
      <formula>AND(AG$9&gt;=14/24,AG$9&lt;20/24)</formula>
    </cfRule>
    <cfRule type="expression" dxfId="1663" priority="256">
      <formula>AND(AG$9&gt;=8/24,AG$9&lt;14/24)</formula>
    </cfRule>
    <cfRule type="expression" dxfId="1662" priority="257">
      <formula>AG$9&lt;8/24</formula>
    </cfRule>
  </conditionalFormatting>
  <conditionalFormatting sqref="T237">
    <cfRule type="expression" dxfId="1661" priority="258">
      <formula>AX$9&gt;=20/24</formula>
    </cfRule>
    <cfRule type="expression" dxfId="1660" priority="259">
      <formula>AND(AX$9&gt;=14/24,AX$9&lt;20/24)</formula>
    </cfRule>
    <cfRule type="expression" dxfId="1659" priority="260">
      <formula>AND(AX$9&gt;=8/24,AX$9&lt;14/24)</formula>
    </cfRule>
    <cfRule type="expression" dxfId="1658" priority="261">
      <formula>AX$9&lt;8/24</formula>
    </cfRule>
  </conditionalFormatting>
  <conditionalFormatting sqref="A107:A108">
    <cfRule type="expression" dxfId="1657" priority="209">
      <formula>$AH107=0</formula>
    </cfRule>
  </conditionalFormatting>
  <conditionalFormatting sqref="G63:AF63 J46:AF47">
    <cfRule type="expression" dxfId="1656" priority="205">
      <formula>G$9&gt;=20/24</formula>
    </cfRule>
    <cfRule type="expression" dxfId="1655" priority="206">
      <formula>AND(G$9&gt;=14/24,G$9&lt;20/24)</formula>
    </cfRule>
    <cfRule type="expression" dxfId="1654" priority="207">
      <formula>AND(G$9&gt;=8/24,G$9&lt;14/24)</formula>
    </cfRule>
    <cfRule type="expression" dxfId="1653" priority="208">
      <formula>G$9&lt;8/24</formula>
    </cfRule>
  </conditionalFormatting>
  <conditionalFormatting sqref="J45:AF45">
    <cfRule type="expression" dxfId="1652" priority="201">
      <formula>J$9&gt;=20/24</formula>
    </cfRule>
    <cfRule type="expression" dxfId="1651" priority="202">
      <formula>AND(J$9&gt;=14/24,J$9&lt;20/24)</formula>
    </cfRule>
    <cfRule type="expression" dxfId="1650" priority="203">
      <formula>AND(J$9&gt;=8/24,J$9&lt;14/24)</formula>
    </cfRule>
    <cfRule type="expression" dxfId="1649" priority="204">
      <formula>J$9&lt;8/24</formula>
    </cfRule>
  </conditionalFormatting>
  <conditionalFormatting sqref="J45:AF47">
    <cfRule type="expression" dxfId="1648" priority="200">
      <formula>J45&gt;$AG45</formula>
    </cfRule>
  </conditionalFormatting>
  <conditionalFormatting sqref="C88:AF88 L39:R39 J64:U65 U59:AF61 C75:AF78 D92:AF98 T38:AF38 Y25:AF27 Y29:AF29 Y12:AF14 Y18:AF18 Y31:AF34 V64:AF73">
    <cfRule type="expression" dxfId="1647" priority="196">
      <formula>C$9&gt;=20/24</formula>
    </cfRule>
    <cfRule type="expression" dxfId="1646" priority="197">
      <formula>AND(C$9&gt;=14/24,C$9&lt;20/24)</formula>
    </cfRule>
    <cfRule type="expression" dxfId="1645" priority="198">
      <formula>AND(C$9&gt;=8/24,C$9&lt;14/24)</formula>
    </cfRule>
    <cfRule type="expression" dxfId="1644" priority="199">
      <formula>C$9&lt;8/24</formula>
    </cfRule>
  </conditionalFormatting>
  <conditionalFormatting sqref="Y35:AF35">
    <cfRule type="expression" dxfId="1643" priority="192">
      <formula>Y$9&gt;=20/24</formula>
    </cfRule>
    <cfRule type="expression" dxfId="1642" priority="193">
      <formula>AND(Y$9&gt;=14/24,Y$9&lt;20/24)</formula>
    </cfRule>
    <cfRule type="expression" dxfId="1641" priority="194">
      <formula>AND(Y$9&gt;=8/24,Y$9&lt;14/24)</formula>
    </cfRule>
    <cfRule type="expression" dxfId="1640" priority="195">
      <formula>Y$9&lt;8/24</formula>
    </cfRule>
  </conditionalFormatting>
  <conditionalFormatting sqref="C57:AF57 L39:R39 J48:S48 U59:AF61 T38:AF38 Y25:AF29 Y31:AF35">
    <cfRule type="expression" dxfId="1639" priority="191">
      <formula>C25&gt;$AG25</formula>
    </cfRule>
  </conditionalFormatting>
  <conditionalFormatting sqref="Y37:AF37">
    <cfRule type="expression" dxfId="1638" priority="187">
      <formula>Y$9&gt;=20/24</formula>
    </cfRule>
    <cfRule type="expression" dxfId="1637" priority="188">
      <formula>AND(Y$9&gt;=14/24,Y$9&lt;20/24)</formula>
    </cfRule>
    <cfRule type="expression" dxfId="1636" priority="189">
      <formula>AND(Y$9&gt;=8/24,Y$9&lt;14/24)</formula>
    </cfRule>
    <cfRule type="expression" dxfId="1635" priority="190">
      <formula>Y$9&lt;8/24</formula>
    </cfRule>
  </conditionalFormatting>
  <conditionalFormatting sqref="Y15:AF15">
    <cfRule type="expression" dxfId="1634" priority="183">
      <formula>Y$9&gt;=20/24</formula>
    </cfRule>
    <cfRule type="expression" dxfId="1633" priority="184">
      <formula>AND(Y$9&gt;=14/24,Y$9&lt;20/24)</formula>
    </cfRule>
    <cfRule type="expression" dxfId="1632" priority="185">
      <formula>AND(Y$9&gt;=8/24,Y$9&lt;14/24)</formula>
    </cfRule>
    <cfRule type="expression" dxfId="1631" priority="186">
      <formula>Y$9&lt;8/24</formula>
    </cfRule>
  </conditionalFormatting>
  <conditionalFormatting sqref="Y36:AF36">
    <cfRule type="expression" dxfId="1630" priority="179">
      <formula>Y$9&gt;=20/24</formula>
    </cfRule>
    <cfRule type="expression" dxfId="1629" priority="180">
      <formula>AND(Y$9&gt;=14/24,Y$9&lt;20/24)</formula>
    </cfRule>
    <cfRule type="expression" dxfId="1628" priority="181">
      <formula>AND(Y$9&gt;=8/24,Y$9&lt;14/24)</formula>
    </cfRule>
    <cfRule type="expression" dxfId="1627" priority="182">
      <formula>Y$9&lt;8/24</formula>
    </cfRule>
  </conditionalFormatting>
  <conditionalFormatting sqref="Y36:AF36">
    <cfRule type="expression" dxfId="1626" priority="178">
      <formula>Y36&gt;$AG36</formula>
    </cfRule>
  </conditionalFormatting>
  <conditionalFormatting sqref="V48:AF48">
    <cfRule type="expression" dxfId="1625" priority="174">
      <formula>V$9&gt;=20/24</formula>
    </cfRule>
    <cfRule type="expression" dxfId="1624" priority="175">
      <formula>AND(V$9&gt;=14/24,V$9&lt;20/24)</formula>
    </cfRule>
    <cfRule type="expression" dxfId="1623" priority="176">
      <formula>AND(V$9&gt;=8/24,V$9&lt;14/24)</formula>
    </cfRule>
    <cfRule type="expression" dxfId="1622" priority="177">
      <formula>V$9&lt;8/24</formula>
    </cfRule>
  </conditionalFormatting>
  <conditionalFormatting sqref="V48:AF48">
    <cfRule type="expression" dxfId="1621" priority="173">
      <formula>V48&gt;$AG48</formula>
    </cfRule>
  </conditionalFormatting>
  <conditionalFormatting sqref="T48 M49:T49 U48:U49 V49:AF49">
    <cfRule type="expression" dxfId="1620" priority="169">
      <formula>M$9&gt;=20/24</formula>
    </cfRule>
    <cfRule type="expression" dxfId="1619" priority="170">
      <formula>AND(M$9&gt;=14/24,M$9&lt;20/24)</formula>
    </cfRule>
    <cfRule type="expression" dxfId="1618" priority="171">
      <formula>AND(M$9&gt;=8/24,M$9&lt;14/24)</formula>
    </cfRule>
    <cfRule type="expression" dxfId="1617" priority="172">
      <formula>M$9&lt;8/24</formula>
    </cfRule>
  </conditionalFormatting>
  <conditionalFormatting sqref="T48 M49:T49 U48:U49 V49:AF49">
    <cfRule type="expression" dxfId="1616" priority="168">
      <formula>M48&gt;$AG48</formula>
    </cfRule>
  </conditionalFormatting>
  <conditionalFormatting sqref="Y28:AF28">
    <cfRule type="expression" dxfId="1615" priority="164">
      <formula>Y$9&gt;=20/24</formula>
    </cfRule>
    <cfRule type="expression" dxfId="1614" priority="165">
      <formula>AND(Y$9&gt;=14/24,Y$9&lt;20/24)</formula>
    </cfRule>
    <cfRule type="expression" dxfId="1613" priority="166">
      <formula>AND(Y$9&gt;=8/24,Y$9&lt;14/24)</formula>
    </cfRule>
    <cfRule type="expression" dxfId="1612" priority="167">
      <formula>Y$9&lt;8/24</formula>
    </cfRule>
  </conditionalFormatting>
  <conditionalFormatting sqref="Y19:AF19 Y24:AF24">
    <cfRule type="expression" dxfId="1611" priority="160">
      <formula>Y$9&gt;=20/24</formula>
    </cfRule>
    <cfRule type="expression" dxfId="1610" priority="161">
      <formula>AND(Y$9&gt;=14/24,Y$9&lt;20/24)</formula>
    </cfRule>
    <cfRule type="expression" dxfId="1609" priority="162">
      <formula>AND(Y$9&gt;=8/24,Y$9&lt;14/24)</formula>
    </cfRule>
    <cfRule type="expression" dxfId="1608" priority="163">
      <formula>Y$9&lt;8/24</formula>
    </cfRule>
  </conditionalFormatting>
  <conditionalFormatting sqref="Y19:AF19 Y24:AF24">
    <cfRule type="expression" dxfId="1607" priority="159">
      <formula>Y19&gt;$AG19</formula>
    </cfRule>
  </conditionalFormatting>
  <conditionalFormatting sqref="B101 B80:AF80 B89:AF89 B103:B108 B11:X11">
    <cfRule type="expression" dxfId="1606" priority="141">
      <formula>B$9&gt;=20/24</formula>
    </cfRule>
    <cfRule type="expression" dxfId="1605" priority="142">
      <formula>AND(B$9&gt;=14/24,B$9&lt;20/24)</formula>
    </cfRule>
    <cfRule type="expression" dxfId="1604" priority="143">
      <formula>AND(B$9&gt;=8/24,B$9&lt;14/24)</formula>
    </cfRule>
    <cfRule type="expression" dxfId="1603" priority="144">
      <formula>B$9&lt;8/24</formula>
    </cfRule>
  </conditionalFormatting>
  <conditionalFormatting sqref="B39:K39">
    <cfRule type="expression" dxfId="1602" priority="137">
      <formula>B$9&gt;=20/24</formula>
    </cfRule>
    <cfRule type="expression" dxfId="1601" priority="138">
      <formula>AND(B$9&gt;=14/24,B$9&lt;20/24)</formula>
    </cfRule>
    <cfRule type="expression" dxfId="1600" priority="139">
      <formula>AND(B$9&gt;=8/24,B$9&lt;14/24)</formula>
    </cfRule>
    <cfRule type="expression" dxfId="1599" priority="140">
      <formula>B$9&lt;8/24</formula>
    </cfRule>
  </conditionalFormatting>
  <conditionalFormatting sqref="B39:K39 B11:X11">
    <cfRule type="expression" dxfId="1598" priority="136">
      <formula>B11&gt;$AG11</formula>
    </cfRule>
  </conditionalFormatting>
  <conditionalFormatting sqref="B91">
    <cfRule type="expression" dxfId="1597" priority="132">
      <formula>B$9&gt;=20/24</formula>
    </cfRule>
    <cfRule type="expression" dxfId="1596" priority="133">
      <formula>AND(B$9&gt;=14/24,B$9&lt;20/24)</formula>
    </cfRule>
    <cfRule type="expression" dxfId="1595" priority="134">
      <formula>AND(B$9&gt;=8/24,B$9&lt;14/24)</formula>
    </cfRule>
    <cfRule type="expression" dxfId="1594" priority="135">
      <formula>B$9&lt;8/24</formula>
    </cfRule>
  </conditionalFormatting>
  <conditionalFormatting sqref="B63:F63 B46:I47 B38:S38">
    <cfRule type="expression" dxfId="1593" priority="128">
      <formula>B$9&gt;=20/24</formula>
    </cfRule>
    <cfRule type="expression" dxfId="1592" priority="129">
      <formula>AND(B$9&gt;=14/24,B$9&lt;20/24)</formula>
    </cfRule>
    <cfRule type="expression" dxfId="1591" priority="130">
      <formula>AND(B$9&gt;=8/24,B$9&lt;14/24)</formula>
    </cfRule>
    <cfRule type="expression" dxfId="1590" priority="131">
      <formula>B$9&lt;8/24</formula>
    </cfRule>
  </conditionalFormatting>
  <conditionalFormatting sqref="B45:I45">
    <cfRule type="expression" dxfId="1589" priority="124">
      <formula>B$9&gt;=20/24</formula>
    </cfRule>
    <cfRule type="expression" dxfId="1588" priority="125">
      <formula>AND(B$9&gt;=14/24,B$9&lt;20/24)</formula>
    </cfRule>
    <cfRule type="expression" dxfId="1587" priority="126">
      <formula>AND(B$9&gt;=8/24,B$9&lt;14/24)</formula>
    </cfRule>
    <cfRule type="expression" dxfId="1586" priority="127">
      <formula>B$9&lt;8/24</formula>
    </cfRule>
  </conditionalFormatting>
  <conditionalFormatting sqref="B45:I47 B38:S38">
    <cfRule type="expression" dxfId="1585" priority="123">
      <formula>B38&gt;$AG38</formula>
    </cfRule>
  </conditionalFormatting>
  <conditionalFormatting sqref="B59:B62 B75:B79 B81:AF81 B88 C62:AG62 C79:AG79 B90:AF90 B92:C98 B64:I73 C59:T61 J66:U73 B12:X14 B18:X18 B25:X27 B29:X29 B31:X34">
    <cfRule type="expression" dxfId="1584" priority="119">
      <formula>B$9&gt;=20/24</formula>
    </cfRule>
    <cfRule type="expression" dxfId="1583" priority="120">
      <formula>AND(B$9&gt;=14/24,B$9&lt;20/24)</formula>
    </cfRule>
    <cfRule type="expression" dxfId="1582" priority="121">
      <formula>AND(B$9&gt;=8/24,B$9&lt;14/24)</formula>
    </cfRule>
    <cfRule type="expression" dxfId="1581" priority="122">
      <formula>B$9&lt;8/24</formula>
    </cfRule>
  </conditionalFormatting>
  <conditionalFormatting sqref="B35:X35">
    <cfRule type="expression" dxfId="1580" priority="115">
      <formula>B$9&gt;=20/24</formula>
    </cfRule>
    <cfRule type="expression" dxfId="1579" priority="116">
      <formula>AND(B$9&gt;=14/24,B$9&lt;20/24)</formula>
    </cfRule>
    <cfRule type="expression" dxfId="1578" priority="117">
      <formula>AND(B$9&gt;=8/24,B$9&lt;14/24)</formula>
    </cfRule>
    <cfRule type="expression" dxfId="1577" priority="118">
      <formula>B$9&lt;8/24</formula>
    </cfRule>
  </conditionalFormatting>
  <conditionalFormatting sqref="B57:B62 C58:AG58 C62:AG62 B48:I49 B40:AG40 J49:L49 C59:T61 B25:X29 B31:X35">
    <cfRule type="expression" dxfId="1576" priority="114">
      <formula>B25&gt;$AG25</formula>
    </cfRule>
  </conditionalFormatting>
  <conditionalFormatting sqref="B37:X37">
    <cfRule type="expression" dxfId="1575" priority="110">
      <formula>B$9&gt;=20/24</formula>
    </cfRule>
    <cfRule type="expression" dxfId="1574" priority="111">
      <formula>AND(B$9&gt;=14/24,B$9&lt;20/24)</formula>
    </cfRule>
    <cfRule type="expression" dxfId="1573" priority="112">
      <formula>AND(B$9&gt;=8/24,B$9&lt;14/24)</formula>
    </cfRule>
    <cfRule type="expression" dxfId="1572" priority="113">
      <formula>B$9&lt;8/24</formula>
    </cfRule>
  </conditionalFormatting>
  <conditionalFormatting sqref="B15:X15">
    <cfRule type="expression" dxfId="1571" priority="106">
      <formula>B$9&gt;=20/24</formula>
    </cfRule>
    <cfRule type="expression" dxfId="1570" priority="107">
      <formula>AND(B$9&gt;=14/24,B$9&lt;20/24)</formula>
    </cfRule>
    <cfRule type="expression" dxfId="1569" priority="108">
      <formula>AND(B$9&gt;=8/24,B$9&lt;14/24)</formula>
    </cfRule>
    <cfRule type="expression" dxfId="1568" priority="109">
      <formula>B$9&lt;8/24</formula>
    </cfRule>
  </conditionalFormatting>
  <conditionalFormatting sqref="B36:X36">
    <cfRule type="expression" dxfId="1567" priority="102">
      <formula>B$9&gt;=20/24</formula>
    </cfRule>
    <cfRule type="expression" dxfId="1566" priority="103">
      <formula>AND(B$9&gt;=14/24,B$9&lt;20/24)</formula>
    </cfRule>
    <cfRule type="expression" dxfId="1565" priority="104">
      <formula>AND(B$9&gt;=8/24,B$9&lt;14/24)</formula>
    </cfRule>
    <cfRule type="expression" dxfId="1564" priority="105">
      <formula>B$9&lt;8/24</formula>
    </cfRule>
  </conditionalFormatting>
  <conditionalFormatting sqref="B36:X36">
    <cfRule type="expression" dxfId="1563" priority="101">
      <formula>B36&gt;$AG36</formula>
    </cfRule>
  </conditionalFormatting>
  <conditionalFormatting sqref="B50:AF56">
    <cfRule type="expression" dxfId="1562" priority="97">
      <formula>B$9&gt;=20/24</formula>
    </cfRule>
    <cfRule type="expression" dxfId="1561" priority="98">
      <formula>AND(B$9&gt;=14/24,B$9&lt;20/24)</formula>
    </cfRule>
    <cfRule type="expression" dxfId="1560" priority="99">
      <formula>AND(B$9&gt;=8/24,B$9&lt;14/24)</formula>
    </cfRule>
    <cfRule type="expression" dxfId="1559" priority="100">
      <formula>B$9&lt;8/24</formula>
    </cfRule>
  </conditionalFormatting>
  <conditionalFormatting sqref="B50:AF56">
    <cfRule type="expression" dxfId="1558" priority="96">
      <formula>B50&gt;$AG50</formula>
    </cfRule>
  </conditionalFormatting>
  <conditionalFormatting sqref="B28:X28">
    <cfRule type="expression" dxfId="1557" priority="92">
      <formula>B$9&gt;=20/24</formula>
    </cfRule>
    <cfRule type="expression" dxfId="1556" priority="93">
      <formula>AND(B$9&gt;=14/24,B$9&lt;20/24)</formula>
    </cfRule>
    <cfRule type="expression" dxfId="1555" priority="94">
      <formula>AND(B$9&gt;=8/24,B$9&lt;14/24)</formula>
    </cfRule>
    <cfRule type="expression" dxfId="1554" priority="95">
      <formula>B$9&lt;8/24</formula>
    </cfRule>
  </conditionalFormatting>
  <conditionalFormatting sqref="B19:X19 B24:X24">
    <cfRule type="expression" dxfId="1553" priority="88">
      <formula>B$9&gt;=20/24</formula>
    </cfRule>
    <cfRule type="expression" dxfId="1552" priority="89">
      <formula>AND(B$9&gt;=14/24,B$9&lt;20/24)</formula>
    </cfRule>
    <cfRule type="expression" dxfId="1551" priority="90">
      <formula>AND(B$9&gt;=8/24,B$9&lt;14/24)</formula>
    </cfRule>
    <cfRule type="expression" dxfId="1550" priority="91">
      <formula>B$9&lt;8/24</formula>
    </cfRule>
  </conditionalFormatting>
  <conditionalFormatting sqref="B19:X19 B24:X24">
    <cfRule type="expression" dxfId="1549" priority="87">
      <formula>B19&gt;$AG19</formula>
    </cfRule>
  </conditionalFormatting>
  <conditionalFormatting sqref="A36">
    <cfRule type="expression" dxfId="1548" priority="86">
      <formula>$AH36=0</formula>
    </cfRule>
  </conditionalFormatting>
  <conditionalFormatting sqref="B74:AF74">
    <cfRule type="expression" dxfId="1547" priority="82">
      <formula>B$9&gt;=20/24</formula>
    </cfRule>
    <cfRule type="expression" dxfId="1546" priority="83">
      <formula>AND(B$9&gt;=14/24,B$9&lt;20/24)</formula>
    </cfRule>
    <cfRule type="expression" dxfId="1545" priority="84">
      <formula>AND(B$9&gt;=8/24,B$9&lt;14/24)</formula>
    </cfRule>
    <cfRule type="expression" dxfId="1544" priority="85">
      <formula>B$9&lt;8/24</formula>
    </cfRule>
  </conditionalFormatting>
  <conditionalFormatting sqref="B83:AF87">
    <cfRule type="expression" dxfId="1543" priority="78">
      <formula>B$9&gt;=20/24</formula>
    </cfRule>
    <cfRule type="expression" dxfId="1542" priority="79">
      <formula>AND(B$9&gt;=14/24,B$9&lt;20/24)</formula>
    </cfRule>
    <cfRule type="expression" dxfId="1541" priority="80">
      <formula>AND(B$9&gt;=8/24,B$9&lt;14/24)</formula>
    </cfRule>
    <cfRule type="expression" dxfId="1540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1:I41 J41:AF43">
    <cfRule type="expression" dxfId="1539" priority="74">
      <formula>C$9&gt;=20/24</formula>
    </cfRule>
    <cfRule type="expression" dxfId="1538" priority="75">
      <formula>AND(C$9&gt;=14/24,C$9&lt;20/24)</formula>
    </cfRule>
    <cfRule type="expression" dxfId="1537" priority="76">
      <formula>AND(C$9&gt;=8/24,C$9&lt;14/24)</formula>
    </cfRule>
    <cfRule type="expression" dxfId="1536" priority="77">
      <formula>C$9&lt;8/24</formula>
    </cfRule>
  </conditionalFormatting>
  <conditionalFormatting sqref="C41:I41 J41:AF43">
    <cfRule type="expression" dxfId="1535" priority="73">
      <formula>C41&gt;$AG41</formula>
    </cfRule>
  </conditionalFormatting>
  <conditionalFormatting sqref="B41:B44 C44:AG44 C42:I43">
    <cfRule type="expression" dxfId="1534" priority="69">
      <formula>B$9&gt;=20/24</formula>
    </cfRule>
    <cfRule type="expression" dxfId="1533" priority="70">
      <formula>AND(B$9&gt;=14/24,B$9&lt;20/24)</formula>
    </cfRule>
    <cfRule type="expression" dxfId="1532" priority="71">
      <formula>AND(B$9&gt;=8/24,B$9&lt;14/24)</formula>
    </cfRule>
    <cfRule type="expression" dxfId="1531" priority="72">
      <formula>B$9&lt;8/24</formula>
    </cfRule>
  </conditionalFormatting>
  <conditionalFormatting sqref="B41:B44 C44:AG44 C42:I43">
    <cfRule type="expression" dxfId="1530" priority="68">
      <formula>B41&gt;$AG41</formula>
    </cfRule>
  </conditionalFormatting>
  <conditionalFormatting sqref="C99:AF99">
    <cfRule type="expression" dxfId="1529" priority="64">
      <formula>C$9&gt;=20/24</formula>
    </cfRule>
    <cfRule type="expression" dxfId="1528" priority="65">
      <formula>AND(C$9&gt;=14/24,C$9&lt;20/24)</formula>
    </cfRule>
    <cfRule type="expression" dxfId="1527" priority="66">
      <formula>AND(C$9&gt;=8/24,C$9&lt;14/24)</formula>
    </cfRule>
    <cfRule type="expression" dxfId="1526" priority="67">
      <formula>C$9&lt;8/24</formula>
    </cfRule>
  </conditionalFormatting>
  <conditionalFormatting sqref="B99">
    <cfRule type="expression" dxfId="1525" priority="60">
      <formula>B$9&gt;=20/24</formula>
    </cfRule>
    <cfRule type="expression" dxfId="1524" priority="61">
      <formula>AND(B$9&gt;=14/24,B$9&lt;20/24)</formula>
    </cfRule>
    <cfRule type="expression" dxfId="1523" priority="62">
      <formula>AND(B$9&gt;=8/24,B$9&lt;14/24)</formula>
    </cfRule>
    <cfRule type="expression" dxfId="1522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1521" priority="54">
      <formula>$AH33=0</formula>
    </cfRule>
  </conditionalFormatting>
  <conditionalFormatting sqref="A82">
    <cfRule type="expression" dxfId="1520" priority="52">
      <formula>$AH82=0</formula>
    </cfRule>
  </conditionalFormatting>
  <conditionalFormatting sqref="A79">
    <cfRule type="expression" dxfId="1519" priority="53">
      <formula>$AH79=0</formula>
    </cfRule>
  </conditionalFormatting>
  <conditionalFormatting sqref="A109">
    <cfRule type="expression" dxfId="1518" priority="43">
      <formula>$AH109=0</formula>
    </cfRule>
  </conditionalFormatting>
  <conditionalFormatting sqref="C102:AF102">
    <cfRule type="expression" dxfId="1517" priority="39">
      <formula>C$9&gt;=20/24</formula>
    </cfRule>
    <cfRule type="expression" dxfId="1516" priority="40">
      <formula>AND(C$9&gt;=14/24,C$9&lt;20/24)</formula>
    </cfRule>
    <cfRule type="expression" dxfId="1515" priority="41">
      <formula>AND(C$9&gt;=8/24,C$9&lt;14/24)</formula>
    </cfRule>
    <cfRule type="expression" dxfId="1514" priority="42">
      <formula>C$9&lt;8/24</formula>
    </cfRule>
  </conditionalFormatting>
  <conditionalFormatting sqref="A102">
    <cfRule type="expression" dxfId="1513" priority="38">
      <formula>$AH102=0</formula>
    </cfRule>
  </conditionalFormatting>
  <conditionalFormatting sqref="B102">
    <cfRule type="expression" dxfId="1512" priority="34">
      <formula>B$9&gt;=20/24</formula>
    </cfRule>
    <cfRule type="expression" dxfId="1511" priority="35">
      <formula>AND(B$9&gt;=14/24,B$9&lt;20/24)</formula>
    </cfRule>
    <cfRule type="expression" dxfId="1510" priority="36">
      <formula>AND(B$9&gt;=8/24,B$9&lt;14/24)</formula>
    </cfRule>
    <cfRule type="expression" dxfId="1509" priority="37">
      <formula>B$9&lt;8/24</formula>
    </cfRule>
  </conditionalFormatting>
  <conditionalFormatting sqref="B17:AF17">
    <cfRule type="expression" dxfId="1508" priority="27">
      <formula>B17&gt;$AG17</formula>
    </cfRule>
  </conditionalFormatting>
  <conditionalFormatting sqref="A17">
    <cfRule type="expression" dxfId="1507" priority="26">
      <formula>$AH17=0</formula>
    </cfRule>
  </conditionalFormatting>
  <conditionalFormatting sqref="Y17:AF17">
    <cfRule type="expression" dxfId="1506" priority="22">
      <formula>Y$9&gt;=20/24</formula>
    </cfRule>
    <cfRule type="expression" dxfId="1505" priority="23">
      <formula>AND(Y$9&gt;=14/24,Y$9&lt;20/24)</formula>
    </cfRule>
    <cfRule type="expression" dxfId="1504" priority="24">
      <formula>AND(Y$9&gt;=8/24,Y$9&lt;14/24)</formula>
    </cfRule>
    <cfRule type="expression" dxfId="1503" priority="25">
      <formula>Y$9&lt;8/24</formula>
    </cfRule>
  </conditionalFormatting>
  <conditionalFormatting sqref="B17:X17">
    <cfRule type="expression" dxfId="1502" priority="18">
      <formula>B$9&gt;=20/24</formula>
    </cfRule>
    <cfRule type="expression" dxfId="1501" priority="19">
      <formula>AND(B$9&gt;=14/24,B$9&lt;20/24)</formula>
    </cfRule>
    <cfRule type="expression" dxfId="1500" priority="20">
      <formula>AND(B$9&gt;=8/24,B$9&lt;14/24)</formula>
    </cfRule>
    <cfRule type="expression" dxfId="1499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1498" priority="16">
      <formula>$AH30=0</formula>
    </cfRule>
  </conditionalFormatting>
  <conditionalFormatting sqref="Y30:AF30">
    <cfRule type="expression" dxfId="1497" priority="12">
      <formula>Y$9&gt;=20/24</formula>
    </cfRule>
    <cfRule type="expression" dxfId="1496" priority="13">
      <formula>AND(Y$9&gt;=14/24,Y$9&lt;20/24)</formula>
    </cfRule>
    <cfRule type="expression" dxfId="1495" priority="14">
      <formula>AND(Y$9&gt;=8/24,Y$9&lt;14/24)</formula>
    </cfRule>
    <cfRule type="expression" dxfId="1494" priority="15">
      <formula>Y$9&lt;8/24</formula>
    </cfRule>
  </conditionalFormatting>
  <conditionalFormatting sqref="Y30:AF30">
    <cfRule type="expression" dxfId="1493" priority="11">
      <formula>Y30&gt;$AG30</formula>
    </cfRule>
  </conditionalFormatting>
  <conditionalFormatting sqref="B30:X30">
    <cfRule type="expression" dxfId="1492" priority="2">
      <formula>B$9&gt;=20/24</formula>
    </cfRule>
    <cfRule type="expression" dxfId="1491" priority="3">
      <formula>AND(B$9&gt;=14/24,B$9&lt;20/24)</formula>
    </cfRule>
    <cfRule type="expression" dxfId="1490" priority="4">
      <formula>AND(B$9&gt;=8/24,B$9&lt;14/24)</formula>
    </cfRule>
    <cfRule type="expression" dxfId="1489" priority="5">
      <formula>B$9&lt;8/24</formula>
    </cfRule>
  </conditionalFormatting>
  <conditionalFormatting sqref="B30:X30">
    <cfRule type="expression" dxfId="1488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84DE7A3E-4BCA-4482-8C3F-B6D7C9CA42BC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4F9E013C-3F18-430F-A2B5-C43E18E023FE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8BBDF20C-36BB-4BB2-A274-133D3E53A84C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844BD84E-15A6-4980-A61C-702BAAEF0214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E2E67DF8-A4AA-4C13-B839-439FDCC03DBD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130FF7E5-F1FC-478B-9E48-50A93E067D20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D1AA30E4-6E22-4F43-8AEF-4CBD4933BA53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2B33D507-1A8E-472F-82E9-8593D6C14146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E2D1BCBA-076A-492E-A29E-69FD7D7A319F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EBD6B03B-1127-4F5E-997F-A197ED695AE3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3D145DE0-9F9F-4C87-A4D8-EB7C113FC972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6B2F94DE-4319-4595-AB2A-D6139951CBB5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N17" sqref="N17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e">
        <f ca="1">"2079/"&amp;"06/"&amp;INT(MID(CELL("filename",D6),FIND("]",CELL("filename",D6))+1,200))</f>
        <v>#VALUE!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0</v>
      </c>
      <c r="X5" s="148">
        <f t="shared" si="0"/>
        <v>0</v>
      </c>
      <c r="Y5" s="148">
        <f t="shared" si="0"/>
        <v>0</v>
      </c>
      <c r="Z5" s="148">
        <f t="shared" si="0"/>
        <v>0</v>
      </c>
      <c r="AA5" s="148">
        <f t="shared" si="0"/>
        <v>0</v>
      </c>
      <c r="AB5" s="148">
        <f t="shared" si="0"/>
        <v>0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B74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1639MW at 7:30hr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Load=4</v>
      </c>
      <c r="B7" s="137">
        <f t="shared" ref="B7:AF7" si="1">B81</f>
        <v>1481.02</v>
      </c>
      <c r="C7" s="137">
        <f t="shared" si="1"/>
        <v>1427.72</v>
      </c>
      <c r="D7" s="137">
        <f t="shared" si="1"/>
        <v>1397.12</v>
      </c>
      <c r="E7" s="137">
        <f t="shared" si="1"/>
        <v>1420.2399999999998</v>
      </c>
      <c r="F7" s="137">
        <f t="shared" si="1"/>
        <v>1413.1399999999999</v>
      </c>
      <c r="G7" s="137">
        <f t="shared" si="1"/>
        <v>1413.04</v>
      </c>
      <c r="H7" s="137">
        <f t="shared" si="1"/>
        <v>1444.34</v>
      </c>
      <c r="I7" s="137">
        <f t="shared" si="1"/>
        <v>1467.34</v>
      </c>
      <c r="J7" s="137">
        <f t="shared" si="1"/>
        <v>1513.34</v>
      </c>
      <c r="K7" s="137">
        <f t="shared" si="1"/>
        <v>1574.34</v>
      </c>
      <c r="L7" s="137">
        <f t="shared" si="1"/>
        <v>1639.34</v>
      </c>
      <c r="M7" s="137">
        <f t="shared" si="1"/>
        <v>303.54000000000002</v>
      </c>
      <c r="N7" s="137">
        <f t="shared" si="1"/>
        <v>303.54000000000002</v>
      </c>
      <c r="O7" s="137">
        <f t="shared" si="1"/>
        <v>303.54000000000002</v>
      </c>
      <c r="P7" s="137">
        <f t="shared" si="1"/>
        <v>303.54000000000002</v>
      </c>
      <c r="Q7" s="137">
        <f t="shared" si="1"/>
        <v>303.54000000000002</v>
      </c>
      <c r="R7" s="137">
        <f t="shared" si="1"/>
        <v>303.54000000000002</v>
      </c>
      <c r="S7" s="137">
        <f t="shared" si="1"/>
        <v>303.54000000000002</v>
      </c>
      <c r="T7" s="137">
        <f t="shared" si="1"/>
        <v>303.54000000000002</v>
      </c>
      <c r="U7" s="137">
        <f t="shared" si="1"/>
        <v>303.54000000000002</v>
      </c>
      <c r="V7" s="137">
        <f t="shared" si="1"/>
        <v>303.54000000000002</v>
      </c>
      <c r="W7" s="137">
        <f t="shared" si="1"/>
        <v>303.54000000000002</v>
      </c>
      <c r="X7" s="137">
        <f t="shared" si="1"/>
        <v>303.54000000000002</v>
      </c>
      <c r="Y7" s="137">
        <f t="shared" si="1"/>
        <v>303.54000000000002</v>
      </c>
      <c r="Z7" s="137">
        <f t="shared" si="1"/>
        <v>303.54000000000002</v>
      </c>
      <c r="AA7" s="137">
        <f t="shared" si="1"/>
        <v>303.54000000000002</v>
      </c>
      <c r="AB7" s="137">
        <f t="shared" si="1"/>
        <v>3.54</v>
      </c>
      <c r="AC7" s="137">
        <f t="shared" si="1"/>
        <v>3.54</v>
      </c>
      <c r="AD7" s="137">
        <f t="shared" si="1"/>
        <v>3.54</v>
      </c>
      <c r="AE7" s="137">
        <f t="shared" si="1"/>
        <v>3.54</v>
      </c>
      <c r="AF7" s="137">
        <f t="shared" si="1"/>
        <v>3.54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>
        <v>53.6</v>
      </c>
      <c r="C11" s="105">
        <v>53.6</v>
      </c>
      <c r="D11" s="105">
        <v>53.6</v>
      </c>
      <c r="E11" s="105">
        <v>53.6</v>
      </c>
      <c r="F11" s="105">
        <v>53.6</v>
      </c>
      <c r="G11" s="105">
        <v>53.6</v>
      </c>
      <c r="H11" s="105">
        <v>53.6</v>
      </c>
      <c r="I11" s="105">
        <v>53.5</v>
      </c>
      <c r="J11" s="105">
        <v>53.5</v>
      </c>
      <c r="K11" s="105">
        <v>53.5</v>
      </c>
      <c r="L11" s="105">
        <v>53.5</v>
      </c>
      <c r="M11" s="105"/>
      <c r="N11" s="105"/>
      <c r="O11" s="105"/>
      <c r="P11" s="105"/>
      <c r="Q11" s="105"/>
      <c r="R11" s="105"/>
      <c r="S11" s="105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7">
        <v>52.4</v>
      </c>
      <c r="AH11" s="20">
        <f>MAX(B11:AF11)</f>
        <v>53.6</v>
      </c>
      <c r="AI11" s="19">
        <f>MIN(B11:AF11)</f>
        <v>53.5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>
        <v>50.8</v>
      </c>
      <c r="C12" s="105">
        <v>50.8</v>
      </c>
      <c r="D12" s="105">
        <v>50.2</v>
      </c>
      <c r="E12" s="105">
        <v>50.2</v>
      </c>
      <c r="F12" s="105">
        <v>50.2</v>
      </c>
      <c r="G12" s="105">
        <v>50.2</v>
      </c>
      <c r="H12" s="105">
        <v>50.2</v>
      </c>
      <c r="I12" s="105">
        <v>50.2</v>
      </c>
      <c r="J12" s="105">
        <v>50.2</v>
      </c>
      <c r="K12" s="105">
        <v>50.2</v>
      </c>
      <c r="L12" s="105">
        <v>50.2</v>
      </c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26">
        <v>50</v>
      </c>
      <c r="AH12" s="20">
        <f t="shared" ref="AH12:AH75" si="2">MAX(B12:AF12)</f>
        <v>50.8</v>
      </c>
      <c r="AI12" s="19">
        <f t="shared" ref="AI12:AI75" si="3">MIN(B12:AF12)</f>
        <v>50.2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>
        <v>46</v>
      </c>
      <c r="C13" s="105">
        <v>41.8</v>
      </c>
      <c r="D13" s="105">
        <v>41.8</v>
      </c>
      <c r="E13" s="105">
        <v>41.8</v>
      </c>
      <c r="F13" s="105">
        <v>41.8</v>
      </c>
      <c r="G13" s="105">
        <v>41.8</v>
      </c>
      <c r="H13" s="105">
        <v>41.8</v>
      </c>
      <c r="I13" s="105">
        <v>45.9</v>
      </c>
      <c r="J13" s="105">
        <v>45.9</v>
      </c>
      <c r="K13" s="105">
        <v>45.9</v>
      </c>
      <c r="L13" s="105">
        <v>45.9</v>
      </c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26">
        <v>45</v>
      </c>
      <c r="AH13" s="20">
        <f t="shared" si="2"/>
        <v>46</v>
      </c>
      <c r="AI13" s="19">
        <f t="shared" si="3"/>
        <v>41.8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>
        <v>28</v>
      </c>
      <c r="C14" s="105">
        <v>28</v>
      </c>
      <c r="D14" s="105">
        <v>28</v>
      </c>
      <c r="E14" s="105">
        <v>24</v>
      </c>
      <c r="F14" s="105">
        <v>24</v>
      </c>
      <c r="G14" s="105">
        <v>24</v>
      </c>
      <c r="H14" s="105">
        <v>24</v>
      </c>
      <c r="I14" s="105">
        <v>24</v>
      </c>
      <c r="J14" s="105">
        <v>24</v>
      </c>
      <c r="K14" s="105">
        <v>28</v>
      </c>
      <c r="L14" s="105">
        <v>28</v>
      </c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26">
        <v>42</v>
      </c>
      <c r="AH14" s="20">
        <f t="shared" si="2"/>
        <v>28</v>
      </c>
      <c r="AI14" s="19">
        <f t="shared" si="3"/>
        <v>24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>
        <v>0</v>
      </c>
      <c r="C15" s="105">
        <v>0</v>
      </c>
      <c r="D15" s="105">
        <v>0</v>
      </c>
      <c r="E15" s="105">
        <v>0</v>
      </c>
      <c r="F15" s="105">
        <v>0</v>
      </c>
      <c r="G15" s="105">
        <v>0</v>
      </c>
      <c r="H15" s="105">
        <v>0</v>
      </c>
      <c r="I15" s="105">
        <v>0</v>
      </c>
      <c r="J15" s="105">
        <v>10</v>
      </c>
      <c r="K15" s="105">
        <v>30</v>
      </c>
      <c r="L15" s="105">
        <v>30</v>
      </c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96">
        <v>30</v>
      </c>
      <c r="AH15" s="20">
        <f t="shared" si="2"/>
        <v>30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>
        <v>26</v>
      </c>
      <c r="C16" s="105">
        <v>26</v>
      </c>
      <c r="D16" s="105">
        <v>26</v>
      </c>
      <c r="E16" s="105">
        <v>26</v>
      </c>
      <c r="F16" s="105">
        <v>26</v>
      </c>
      <c r="G16" s="105">
        <v>26</v>
      </c>
      <c r="H16" s="105">
        <v>26</v>
      </c>
      <c r="I16" s="105">
        <v>26</v>
      </c>
      <c r="J16" s="105">
        <v>26</v>
      </c>
      <c r="K16" s="105">
        <v>26</v>
      </c>
      <c r="L16" s="105">
        <v>26</v>
      </c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26">
        <v>24.2</v>
      </c>
      <c r="AH16" s="20">
        <f t="shared" si="2"/>
        <v>26</v>
      </c>
      <c r="AI16" s="19">
        <f t="shared" si="3"/>
        <v>26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>
        <v>0</v>
      </c>
      <c r="C17" s="105">
        <v>0</v>
      </c>
      <c r="D17" s="105">
        <v>0</v>
      </c>
      <c r="E17" s="105">
        <v>0</v>
      </c>
      <c r="F17" s="105">
        <v>0</v>
      </c>
      <c r="G17" s="105">
        <v>0</v>
      </c>
      <c r="H17" s="105">
        <v>0</v>
      </c>
      <c r="I17" s="105">
        <v>0</v>
      </c>
      <c r="J17" s="105">
        <v>18</v>
      </c>
      <c r="K17" s="105">
        <v>18</v>
      </c>
      <c r="L17" s="105">
        <v>0</v>
      </c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96">
        <v>30</v>
      </c>
      <c r="AH17" s="20">
        <f t="shared" si="2"/>
        <v>18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>
        <v>25.2</v>
      </c>
      <c r="C18" s="105">
        <v>25.2</v>
      </c>
      <c r="D18" s="105">
        <v>25.2</v>
      </c>
      <c r="E18" s="105">
        <v>25.2</v>
      </c>
      <c r="F18" s="105">
        <v>25.2</v>
      </c>
      <c r="G18" s="105">
        <v>25.2</v>
      </c>
      <c r="H18" s="105">
        <v>25.2</v>
      </c>
      <c r="I18" s="105">
        <v>25.2</v>
      </c>
      <c r="J18" s="105">
        <v>25.2</v>
      </c>
      <c r="K18" s="105">
        <v>25.2</v>
      </c>
      <c r="L18" s="105">
        <v>25.2</v>
      </c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26">
        <v>25</v>
      </c>
      <c r="AH18" s="20">
        <f t="shared" si="2"/>
        <v>25.2</v>
      </c>
      <c r="AI18" s="19">
        <f t="shared" si="3"/>
        <v>25.2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>
        <v>23</v>
      </c>
      <c r="C19" s="105">
        <v>23</v>
      </c>
      <c r="D19" s="105">
        <v>23</v>
      </c>
      <c r="E19" s="105">
        <v>23</v>
      </c>
      <c r="F19" s="105">
        <v>23</v>
      </c>
      <c r="G19" s="105">
        <v>23</v>
      </c>
      <c r="H19" s="105">
        <v>23</v>
      </c>
      <c r="I19" s="105">
        <v>23</v>
      </c>
      <c r="J19" s="105">
        <v>25</v>
      </c>
      <c r="K19" s="105">
        <v>25</v>
      </c>
      <c r="L19" s="105">
        <v>0</v>
      </c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26">
        <v>25</v>
      </c>
      <c r="AH19" s="20">
        <f t="shared" si="2"/>
        <v>25</v>
      </c>
      <c r="AI19" s="19">
        <f t="shared" si="3"/>
        <v>0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>
        <v>25</v>
      </c>
      <c r="C20" s="105">
        <v>25</v>
      </c>
      <c r="D20" s="105">
        <v>25</v>
      </c>
      <c r="E20" s="105">
        <v>25</v>
      </c>
      <c r="F20" s="105">
        <v>25</v>
      </c>
      <c r="G20" s="105">
        <v>25</v>
      </c>
      <c r="H20" s="105">
        <v>25</v>
      </c>
      <c r="I20" s="105">
        <v>25</v>
      </c>
      <c r="J20" s="105">
        <v>25</v>
      </c>
      <c r="K20" s="105">
        <v>25</v>
      </c>
      <c r="L20" s="105">
        <v>25</v>
      </c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26">
        <v>25</v>
      </c>
      <c r="AH20" s="20">
        <f t="shared" si="2"/>
        <v>25</v>
      </c>
      <c r="AI20" s="19">
        <f t="shared" si="3"/>
        <v>25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>
        <v>24</v>
      </c>
      <c r="C21" s="105">
        <v>24</v>
      </c>
      <c r="D21" s="105">
        <v>24</v>
      </c>
      <c r="E21" s="105">
        <v>24</v>
      </c>
      <c r="F21" s="105">
        <v>24</v>
      </c>
      <c r="G21" s="105">
        <v>24</v>
      </c>
      <c r="H21" s="105">
        <v>24</v>
      </c>
      <c r="I21" s="105">
        <v>24</v>
      </c>
      <c r="J21" s="105">
        <v>24</v>
      </c>
      <c r="K21" s="105">
        <v>24</v>
      </c>
      <c r="L21" s="105">
        <v>24</v>
      </c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26">
        <v>23.5</v>
      </c>
      <c r="AH21" s="20">
        <f t="shared" si="2"/>
        <v>24</v>
      </c>
      <c r="AI21" s="19">
        <f t="shared" si="3"/>
        <v>24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>
        <v>20</v>
      </c>
      <c r="C22" s="105">
        <v>20</v>
      </c>
      <c r="D22" s="105">
        <v>20</v>
      </c>
      <c r="E22" s="105">
        <v>20</v>
      </c>
      <c r="F22" s="105">
        <v>20</v>
      </c>
      <c r="G22" s="105">
        <v>20</v>
      </c>
      <c r="H22" s="105">
        <v>20</v>
      </c>
      <c r="I22" s="105">
        <v>20</v>
      </c>
      <c r="J22" s="105">
        <v>20</v>
      </c>
      <c r="K22" s="105">
        <v>20</v>
      </c>
      <c r="L22" s="105">
        <v>20</v>
      </c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26">
        <v>22.2</v>
      </c>
      <c r="AH22" s="20">
        <f t="shared" si="2"/>
        <v>20</v>
      </c>
      <c r="AI22" s="19">
        <f t="shared" si="3"/>
        <v>20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>
        <v>21</v>
      </c>
      <c r="C23" s="105">
        <v>21</v>
      </c>
      <c r="D23" s="105">
        <v>21</v>
      </c>
      <c r="E23" s="105">
        <v>21</v>
      </c>
      <c r="F23" s="105">
        <v>21</v>
      </c>
      <c r="G23" s="105">
        <v>21</v>
      </c>
      <c r="H23" s="105">
        <v>21</v>
      </c>
      <c r="I23" s="105">
        <v>21</v>
      </c>
      <c r="J23" s="105">
        <v>21</v>
      </c>
      <c r="K23" s="105">
        <v>22</v>
      </c>
      <c r="L23" s="105">
        <v>22</v>
      </c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26">
        <v>22.1</v>
      </c>
      <c r="AH23" s="20">
        <f t="shared" si="2"/>
        <v>22</v>
      </c>
      <c r="AI23" s="19">
        <f t="shared" si="3"/>
        <v>21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>
        <v>20</v>
      </c>
      <c r="C24" s="105">
        <v>20</v>
      </c>
      <c r="D24" s="105">
        <v>20</v>
      </c>
      <c r="E24" s="105">
        <v>20</v>
      </c>
      <c r="F24" s="105">
        <v>20</v>
      </c>
      <c r="G24" s="105">
        <v>20</v>
      </c>
      <c r="H24" s="105">
        <v>20</v>
      </c>
      <c r="I24" s="105">
        <v>20</v>
      </c>
      <c r="J24" s="105">
        <v>20</v>
      </c>
      <c r="K24" s="105">
        <v>20</v>
      </c>
      <c r="L24" s="105">
        <v>22</v>
      </c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26">
        <v>22</v>
      </c>
      <c r="AH24" s="20">
        <f t="shared" si="2"/>
        <v>22</v>
      </c>
      <c r="AI24" s="19">
        <f t="shared" si="3"/>
        <v>20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>
        <v>22</v>
      </c>
      <c r="C25" s="105">
        <v>22</v>
      </c>
      <c r="D25" s="105">
        <v>22</v>
      </c>
      <c r="E25" s="105">
        <v>22</v>
      </c>
      <c r="F25" s="105">
        <v>22</v>
      </c>
      <c r="G25" s="105">
        <v>22</v>
      </c>
      <c r="H25" s="105">
        <v>22</v>
      </c>
      <c r="I25" s="105">
        <v>22</v>
      </c>
      <c r="J25" s="105">
        <v>22</v>
      </c>
      <c r="K25" s="105">
        <v>22</v>
      </c>
      <c r="L25" s="105">
        <v>22</v>
      </c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26">
        <v>22</v>
      </c>
      <c r="AH25" s="20">
        <f t="shared" si="2"/>
        <v>22</v>
      </c>
      <c r="AI25" s="19">
        <f t="shared" si="3"/>
        <v>22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>
        <v>0</v>
      </c>
      <c r="C26" s="105">
        <v>0</v>
      </c>
      <c r="D26" s="105">
        <v>0</v>
      </c>
      <c r="E26" s="105">
        <v>0</v>
      </c>
      <c r="F26" s="105">
        <v>0</v>
      </c>
      <c r="G26" s="105">
        <v>0</v>
      </c>
      <c r="H26" s="105">
        <v>0</v>
      </c>
      <c r="I26" s="105">
        <v>0</v>
      </c>
      <c r="J26" s="105">
        <v>10</v>
      </c>
      <c r="K26" s="105">
        <v>10</v>
      </c>
      <c r="L26" s="105">
        <v>10</v>
      </c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26">
        <v>20</v>
      </c>
      <c r="AH26" s="20">
        <f t="shared" si="2"/>
        <v>10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>
        <v>14</v>
      </c>
      <c r="C27" s="105">
        <v>14</v>
      </c>
      <c r="D27" s="105">
        <v>14</v>
      </c>
      <c r="E27" s="105">
        <v>14</v>
      </c>
      <c r="F27" s="105">
        <v>14</v>
      </c>
      <c r="G27" s="105">
        <v>14</v>
      </c>
      <c r="H27" s="105">
        <v>14</v>
      </c>
      <c r="I27" s="105">
        <v>14</v>
      </c>
      <c r="J27" s="105">
        <v>14</v>
      </c>
      <c r="K27" s="105">
        <v>14</v>
      </c>
      <c r="L27" s="105">
        <v>14</v>
      </c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26">
        <v>14.9</v>
      </c>
      <c r="AH27" s="20">
        <f t="shared" si="2"/>
        <v>14</v>
      </c>
      <c r="AI27" s="19">
        <f t="shared" si="3"/>
        <v>14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>
        <v>6.8</v>
      </c>
      <c r="C28" s="105">
        <v>6.8</v>
      </c>
      <c r="D28" s="105">
        <v>6.8</v>
      </c>
      <c r="E28" s="105">
        <v>6.8</v>
      </c>
      <c r="F28" s="105">
        <v>6.8</v>
      </c>
      <c r="G28" s="105">
        <v>6.8</v>
      </c>
      <c r="H28" s="105">
        <v>6.8</v>
      </c>
      <c r="I28" s="105">
        <v>6.8</v>
      </c>
      <c r="J28" s="105">
        <v>6.8</v>
      </c>
      <c r="K28" s="105">
        <v>6.8</v>
      </c>
      <c r="L28" s="105">
        <v>6.8</v>
      </c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26">
        <v>13.6</v>
      </c>
      <c r="AH28" s="20">
        <f t="shared" si="2"/>
        <v>6.8</v>
      </c>
      <c r="AI28" s="19">
        <f t="shared" si="3"/>
        <v>6.8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>
        <v>12</v>
      </c>
      <c r="C29" s="105">
        <v>12</v>
      </c>
      <c r="D29" s="105">
        <v>12</v>
      </c>
      <c r="E29" s="105">
        <v>12</v>
      </c>
      <c r="F29" s="105">
        <v>12</v>
      </c>
      <c r="G29" s="105">
        <v>12</v>
      </c>
      <c r="H29" s="105">
        <v>12</v>
      </c>
      <c r="I29" s="105">
        <v>12</v>
      </c>
      <c r="J29" s="105">
        <v>12</v>
      </c>
      <c r="K29" s="105">
        <v>12</v>
      </c>
      <c r="L29" s="105">
        <v>12</v>
      </c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26">
        <v>13</v>
      </c>
      <c r="AH29" s="20">
        <f t="shared" si="2"/>
        <v>12</v>
      </c>
      <c r="AI29" s="19">
        <f t="shared" si="3"/>
        <v>12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>
        <v>0</v>
      </c>
      <c r="C30" s="105">
        <v>0</v>
      </c>
      <c r="D30" s="105">
        <v>0</v>
      </c>
      <c r="E30" s="105">
        <v>0</v>
      </c>
      <c r="F30" s="105">
        <v>0</v>
      </c>
      <c r="G30" s="105">
        <v>0</v>
      </c>
      <c r="H30" s="105">
        <v>0</v>
      </c>
      <c r="I30" s="105">
        <v>0</v>
      </c>
      <c r="J30" s="105">
        <v>6</v>
      </c>
      <c r="K30" s="105">
        <v>12</v>
      </c>
      <c r="L30" s="105">
        <v>12</v>
      </c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26">
        <v>12</v>
      </c>
      <c r="AH30" s="20">
        <f t="shared" si="2"/>
        <v>12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>
        <v>12</v>
      </c>
      <c r="C31" s="105">
        <v>12</v>
      </c>
      <c r="D31" s="105">
        <v>12</v>
      </c>
      <c r="E31" s="105">
        <v>12</v>
      </c>
      <c r="F31" s="105">
        <v>12</v>
      </c>
      <c r="G31" s="105">
        <v>12</v>
      </c>
      <c r="H31" s="105">
        <v>12</v>
      </c>
      <c r="I31" s="105">
        <v>12</v>
      </c>
      <c r="J31" s="105">
        <v>12</v>
      </c>
      <c r="K31" s="105">
        <v>12</v>
      </c>
      <c r="L31" s="105">
        <v>12</v>
      </c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26">
        <v>12</v>
      </c>
      <c r="AH31" s="20">
        <f t="shared" si="2"/>
        <v>12</v>
      </c>
      <c r="AI31" s="19">
        <f t="shared" si="3"/>
        <v>12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>
        <v>12</v>
      </c>
      <c r="C32" s="105">
        <v>12</v>
      </c>
      <c r="D32" s="105">
        <v>12</v>
      </c>
      <c r="E32" s="105">
        <v>12</v>
      </c>
      <c r="F32" s="105">
        <v>12</v>
      </c>
      <c r="G32" s="105">
        <v>12</v>
      </c>
      <c r="H32" s="105">
        <v>12</v>
      </c>
      <c r="I32" s="105">
        <v>12</v>
      </c>
      <c r="J32" s="105">
        <v>12</v>
      </c>
      <c r="K32" s="105">
        <v>12</v>
      </c>
      <c r="L32" s="105">
        <v>12</v>
      </c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26">
        <v>12</v>
      </c>
      <c r="AH32" s="20">
        <f t="shared" si="2"/>
        <v>12</v>
      </c>
      <c r="AI32" s="19">
        <f t="shared" si="3"/>
        <v>12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>
        <v>5</v>
      </c>
      <c r="C33" s="105">
        <v>5</v>
      </c>
      <c r="D33" s="105">
        <v>5</v>
      </c>
      <c r="E33" s="105">
        <v>5</v>
      </c>
      <c r="F33" s="105">
        <v>5</v>
      </c>
      <c r="G33" s="105">
        <v>5</v>
      </c>
      <c r="H33" s="105">
        <v>5</v>
      </c>
      <c r="I33" s="105">
        <v>5</v>
      </c>
      <c r="J33" s="105">
        <v>5</v>
      </c>
      <c r="K33" s="105">
        <v>5</v>
      </c>
      <c r="L33" s="105">
        <v>5</v>
      </c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25">
        <v>22</v>
      </c>
      <c r="AH33" s="20">
        <f t="shared" si="2"/>
        <v>5</v>
      </c>
      <c r="AI33" s="19">
        <f t="shared" si="3"/>
        <v>5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>
        <v>12</v>
      </c>
      <c r="C34" s="105">
        <v>12</v>
      </c>
      <c r="D34" s="105">
        <v>12</v>
      </c>
      <c r="E34" s="105">
        <v>12</v>
      </c>
      <c r="F34" s="105">
        <v>12</v>
      </c>
      <c r="G34" s="105">
        <v>12</v>
      </c>
      <c r="H34" s="105">
        <v>12</v>
      </c>
      <c r="I34" s="105">
        <v>12</v>
      </c>
      <c r="J34" s="105">
        <v>12</v>
      </c>
      <c r="K34" s="105">
        <v>12</v>
      </c>
      <c r="L34" s="105">
        <v>12</v>
      </c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96">
        <v>11.88</v>
      </c>
      <c r="AH34" s="20">
        <f t="shared" si="2"/>
        <v>12</v>
      </c>
      <c r="AI34" s="19">
        <f t="shared" si="3"/>
        <v>12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>
        <v>8</v>
      </c>
      <c r="C35" s="105">
        <v>8</v>
      </c>
      <c r="D35" s="105">
        <v>8</v>
      </c>
      <c r="E35" s="105">
        <v>8</v>
      </c>
      <c r="F35" s="105">
        <v>8</v>
      </c>
      <c r="G35" s="105">
        <v>8</v>
      </c>
      <c r="H35" s="105">
        <v>8</v>
      </c>
      <c r="I35" s="105">
        <v>8</v>
      </c>
      <c r="J35" s="105">
        <v>8</v>
      </c>
      <c r="K35" s="105">
        <v>8</v>
      </c>
      <c r="L35" s="105">
        <v>8</v>
      </c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94">
        <v>11</v>
      </c>
      <c r="AH35" s="20">
        <f t="shared" si="2"/>
        <v>8</v>
      </c>
      <c r="AI35" s="19">
        <f t="shared" si="3"/>
        <v>8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>
        <v>9</v>
      </c>
      <c r="C36" s="105">
        <v>9</v>
      </c>
      <c r="D36" s="105">
        <v>9</v>
      </c>
      <c r="E36" s="105">
        <v>9</v>
      </c>
      <c r="F36" s="105">
        <v>9</v>
      </c>
      <c r="G36" s="105">
        <v>9</v>
      </c>
      <c r="H36" s="105">
        <v>9</v>
      </c>
      <c r="I36" s="105">
        <v>9</v>
      </c>
      <c r="J36" s="105">
        <v>9</v>
      </c>
      <c r="K36" s="105">
        <v>9</v>
      </c>
      <c r="L36" s="105">
        <v>9</v>
      </c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94">
        <v>10</v>
      </c>
      <c r="AH36" s="20">
        <f t="shared" si="2"/>
        <v>9</v>
      </c>
      <c r="AI36" s="19">
        <f t="shared" si="3"/>
        <v>9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>
        <v>0</v>
      </c>
      <c r="C37" s="105">
        <v>0</v>
      </c>
      <c r="D37" s="105">
        <v>0</v>
      </c>
      <c r="E37" s="105">
        <v>0</v>
      </c>
      <c r="F37" s="105">
        <v>0</v>
      </c>
      <c r="G37" s="105">
        <v>0</v>
      </c>
      <c r="H37" s="105">
        <v>0</v>
      </c>
      <c r="I37" s="105">
        <v>0</v>
      </c>
      <c r="J37" s="105">
        <v>0</v>
      </c>
      <c r="K37" s="105">
        <v>0</v>
      </c>
      <c r="L37" s="105">
        <v>0</v>
      </c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94">
        <v>10</v>
      </c>
      <c r="AH37" s="20">
        <f t="shared" si="2"/>
        <v>0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/>
      <c r="AC38" s="113"/>
      <c r="AD38" s="113"/>
      <c r="AE38" s="113"/>
      <c r="AF38" s="113"/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>
        <v>160</v>
      </c>
      <c r="C39" s="119">
        <v>160</v>
      </c>
      <c r="D39" s="119">
        <v>160</v>
      </c>
      <c r="E39" s="119">
        <f>72.8+89.9</f>
        <v>162.69999999999999</v>
      </c>
      <c r="F39" s="119">
        <v>167</v>
      </c>
      <c r="G39" s="119">
        <f>71.6+90.2</f>
        <v>161.80000000000001</v>
      </c>
      <c r="H39" s="119">
        <f>71.2+90.5</f>
        <v>161.69999999999999</v>
      </c>
      <c r="I39" s="119">
        <f>71.8+90.2</f>
        <v>162</v>
      </c>
      <c r="J39" s="119">
        <f>75.8+90.3</f>
        <v>166.1</v>
      </c>
      <c r="K39" s="119">
        <f>75.4+90.6</f>
        <v>166</v>
      </c>
      <c r="L39" s="113">
        <f>17.7+95.2</f>
        <v>112.9</v>
      </c>
      <c r="M39" s="113"/>
      <c r="N39" s="113"/>
      <c r="O39" s="113"/>
      <c r="P39" s="113"/>
      <c r="Q39" s="113"/>
      <c r="R39" s="113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94">
        <v>240</v>
      </c>
      <c r="AH39" s="20">
        <f t="shared" si="2"/>
        <v>167</v>
      </c>
      <c r="AI39" s="19">
        <f t="shared" si="3"/>
        <v>112.9</v>
      </c>
      <c r="AK39" s="41"/>
    </row>
    <row r="40" spans="1:88" ht="15.75" thickBot="1" x14ac:dyDescent="0.3">
      <c r="A40" s="118" t="s">
        <v>195</v>
      </c>
      <c r="B40" s="86">
        <f t="shared" ref="B40:AG40" si="4">SUM(B11:B38)</f>
        <v>775.40000000000009</v>
      </c>
      <c r="C40" s="86">
        <f t="shared" si="4"/>
        <v>771.2</v>
      </c>
      <c r="D40" s="86">
        <f t="shared" si="4"/>
        <v>770.6</v>
      </c>
      <c r="E40" s="86">
        <f t="shared" si="4"/>
        <v>766.6</v>
      </c>
      <c r="F40" s="86">
        <f t="shared" si="4"/>
        <v>766.6</v>
      </c>
      <c r="G40" s="86">
        <f t="shared" si="4"/>
        <v>766.6</v>
      </c>
      <c r="H40" s="86">
        <f t="shared" si="4"/>
        <v>766.6</v>
      </c>
      <c r="I40" s="86">
        <f t="shared" si="4"/>
        <v>770.59999999999991</v>
      </c>
      <c r="J40" s="86">
        <f t="shared" si="4"/>
        <v>816.59999999999991</v>
      </c>
      <c r="K40" s="86">
        <f t="shared" si="4"/>
        <v>847.6</v>
      </c>
      <c r="L40" s="86">
        <f t="shared" si="4"/>
        <v>806.6</v>
      </c>
      <c r="M40" s="86">
        <f t="shared" si="4"/>
        <v>300</v>
      </c>
      <c r="N40" s="86">
        <f t="shared" si="4"/>
        <v>300</v>
      </c>
      <c r="O40" s="86">
        <f t="shared" si="4"/>
        <v>300</v>
      </c>
      <c r="P40" s="86">
        <f t="shared" si="4"/>
        <v>300</v>
      </c>
      <c r="Q40" s="86">
        <f t="shared" si="4"/>
        <v>300</v>
      </c>
      <c r="R40" s="86">
        <f t="shared" si="4"/>
        <v>300</v>
      </c>
      <c r="S40" s="86">
        <f t="shared" si="4"/>
        <v>300</v>
      </c>
      <c r="T40" s="86">
        <f t="shared" si="4"/>
        <v>300</v>
      </c>
      <c r="U40" s="86">
        <f t="shared" si="4"/>
        <v>300</v>
      </c>
      <c r="V40" s="86">
        <f t="shared" si="4"/>
        <v>300</v>
      </c>
      <c r="W40" s="86">
        <f t="shared" si="4"/>
        <v>300</v>
      </c>
      <c r="X40" s="86">
        <f t="shared" si="4"/>
        <v>300</v>
      </c>
      <c r="Y40" s="86">
        <f t="shared" si="4"/>
        <v>300</v>
      </c>
      <c r="Z40" s="86">
        <f t="shared" si="4"/>
        <v>300</v>
      </c>
      <c r="AA40" s="86">
        <f t="shared" si="4"/>
        <v>300</v>
      </c>
      <c r="AB40" s="86">
        <f t="shared" si="4"/>
        <v>0</v>
      </c>
      <c r="AC40" s="86">
        <f t="shared" si="4"/>
        <v>0</v>
      </c>
      <c r="AD40" s="86">
        <f t="shared" si="4"/>
        <v>0</v>
      </c>
      <c r="AE40" s="86">
        <f t="shared" si="4"/>
        <v>0</v>
      </c>
      <c r="AF40" s="86">
        <f t="shared" si="4"/>
        <v>0</v>
      </c>
      <c r="AG40" s="101">
        <f t="shared" si="4"/>
        <v>707.78000000000009</v>
      </c>
      <c r="AH40" s="20">
        <f t="shared" si="2"/>
        <v>847.6</v>
      </c>
      <c r="AI40" s="19">
        <f t="shared" si="3"/>
        <v>0</v>
      </c>
      <c r="AK40" s="41"/>
    </row>
    <row r="41" spans="1:88" x14ac:dyDescent="0.25">
      <c r="A41" s="117" t="s">
        <v>194</v>
      </c>
      <c r="B41" s="105">
        <v>325</v>
      </c>
      <c r="C41" s="105">
        <v>295</v>
      </c>
      <c r="D41" s="105">
        <v>295</v>
      </c>
      <c r="E41" s="105">
        <v>320</v>
      </c>
      <c r="F41" s="105">
        <v>320</v>
      </c>
      <c r="G41" s="105">
        <v>320</v>
      </c>
      <c r="H41" s="105">
        <v>320</v>
      </c>
      <c r="I41" s="105">
        <v>320</v>
      </c>
      <c r="J41" s="105">
        <v>320</v>
      </c>
      <c r="K41" s="105">
        <v>350</v>
      </c>
      <c r="L41" s="105">
        <v>456</v>
      </c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96">
        <v>456</v>
      </c>
      <c r="AH41" s="20">
        <f t="shared" si="2"/>
        <v>456</v>
      </c>
      <c r="AI41" s="19">
        <f t="shared" si="3"/>
        <v>295</v>
      </c>
      <c r="AK41" s="41"/>
    </row>
    <row r="42" spans="1:88" x14ac:dyDescent="0.25">
      <c r="A42" s="116" t="s">
        <v>193</v>
      </c>
      <c r="B42" s="80">
        <v>60</v>
      </c>
      <c r="C42" s="80">
        <v>60</v>
      </c>
      <c r="D42" s="80">
        <v>60</v>
      </c>
      <c r="E42" s="80">
        <v>60</v>
      </c>
      <c r="F42" s="80">
        <v>60</v>
      </c>
      <c r="G42" s="80">
        <v>60</v>
      </c>
      <c r="H42" s="80">
        <v>60</v>
      </c>
      <c r="I42" s="80">
        <v>60</v>
      </c>
      <c r="J42" s="80">
        <v>60</v>
      </c>
      <c r="K42" s="80">
        <v>60</v>
      </c>
      <c r="L42" s="80">
        <v>60</v>
      </c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94">
        <v>60</v>
      </c>
      <c r="AH42" s="20">
        <f t="shared" si="2"/>
        <v>60</v>
      </c>
      <c r="AI42" s="19">
        <f t="shared" si="3"/>
        <v>60</v>
      </c>
      <c r="AK42" s="41"/>
    </row>
    <row r="43" spans="1:88" ht="15.75" thickBot="1" x14ac:dyDescent="0.3">
      <c r="A43" s="115" t="s">
        <v>192</v>
      </c>
      <c r="B43" s="107">
        <v>22</v>
      </c>
      <c r="C43" s="107">
        <v>22</v>
      </c>
      <c r="D43" s="107">
        <v>22</v>
      </c>
      <c r="E43" s="107">
        <v>22</v>
      </c>
      <c r="F43" s="107">
        <v>22</v>
      </c>
      <c r="G43" s="107">
        <v>22</v>
      </c>
      <c r="H43" s="107">
        <v>22</v>
      </c>
      <c r="I43" s="107">
        <v>22</v>
      </c>
      <c r="J43" s="107">
        <v>22</v>
      </c>
      <c r="K43" s="107">
        <v>22</v>
      </c>
      <c r="L43" s="107">
        <v>22</v>
      </c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6">
        <v>22.1</v>
      </c>
      <c r="AH43" s="20">
        <f t="shared" si="2"/>
        <v>22</v>
      </c>
      <c r="AI43" s="19">
        <f t="shared" si="3"/>
        <v>22</v>
      </c>
      <c r="AK43" s="41"/>
    </row>
    <row r="44" spans="1:88" ht="15.75" thickBot="1" x14ac:dyDescent="0.3">
      <c r="A44" s="114" t="s">
        <v>191</v>
      </c>
      <c r="B44" s="86">
        <f t="shared" ref="B44:AG44" si="5">SUM(B41:B43)</f>
        <v>407</v>
      </c>
      <c r="C44" s="86">
        <f t="shared" si="5"/>
        <v>377</v>
      </c>
      <c r="D44" s="86">
        <f t="shared" si="5"/>
        <v>377</v>
      </c>
      <c r="E44" s="86">
        <f t="shared" si="5"/>
        <v>402</v>
      </c>
      <c r="F44" s="86">
        <f t="shared" si="5"/>
        <v>402</v>
      </c>
      <c r="G44" s="86">
        <f t="shared" si="5"/>
        <v>402</v>
      </c>
      <c r="H44" s="86">
        <f t="shared" si="5"/>
        <v>402</v>
      </c>
      <c r="I44" s="86">
        <f t="shared" si="5"/>
        <v>402</v>
      </c>
      <c r="J44" s="86">
        <f t="shared" si="5"/>
        <v>402</v>
      </c>
      <c r="K44" s="86">
        <f t="shared" si="5"/>
        <v>432</v>
      </c>
      <c r="L44" s="86">
        <f t="shared" si="5"/>
        <v>538</v>
      </c>
      <c r="M44" s="86">
        <f t="shared" si="5"/>
        <v>0</v>
      </c>
      <c r="N44" s="86">
        <f t="shared" si="5"/>
        <v>0</v>
      </c>
      <c r="O44" s="86">
        <f t="shared" si="5"/>
        <v>0</v>
      </c>
      <c r="P44" s="86">
        <f t="shared" si="5"/>
        <v>0</v>
      </c>
      <c r="Q44" s="86">
        <f t="shared" si="5"/>
        <v>0</v>
      </c>
      <c r="R44" s="86">
        <f t="shared" si="5"/>
        <v>0</v>
      </c>
      <c r="S44" s="86">
        <f t="shared" si="5"/>
        <v>0</v>
      </c>
      <c r="T44" s="86">
        <f t="shared" si="5"/>
        <v>0</v>
      </c>
      <c r="U44" s="86">
        <f t="shared" si="5"/>
        <v>0</v>
      </c>
      <c r="V44" s="86">
        <f t="shared" si="5"/>
        <v>0</v>
      </c>
      <c r="W44" s="86">
        <f t="shared" si="5"/>
        <v>0</v>
      </c>
      <c r="X44" s="86">
        <f t="shared" si="5"/>
        <v>0</v>
      </c>
      <c r="Y44" s="86">
        <f t="shared" si="5"/>
        <v>0</v>
      </c>
      <c r="Z44" s="86">
        <f t="shared" si="5"/>
        <v>0</v>
      </c>
      <c r="AA44" s="86">
        <f t="shared" si="5"/>
        <v>0</v>
      </c>
      <c r="AB44" s="86">
        <f t="shared" si="5"/>
        <v>0</v>
      </c>
      <c r="AC44" s="86">
        <f t="shared" si="5"/>
        <v>0</v>
      </c>
      <c r="AD44" s="86">
        <f t="shared" si="5"/>
        <v>0</v>
      </c>
      <c r="AE44" s="86">
        <f t="shared" si="5"/>
        <v>0</v>
      </c>
      <c r="AF44" s="86">
        <f t="shared" si="5"/>
        <v>0</v>
      </c>
      <c r="AG44" s="101">
        <f t="shared" si="5"/>
        <v>538.1</v>
      </c>
      <c r="AH44" s="20">
        <f t="shared" si="2"/>
        <v>538</v>
      </c>
      <c r="AI44" s="19">
        <f t="shared" si="3"/>
        <v>0</v>
      </c>
      <c r="AK44" s="41"/>
    </row>
    <row r="45" spans="1:88" x14ac:dyDescent="0.25">
      <c r="A45" s="97" t="s">
        <v>190</v>
      </c>
      <c r="B45" s="105">
        <v>91</v>
      </c>
      <c r="C45" s="105">
        <v>81</v>
      </c>
      <c r="D45" s="105">
        <v>71</v>
      </c>
      <c r="E45" s="105">
        <v>71</v>
      </c>
      <c r="F45" s="105">
        <v>71</v>
      </c>
      <c r="G45" s="105">
        <v>71</v>
      </c>
      <c r="H45" s="105">
        <v>92.4</v>
      </c>
      <c r="I45" s="105">
        <v>92.4</v>
      </c>
      <c r="J45" s="105">
        <v>92.4</v>
      </c>
      <c r="K45" s="105">
        <v>92.4</v>
      </c>
      <c r="L45" s="105">
        <v>92.4</v>
      </c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96">
        <v>144</v>
      </c>
      <c r="AH45" s="20">
        <f t="shared" si="2"/>
        <v>92.4</v>
      </c>
      <c r="AI45" s="19">
        <f t="shared" si="3"/>
        <v>71</v>
      </c>
      <c r="AK45" s="41"/>
    </row>
    <row r="46" spans="1:88" x14ac:dyDescent="0.25">
      <c r="A46" s="95" t="s">
        <v>189</v>
      </c>
      <c r="B46" s="80">
        <v>71.400000000000006</v>
      </c>
      <c r="C46" s="80">
        <v>71.900000000000006</v>
      </c>
      <c r="D46" s="80">
        <v>61.6</v>
      </c>
      <c r="E46" s="80">
        <v>61.6</v>
      </c>
      <c r="F46" s="80">
        <v>61.6</v>
      </c>
      <c r="G46" s="80">
        <v>61.6</v>
      </c>
      <c r="H46" s="80">
        <v>71.5</v>
      </c>
      <c r="I46" s="80">
        <v>71.5</v>
      </c>
      <c r="J46" s="80">
        <v>71.5</v>
      </c>
      <c r="K46" s="80">
        <v>71.5</v>
      </c>
      <c r="L46" s="80">
        <v>71.5</v>
      </c>
      <c r="M46" s="80"/>
      <c r="N46" s="105"/>
      <c r="O46" s="105"/>
      <c r="P46" s="105"/>
      <c r="Q46" s="105"/>
      <c r="R46" s="105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94">
        <v>70</v>
      </c>
      <c r="AH46" s="20">
        <f t="shared" si="2"/>
        <v>71.900000000000006</v>
      </c>
      <c r="AI46" s="19">
        <f t="shared" si="3"/>
        <v>61.6</v>
      </c>
      <c r="AK46" s="41"/>
    </row>
    <row r="47" spans="1:88" x14ac:dyDescent="0.25">
      <c r="A47" s="95" t="s">
        <v>188</v>
      </c>
      <c r="B47" s="80">
        <v>41.3</v>
      </c>
      <c r="C47" s="80">
        <v>41.2</v>
      </c>
      <c r="D47" s="80">
        <v>41.9</v>
      </c>
      <c r="E47" s="80">
        <v>41.9</v>
      </c>
      <c r="F47" s="80">
        <v>41.9</v>
      </c>
      <c r="G47" s="80">
        <v>41.9</v>
      </c>
      <c r="H47" s="80">
        <v>41.9</v>
      </c>
      <c r="I47" s="80">
        <v>41.9</v>
      </c>
      <c r="J47" s="80">
        <v>41.9</v>
      </c>
      <c r="K47" s="80">
        <v>41.9</v>
      </c>
      <c r="L47" s="80">
        <v>41.9</v>
      </c>
      <c r="M47" s="80"/>
      <c r="N47" s="105"/>
      <c r="O47" s="105"/>
      <c r="P47" s="105"/>
      <c r="Q47" s="105"/>
      <c r="R47" s="105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94">
        <v>69</v>
      </c>
      <c r="AH47" s="20">
        <f t="shared" si="2"/>
        <v>41.9</v>
      </c>
      <c r="AI47" s="19">
        <f t="shared" si="3"/>
        <v>41.2</v>
      </c>
      <c r="AK47" s="41"/>
    </row>
    <row r="48" spans="1:88" x14ac:dyDescent="0.25">
      <c r="A48" s="95" t="s">
        <v>187</v>
      </c>
      <c r="B48" s="113">
        <v>60.9</v>
      </c>
      <c r="C48" s="113">
        <v>51.4</v>
      </c>
      <c r="D48" s="113">
        <v>41</v>
      </c>
      <c r="E48" s="113">
        <v>41</v>
      </c>
      <c r="F48" s="113">
        <v>41</v>
      </c>
      <c r="G48" s="113">
        <v>41</v>
      </c>
      <c r="H48" s="113">
        <v>41</v>
      </c>
      <c r="I48" s="113">
        <v>60</v>
      </c>
      <c r="J48" s="113">
        <v>60</v>
      </c>
      <c r="K48" s="113">
        <v>60</v>
      </c>
      <c r="L48" s="113">
        <v>60</v>
      </c>
      <c r="M48" s="80"/>
      <c r="N48" s="105"/>
      <c r="O48" s="105"/>
      <c r="P48" s="105"/>
      <c r="Q48" s="105"/>
      <c r="R48" s="105"/>
      <c r="S48" s="105"/>
      <c r="T48" s="105"/>
      <c r="U48" s="105"/>
      <c r="V48" s="80"/>
      <c r="W48" s="80"/>
      <c r="X48" s="80"/>
      <c r="Y48" s="80"/>
      <c r="Z48" s="80"/>
      <c r="AA48" s="80"/>
      <c r="AB48" s="113"/>
      <c r="AC48" s="113"/>
      <c r="AD48" s="113"/>
      <c r="AE48" s="113"/>
      <c r="AF48" s="113"/>
      <c r="AG48" s="94">
        <v>60</v>
      </c>
      <c r="AH48" s="20">
        <f t="shared" si="2"/>
        <v>60.9</v>
      </c>
      <c r="AI48" s="19">
        <f t="shared" si="3"/>
        <v>41</v>
      </c>
      <c r="AK48" s="41"/>
    </row>
    <row r="49" spans="1:41" x14ac:dyDescent="0.25">
      <c r="A49" s="95" t="s">
        <v>186</v>
      </c>
      <c r="B49" s="113">
        <v>0</v>
      </c>
      <c r="C49" s="113">
        <v>0</v>
      </c>
      <c r="D49" s="113">
        <v>0</v>
      </c>
      <c r="E49" s="113">
        <v>0</v>
      </c>
      <c r="F49" s="113">
        <v>0</v>
      </c>
      <c r="G49" s="113">
        <v>0</v>
      </c>
      <c r="H49" s="113">
        <v>0</v>
      </c>
      <c r="I49" s="113">
        <v>0</v>
      </c>
      <c r="J49" s="113">
        <v>0</v>
      </c>
      <c r="K49" s="113">
        <v>0</v>
      </c>
      <c r="L49" s="113">
        <v>0</v>
      </c>
      <c r="M49" s="80"/>
      <c r="N49" s="105"/>
      <c r="O49" s="105"/>
      <c r="P49" s="105"/>
      <c r="Q49" s="105"/>
      <c r="R49" s="105"/>
      <c r="S49" s="105"/>
      <c r="T49" s="105"/>
      <c r="U49" s="105"/>
      <c r="V49" s="80"/>
      <c r="W49" s="80"/>
      <c r="X49" s="80"/>
      <c r="Y49" s="80"/>
      <c r="Z49" s="80"/>
      <c r="AA49" s="80"/>
      <c r="AB49" s="113"/>
      <c r="AC49" s="113"/>
      <c r="AD49" s="113"/>
      <c r="AE49" s="113"/>
      <c r="AF49" s="113"/>
      <c r="AG49" s="94">
        <v>30</v>
      </c>
      <c r="AH49" s="20">
        <f t="shared" si="2"/>
        <v>0</v>
      </c>
      <c r="AI49" s="19">
        <f t="shared" si="3"/>
        <v>0</v>
      </c>
      <c r="AK49" s="41"/>
    </row>
    <row r="50" spans="1:41" x14ac:dyDescent="0.25">
      <c r="A50" s="95" t="s">
        <v>185</v>
      </c>
      <c r="B50" s="80">
        <v>0</v>
      </c>
      <c r="C50" s="80">
        <v>0</v>
      </c>
      <c r="D50" s="80">
        <v>0</v>
      </c>
      <c r="E50" s="80">
        <v>0</v>
      </c>
      <c r="F50" s="80">
        <v>0</v>
      </c>
      <c r="G50" s="80">
        <v>0</v>
      </c>
      <c r="H50" s="80">
        <v>0</v>
      </c>
      <c r="I50" s="80">
        <v>0</v>
      </c>
      <c r="J50" s="80">
        <v>0</v>
      </c>
      <c r="K50" s="80">
        <v>0</v>
      </c>
      <c r="L50" s="80">
        <v>0</v>
      </c>
      <c r="M50" s="80"/>
      <c r="N50" s="80"/>
      <c r="O50" s="80"/>
      <c r="P50" s="80"/>
      <c r="Q50" s="80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80"/>
      <c r="AC50" s="80"/>
      <c r="AD50" s="80"/>
      <c r="AE50" s="80"/>
      <c r="AF50" s="80"/>
      <c r="AG50" s="94">
        <v>25</v>
      </c>
      <c r="AH50" s="20">
        <f t="shared" si="2"/>
        <v>0</v>
      </c>
      <c r="AI50" s="19">
        <f t="shared" si="3"/>
        <v>0</v>
      </c>
      <c r="AK50" s="41"/>
    </row>
    <row r="51" spans="1:41" x14ac:dyDescent="0.25">
      <c r="A51" s="95" t="s">
        <v>184</v>
      </c>
      <c r="B51" s="80">
        <v>0</v>
      </c>
      <c r="C51" s="80">
        <v>0</v>
      </c>
      <c r="D51" s="80">
        <v>0</v>
      </c>
      <c r="E51" s="80">
        <v>0</v>
      </c>
      <c r="F51" s="80">
        <v>0</v>
      </c>
      <c r="G51" s="80">
        <v>0</v>
      </c>
      <c r="H51" s="80">
        <v>0</v>
      </c>
      <c r="I51" s="80">
        <v>0</v>
      </c>
      <c r="J51" s="80">
        <v>0</v>
      </c>
      <c r="K51" s="80">
        <v>0</v>
      </c>
      <c r="L51" s="80">
        <v>0</v>
      </c>
      <c r="M51" s="80"/>
      <c r="N51" s="80"/>
      <c r="O51" s="80"/>
      <c r="P51" s="80"/>
      <c r="Q51" s="80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80"/>
      <c r="AC51" s="80"/>
      <c r="AD51" s="80"/>
      <c r="AE51" s="80"/>
      <c r="AF51" s="80"/>
      <c r="AG51" s="94">
        <v>24</v>
      </c>
      <c r="AH51" s="20">
        <f t="shared" si="2"/>
        <v>0</v>
      </c>
      <c r="AI51" s="19">
        <f t="shared" si="3"/>
        <v>0</v>
      </c>
      <c r="AK51" s="41"/>
    </row>
    <row r="52" spans="1:41" x14ac:dyDescent="0.25">
      <c r="A52" s="95" t="s">
        <v>183</v>
      </c>
      <c r="B52" s="80">
        <v>3</v>
      </c>
      <c r="C52" s="80">
        <v>3</v>
      </c>
      <c r="D52" s="80">
        <v>3</v>
      </c>
      <c r="E52" s="80">
        <v>3</v>
      </c>
      <c r="F52" s="80">
        <v>3</v>
      </c>
      <c r="G52" s="80">
        <v>3</v>
      </c>
      <c r="H52" s="80">
        <v>3</v>
      </c>
      <c r="I52" s="80">
        <v>3</v>
      </c>
      <c r="J52" s="80">
        <v>3</v>
      </c>
      <c r="K52" s="80">
        <v>3</v>
      </c>
      <c r="L52" s="80">
        <v>3</v>
      </c>
      <c r="M52" s="80"/>
      <c r="N52" s="80"/>
      <c r="O52" s="80"/>
      <c r="P52" s="80"/>
      <c r="Q52" s="80"/>
      <c r="R52" s="80"/>
      <c r="S52" s="80"/>
      <c r="T52" s="105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94">
        <v>15</v>
      </c>
      <c r="AH52" s="20">
        <f t="shared" si="2"/>
        <v>3</v>
      </c>
      <c r="AI52" s="19">
        <f t="shared" si="3"/>
        <v>3</v>
      </c>
      <c r="AK52" s="41"/>
      <c r="AL52" s="112"/>
      <c r="AO52" s="112"/>
    </row>
    <row r="53" spans="1:41" s="112" customFormat="1" x14ac:dyDescent="0.25">
      <c r="A53" s="95" t="s">
        <v>182</v>
      </c>
      <c r="B53" s="80">
        <v>0</v>
      </c>
      <c r="C53" s="80">
        <v>0</v>
      </c>
      <c r="D53" s="80">
        <v>0</v>
      </c>
      <c r="E53" s="80">
        <v>0</v>
      </c>
      <c r="F53" s="80">
        <v>0</v>
      </c>
      <c r="G53" s="80">
        <v>0</v>
      </c>
      <c r="H53" s="80">
        <v>0</v>
      </c>
      <c r="I53" s="80">
        <v>0</v>
      </c>
      <c r="J53" s="80">
        <v>0</v>
      </c>
      <c r="K53" s="80">
        <v>0</v>
      </c>
      <c r="L53" s="80">
        <v>0</v>
      </c>
      <c r="M53" s="80"/>
      <c r="N53" s="80"/>
      <c r="O53" s="80"/>
      <c r="P53" s="80"/>
      <c r="Q53" s="80"/>
      <c r="R53" s="80"/>
      <c r="S53" s="80"/>
      <c r="T53" s="105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94">
        <v>14.1</v>
      </c>
      <c r="AH53" s="20">
        <f t="shared" si="2"/>
        <v>0</v>
      </c>
      <c r="AI53" s="19">
        <f t="shared" si="3"/>
        <v>0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>
        <v>14.4</v>
      </c>
      <c r="C54" s="80">
        <v>14.4</v>
      </c>
      <c r="D54" s="80">
        <v>14.4</v>
      </c>
      <c r="E54" s="80">
        <v>14.4</v>
      </c>
      <c r="F54" s="80">
        <v>7.3</v>
      </c>
      <c r="G54" s="80">
        <v>7.2</v>
      </c>
      <c r="H54" s="80">
        <v>7.2</v>
      </c>
      <c r="I54" s="80">
        <v>7.2</v>
      </c>
      <c r="J54" s="80">
        <v>7.2</v>
      </c>
      <c r="K54" s="80">
        <v>7.2</v>
      </c>
      <c r="L54" s="80">
        <v>7.2</v>
      </c>
      <c r="M54" s="80"/>
      <c r="N54" s="80"/>
      <c r="O54" s="80"/>
      <c r="P54" s="80"/>
      <c r="Q54" s="80"/>
      <c r="R54" s="80"/>
      <c r="S54" s="80"/>
      <c r="T54" s="105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94">
        <v>14</v>
      </c>
      <c r="AH54" s="20">
        <f t="shared" si="2"/>
        <v>14.4</v>
      </c>
      <c r="AI54" s="19">
        <f t="shared" si="3"/>
        <v>7.2</v>
      </c>
      <c r="AK54" s="41"/>
    </row>
    <row r="55" spans="1:41" x14ac:dyDescent="0.25">
      <c r="A55" s="95" t="s">
        <v>180</v>
      </c>
      <c r="B55" s="80">
        <v>6.88</v>
      </c>
      <c r="C55" s="80">
        <v>6.88</v>
      </c>
      <c r="D55" s="80">
        <v>6.88</v>
      </c>
      <c r="E55" s="80">
        <v>9</v>
      </c>
      <c r="F55" s="80">
        <v>9</v>
      </c>
      <c r="G55" s="80">
        <v>9</v>
      </c>
      <c r="H55" s="80">
        <v>9</v>
      </c>
      <c r="I55" s="80">
        <v>9</v>
      </c>
      <c r="J55" s="80">
        <v>9</v>
      </c>
      <c r="K55" s="80">
        <v>9</v>
      </c>
      <c r="L55" s="80">
        <v>9</v>
      </c>
      <c r="M55" s="80"/>
      <c r="N55" s="80"/>
      <c r="O55" s="80"/>
      <c r="P55" s="80"/>
      <c r="Q55" s="80"/>
      <c r="R55" s="80"/>
      <c r="S55" s="80"/>
      <c r="T55" s="105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94">
        <v>10.050000000000001</v>
      </c>
      <c r="AH55" s="20">
        <f t="shared" si="2"/>
        <v>9</v>
      </c>
      <c r="AI55" s="19">
        <f t="shared" si="3"/>
        <v>6.88</v>
      </c>
      <c r="AK55" s="41"/>
    </row>
    <row r="56" spans="1:41" x14ac:dyDescent="0.25">
      <c r="A56" s="95" t="s">
        <v>179</v>
      </c>
      <c r="B56" s="80">
        <v>6.2</v>
      </c>
      <c r="C56" s="80">
        <v>6.2</v>
      </c>
      <c r="D56" s="80">
        <v>6.2</v>
      </c>
      <c r="E56" s="80">
        <v>6.2</v>
      </c>
      <c r="F56" s="80">
        <v>6.2</v>
      </c>
      <c r="G56" s="80">
        <v>6.2</v>
      </c>
      <c r="H56" s="80">
        <v>6.2</v>
      </c>
      <c r="I56" s="80">
        <v>6.2</v>
      </c>
      <c r="J56" s="80">
        <v>6.2</v>
      </c>
      <c r="K56" s="80">
        <v>6.2</v>
      </c>
      <c r="L56" s="80">
        <v>6.2</v>
      </c>
      <c r="M56" s="80"/>
      <c r="N56" s="80"/>
      <c r="O56" s="80"/>
      <c r="P56" s="80"/>
      <c r="Q56" s="80"/>
      <c r="R56" s="80"/>
      <c r="S56" s="80"/>
      <c r="T56" s="105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94">
        <v>6.2</v>
      </c>
      <c r="AH56" s="20">
        <f t="shared" si="2"/>
        <v>6.2</v>
      </c>
      <c r="AI56" s="19">
        <f t="shared" si="3"/>
        <v>6.2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6">SUM(B45:B57)</f>
        <v>298.61999999999995</v>
      </c>
      <c r="C58" s="86">
        <f t="shared" si="6"/>
        <v>279.52000000000004</v>
      </c>
      <c r="D58" s="86">
        <f t="shared" si="6"/>
        <v>249.51999999999998</v>
      </c>
      <c r="E58" s="86">
        <f t="shared" si="6"/>
        <v>251.64</v>
      </c>
      <c r="F58" s="86">
        <f t="shared" si="6"/>
        <v>244.54</v>
      </c>
      <c r="G58" s="86">
        <f t="shared" si="6"/>
        <v>244.43999999999997</v>
      </c>
      <c r="H58" s="86">
        <f t="shared" si="6"/>
        <v>275.74</v>
      </c>
      <c r="I58" s="86">
        <f t="shared" si="6"/>
        <v>294.74</v>
      </c>
      <c r="J58" s="86">
        <f t="shared" si="6"/>
        <v>294.74</v>
      </c>
      <c r="K58" s="86">
        <f t="shared" si="6"/>
        <v>294.74</v>
      </c>
      <c r="L58" s="86">
        <f t="shared" si="6"/>
        <v>294.74</v>
      </c>
      <c r="M58" s="86">
        <f t="shared" si="6"/>
        <v>3.54</v>
      </c>
      <c r="N58" s="86">
        <f t="shared" si="6"/>
        <v>3.54</v>
      </c>
      <c r="O58" s="86">
        <f t="shared" si="6"/>
        <v>3.54</v>
      </c>
      <c r="P58" s="86">
        <f t="shared" si="6"/>
        <v>3.54</v>
      </c>
      <c r="Q58" s="86">
        <f t="shared" si="6"/>
        <v>3.54</v>
      </c>
      <c r="R58" s="86">
        <f t="shared" si="6"/>
        <v>3.54</v>
      </c>
      <c r="S58" s="86">
        <f t="shared" si="6"/>
        <v>3.54</v>
      </c>
      <c r="T58" s="86">
        <f t="shared" si="6"/>
        <v>3.54</v>
      </c>
      <c r="U58" s="86">
        <f t="shared" si="6"/>
        <v>3.54</v>
      </c>
      <c r="V58" s="86">
        <f t="shared" si="6"/>
        <v>3.54</v>
      </c>
      <c r="W58" s="86">
        <f t="shared" si="6"/>
        <v>3.54</v>
      </c>
      <c r="X58" s="86">
        <f t="shared" si="6"/>
        <v>3.54</v>
      </c>
      <c r="Y58" s="86">
        <f t="shared" si="6"/>
        <v>3.54</v>
      </c>
      <c r="Z58" s="86">
        <f t="shared" si="6"/>
        <v>3.54</v>
      </c>
      <c r="AA58" s="86">
        <f t="shared" si="6"/>
        <v>3.54</v>
      </c>
      <c r="AB58" s="86">
        <f t="shared" si="6"/>
        <v>3.54</v>
      </c>
      <c r="AC58" s="86">
        <f t="shared" si="6"/>
        <v>3.54</v>
      </c>
      <c r="AD58" s="86">
        <f t="shared" si="6"/>
        <v>3.54</v>
      </c>
      <c r="AE58" s="86">
        <f t="shared" si="6"/>
        <v>3.54</v>
      </c>
      <c r="AF58" s="86">
        <f t="shared" si="6"/>
        <v>3.54</v>
      </c>
      <c r="AG58" s="101">
        <f t="shared" si="6"/>
        <v>489.91</v>
      </c>
      <c r="AH58" s="20">
        <f t="shared" si="2"/>
        <v>298.61999999999995</v>
      </c>
      <c r="AI58" s="19">
        <f t="shared" si="3"/>
        <v>3.54</v>
      </c>
      <c r="AK58" s="41"/>
    </row>
    <row r="59" spans="1:41" x14ac:dyDescent="0.25">
      <c r="A59" s="97" t="s">
        <v>177</v>
      </c>
      <c r="B59" s="105">
        <v>0</v>
      </c>
      <c r="C59" s="105">
        <v>0</v>
      </c>
      <c r="D59" s="105">
        <v>0</v>
      </c>
      <c r="E59" s="105">
        <v>0</v>
      </c>
      <c r="F59" s="105">
        <v>0</v>
      </c>
      <c r="G59" s="105">
        <v>0</v>
      </c>
      <c r="H59" s="105">
        <v>0</v>
      </c>
      <c r="I59" s="105">
        <v>0</v>
      </c>
      <c r="J59" s="105">
        <v>0</v>
      </c>
      <c r="K59" s="105">
        <v>0</v>
      </c>
      <c r="L59" s="105">
        <v>0</v>
      </c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>
        <v>0</v>
      </c>
      <c r="C60" s="80">
        <v>0</v>
      </c>
      <c r="D60" s="80">
        <v>0</v>
      </c>
      <c r="E60" s="80">
        <v>0</v>
      </c>
      <c r="F60" s="80">
        <v>0</v>
      </c>
      <c r="G60" s="80">
        <v>0</v>
      </c>
      <c r="H60" s="80">
        <v>0</v>
      </c>
      <c r="I60" s="80">
        <v>0</v>
      </c>
      <c r="J60" s="80">
        <v>0</v>
      </c>
      <c r="K60" s="80">
        <v>0</v>
      </c>
      <c r="L60" s="80">
        <v>0</v>
      </c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>
        <v>0</v>
      </c>
      <c r="C61" s="107">
        <v>0</v>
      </c>
      <c r="D61" s="107">
        <v>0</v>
      </c>
      <c r="E61" s="107">
        <v>0</v>
      </c>
      <c r="F61" s="107">
        <v>0</v>
      </c>
      <c r="G61" s="107">
        <v>0</v>
      </c>
      <c r="H61" s="107">
        <v>0</v>
      </c>
      <c r="I61" s="107">
        <v>0</v>
      </c>
      <c r="J61" s="107">
        <v>0</v>
      </c>
      <c r="K61" s="107">
        <v>0</v>
      </c>
      <c r="L61" s="107">
        <v>0</v>
      </c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7">SUM(B59:B61)</f>
        <v>0</v>
      </c>
      <c r="C62" s="86">
        <f t="shared" si="7"/>
        <v>0</v>
      </c>
      <c r="D62" s="86">
        <f t="shared" si="7"/>
        <v>0</v>
      </c>
      <c r="E62" s="86">
        <f t="shared" si="7"/>
        <v>0</v>
      </c>
      <c r="F62" s="86">
        <f t="shared" si="7"/>
        <v>0</v>
      </c>
      <c r="G62" s="86">
        <f t="shared" si="7"/>
        <v>0</v>
      </c>
      <c r="H62" s="86">
        <f t="shared" si="7"/>
        <v>0</v>
      </c>
      <c r="I62" s="86">
        <f t="shared" si="7"/>
        <v>0</v>
      </c>
      <c r="J62" s="86">
        <f t="shared" si="7"/>
        <v>0</v>
      </c>
      <c r="K62" s="86">
        <f t="shared" si="7"/>
        <v>0</v>
      </c>
      <c r="L62" s="86">
        <f t="shared" si="7"/>
        <v>0</v>
      </c>
      <c r="M62" s="86">
        <f t="shared" si="7"/>
        <v>0</v>
      </c>
      <c r="N62" s="86">
        <f t="shared" si="7"/>
        <v>0</v>
      </c>
      <c r="O62" s="86">
        <f t="shared" si="7"/>
        <v>0</v>
      </c>
      <c r="P62" s="86">
        <f t="shared" si="7"/>
        <v>0</v>
      </c>
      <c r="Q62" s="86">
        <f t="shared" si="7"/>
        <v>0</v>
      </c>
      <c r="R62" s="86">
        <f t="shared" si="7"/>
        <v>0</v>
      </c>
      <c r="S62" s="86">
        <f t="shared" si="7"/>
        <v>0</v>
      </c>
      <c r="T62" s="86">
        <f t="shared" si="7"/>
        <v>0</v>
      </c>
      <c r="U62" s="86">
        <f t="shared" si="7"/>
        <v>0</v>
      </c>
      <c r="V62" s="86">
        <f t="shared" si="7"/>
        <v>0</v>
      </c>
      <c r="W62" s="86">
        <f t="shared" si="7"/>
        <v>0</v>
      </c>
      <c r="X62" s="86">
        <f t="shared" si="7"/>
        <v>0</v>
      </c>
      <c r="Y62" s="86">
        <f t="shared" si="7"/>
        <v>0</v>
      </c>
      <c r="Z62" s="86">
        <f t="shared" si="7"/>
        <v>0</v>
      </c>
      <c r="AA62" s="86">
        <f t="shared" si="7"/>
        <v>0</v>
      </c>
      <c r="AB62" s="86">
        <f t="shared" si="7"/>
        <v>0</v>
      </c>
      <c r="AC62" s="86">
        <f t="shared" si="7"/>
        <v>0</v>
      </c>
      <c r="AD62" s="86">
        <f t="shared" si="7"/>
        <v>0</v>
      </c>
      <c r="AE62" s="86">
        <f t="shared" si="7"/>
        <v>0</v>
      </c>
      <c r="AF62" s="86">
        <f t="shared" si="7"/>
        <v>0</v>
      </c>
      <c r="AG62" s="101">
        <f t="shared" si="7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>
        <v>0</v>
      </c>
      <c r="C63" s="105">
        <v>0</v>
      </c>
      <c r="D63" s="105">
        <v>0</v>
      </c>
      <c r="E63" s="105">
        <v>0</v>
      </c>
      <c r="F63" s="105">
        <v>0</v>
      </c>
      <c r="G63" s="105">
        <v>0</v>
      </c>
      <c r="H63" s="105">
        <v>0</v>
      </c>
      <c r="I63" s="105">
        <v>0</v>
      </c>
      <c r="J63" s="105">
        <v>0</v>
      </c>
      <c r="K63" s="105">
        <v>0</v>
      </c>
      <c r="L63" s="105">
        <v>0</v>
      </c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96"/>
      <c r="AH63" s="20">
        <f t="shared" si="2"/>
        <v>0</v>
      </c>
      <c r="AI63" s="19">
        <f t="shared" si="3"/>
        <v>0</v>
      </c>
      <c r="AK63" s="41"/>
    </row>
    <row r="64" spans="1:41" x14ac:dyDescent="0.25">
      <c r="A64" s="95" t="s">
        <v>155</v>
      </c>
      <c r="B64" s="80">
        <v>0</v>
      </c>
      <c r="C64" s="80">
        <v>0</v>
      </c>
      <c r="D64" s="80">
        <v>0</v>
      </c>
      <c r="E64" s="80">
        <v>0</v>
      </c>
      <c r="F64" s="80">
        <v>0</v>
      </c>
      <c r="G64" s="80">
        <v>0</v>
      </c>
      <c r="H64" s="80">
        <v>0</v>
      </c>
      <c r="I64" s="80">
        <v>0</v>
      </c>
      <c r="J64" s="80">
        <v>0</v>
      </c>
      <c r="K64" s="80">
        <v>0</v>
      </c>
      <c r="L64" s="80">
        <v>0</v>
      </c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>
        <v>-367</v>
      </c>
      <c r="C65" s="80">
        <v>-364</v>
      </c>
      <c r="D65" s="80">
        <v>-370</v>
      </c>
      <c r="E65" s="80">
        <v>-387.9</v>
      </c>
      <c r="F65" s="80">
        <v>-383</v>
      </c>
      <c r="G65" s="80">
        <v>-385.2</v>
      </c>
      <c r="H65" s="80">
        <v>-367</v>
      </c>
      <c r="I65" s="80">
        <v>-378.2</v>
      </c>
      <c r="J65" s="80">
        <v>-367</v>
      </c>
      <c r="K65" s="80">
        <v>-358</v>
      </c>
      <c r="L65" s="80">
        <v>-370</v>
      </c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102"/>
      <c r="AH65" s="20">
        <f t="shared" si="2"/>
        <v>-358</v>
      </c>
      <c r="AI65" s="19">
        <f t="shared" si="3"/>
        <v>-387.9</v>
      </c>
      <c r="AK65" s="41"/>
    </row>
    <row r="66" spans="1:37" x14ac:dyDescent="0.25">
      <c r="A66" s="95" t="s">
        <v>156</v>
      </c>
      <c r="B66" s="93">
        <v>0</v>
      </c>
      <c r="C66" s="93">
        <v>0</v>
      </c>
      <c r="D66" s="93">
        <v>0</v>
      </c>
      <c r="E66" s="93">
        <v>0</v>
      </c>
      <c r="F66" s="93">
        <v>0</v>
      </c>
      <c r="G66" s="93">
        <v>0</v>
      </c>
      <c r="H66" s="93">
        <v>0</v>
      </c>
      <c r="I66" s="93">
        <v>0</v>
      </c>
      <c r="J66" s="93">
        <v>0</v>
      </c>
      <c r="K66" s="93">
        <v>0</v>
      </c>
      <c r="L66" s="93">
        <v>0</v>
      </c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>
        <v>0</v>
      </c>
      <c r="C67" s="105">
        <v>0</v>
      </c>
      <c r="D67" s="105">
        <v>0</v>
      </c>
      <c r="E67" s="105">
        <v>0</v>
      </c>
      <c r="F67" s="105">
        <v>0</v>
      </c>
      <c r="G67" s="105">
        <v>0</v>
      </c>
      <c r="H67" s="105">
        <v>0</v>
      </c>
      <c r="I67" s="105">
        <v>0</v>
      </c>
      <c r="J67" s="105">
        <v>0</v>
      </c>
      <c r="K67" s="105">
        <v>0</v>
      </c>
      <c r="L67" s="105">
        <v>0</v>
      </c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>
        <v>0</v>
      </c>
      <c r="C68" s="103">
        <v>0</v>
      </c>
      <c r="D68" s="103">
        <v>0</v>
      </c>
      <c r="E68" s="103">
        <v>0</v>
      </c>
      <c r="F68" s="103">
        <v>0</v>
      </c>
      <c r="G68" s="103">
        <v>0</v>
      </c>
      <c r="H68" s="103">
        <v>0</v>
      </c>
      <c r="I68" s="103">
        <v>0</v>
      </c>
      <c r="J68" s="103">
        <v>0</v>
      </c>
      <c r="K68" s="103">
        <v>0</v>
      </c>
      <c r="L68" s="103">
        <v>0</v>
      </c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>
        <v>0</v>
      </c>
      <c r="C69" s="103">
        <v>0</v>
      </c>
      <c r="D69" s="103">
        <v>0</v>
      </c>
      <c r="E69" s="103">
        <v>0</v>
      </c>
      <c r="F69" s="103">
        <v>0</v>
      </c>
      <c r="G69" s="103">
        <v>0</v>
      </c>
      <c r="H69" s="103">
        <v>0</v>
      </c>
      <c r="I69" s="103">
        <v>0</v>
      </c>
      <c r="J69" s="103">
        <v>0</v>
      </c>
      <c r="K69" s="103">
        <v>0</v>
      </c>
      <c r="L69" s="103">
        <v>0</v>
      </c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103">
        <v>0</v>
      </c>
      <c r="C70" s="103">
        <v>0</v>
      </c>
      <c r="D70" s="103">
        <v>0</v>
      </c>
      <c r="E70" s="93">
        <v>0</v>
      </c>
      <c r="F70" s="93">
        <v>0</v>
      </c>
      <c r="G70" s="93">
        <v>0</v>
      </c>
      <c r="H70" s="93">
        <v>0</v>
      </c>
      <c r="I70" s="93">
        <v>0</v>
      </c>
      <c r="J70" s="93">
        <v>0</v>
      </c>
      <c r="K70" s="93">
        <v>0</v>
      </c>
      <c r="L70" s="93">
        <v>0</v>
      </c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103">
        <v>0</v>
      </c>
      <c r="C71" s="103">
        <v>0</v>
      </c>
      <c r="D71" s="103">
        <v>0</v>
      </c>
      <c r="E71" s="93">
        <v>0</v>
      </c>
      <c r="F71" s="93">
        <v>0</v>
      </c>
      <c r="G71" s="93">
        <v>0</v>
      </c>
      <c r="H71" s="93">
        <v>0</v>
      </c>
      <c r="I71" s="93">
        <v>0</v>
      </c>
      <c r="J71" s="93">
        <v>0</v>
      </c>
      <c r="K71" s="93">
        <v>0</v>
      </c>
      <c r="L71" s="93">
        <v>0</v>
      </c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103">
        <v>0</v>
      </c>
      <c r="C72" s="103">
        <v>0</v>
      </c>
      <c r="D72" s="103">
        <v>0</v>
      </c>
      <c r="E72" s="90">
        <v>0</v>
      </c>
      <c r="F72" s="90">
        <v>0</v>
      </c>
      <c r="G72" s="90">
        <v>0</v>
      </c>
      <c r="H72" s="90">
        <v>0</v>
      </c>
      <c r="I72" s="90">
        <v>0</v>
      </c>
      <c r="J72" s="90">
        <v>0</v>
      </c>
      <c r="K72" s="90">
        <v>0</v>
      </c>
      <c r="L72" s="90">
        <v>0</v>
      </c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/>
      <c r="C73" s="90"/>
      <c r="D73" s="90"/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8">SUMIF(B63:B73,"&gt;0")</f>
        <v>0</v>
      </c>
      <c r="C74" s="86">
        <f t="shared" si="8"/>
        <v>0</v>
      </c>
      <c r="D74" s="86">
        <f t="shared" si="8"/>
        <v>0</v>
      </c>
      <c r="E74" s="86">
        <f t="shared" si="8"/>
        <v>0</v>
      </c>
      <c r="F74" s="86">
        <f t="shared" si="8"/>
        <v>0</v>
      </c>
      <c r="G74" s="86">
        <f t="shared" si="8"/>
        <v>0</v>
      </c>
      <c r="H74" s="86">
        <f t="shared" si="8"/>
        <v>0</v>
      </c>
      <c r="I74" s="86">
        <f t="shared" si="8"/>
        <v>0</v>
      </c>
      <c r="J74" s="86">
        <f t="shared" si="8"/>
        <v>0</v>
      </c>
      <c r="K74" s="86">
        <f t="shared" si="8"/>
        <v>0</v>
      </c>
      <c r="L74" s="86">
        <f t="shared" si="8"/>
        <v>0</v>
      </c>
      <c r="M74" s="86">
        <f t="shared" si="8"/>
        <v>0</v>
      </c>
      <c r="N74" s="86">
        <f t="shared" si="8"/>
        <v>0</v>
      </c>
      <c r="O74" s="86">
        <f t="shared" si="8"/>
        <v>0</v>
      </c>
      <c r="P74" s="86">
        <f t="shared" si="8"/>
        <v>0</v>
      </c>
      <c r="Q74" s="86">
        <f t="shared" si="8"/>
        <v>0</v>
      </c>
      <c r="R74" s="86">
        <f t="shared" si="8"/>
        <v>0</v>
      </c>
      <c r="S74" s="86">
        <f t="shared" si="8"/>
        <v>0</v>
      </c>
      <c r="T74" s="86">
        <f t="shared" si="8"/>
        <v>0</v>
      </c>
      <c r="U74" s="86">
        <f t="shared" si="8"/>
        <v>0</v>
      </c>
      <c r="V74" s="86">
        <f t="shared" si="8"/>
        <v>0</v>
      </c>
      <c r="W74" s="86">
        <f t="shared" si="8"/>
        <v>0</v>
      </c>
      <c r="X74" s="86">
        <f t="shared" si="8"/>
        <v>0</v>
      </c>
      <c r="Y74" s="86">
        <f t="shared" si="8"/>
        <v>0</v>
      </c>
      <c r="Z74" s="86">
        <f t="shared" si="8"/>
        <v>0</v>
      </c>
      <c r="AA74" s="86">
        <f t="shared" si="8"/>
        <v>0</v>
      </c>
      <c r="AB74" s="86">
        <f t="shared" si="8"/>
        <v>0</v>
      </c>
      <c r="AC74" s="86">
        <f t="shared" si="8"/>
        <v>0</v>
      </c>
      <c r="AD74" s="86">
        <f t="shared" si="8"/>
        <v>0</v>
      </c>
      <c r="AE74" s="86">
        <f t="shared" si="8"/>
        <v>0</v>
      </c>
      <c r="AF74" s="86">
        <f t="shared" si="8"/>
        <v>0</v>
      </c>
      <c r="AG74" s="85">
        <f>SUM(AG63:AG73)</f>
        <v>0</v>
      </c>
      <c r="AH74" s="20">
        <f t="shared" si="2"/>
        <v>0</v>
      </c>
      <c r="AI74" s="19">
        <f t="shared" si="3"/>
        <v>0</v>
      </c>
      <c r="AK74" s="41"/>
    </row>
    <row r="75" spans="1:37" x14ac:dyDescent="0.25">
      <c r="A75" s="97" t="s">
        <v>164</v>
      </c>
      <c r="B75" s="93">
        <v>0</v>
      </c>
      <c r="C75" s="93">
        <v>0</v>
      </c>
      <c r="D75" s="93">
        <v>0</v>
      </c>
      <c r="E75" s="93">
        <v>0</v>
      </c>
      <c r="F75" s="93">
        <v>0</v>
      </c>
      <c r="G75" s="93">
        <v>0</v>
      </c>
      <c r="H75" s="93">
        <v>0</v>
      </c>
      <c r="I75" s="93">
        <v>0</v>
      </c>
      <c r="J75" s="93">
        <v>0</v>
      </c>
      <c r="K75" s="93">
        <v>0</v>
      </c>
      <c r="L75" s="93">
        <v>0</v>
      </c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>
        <v>0</v>
      </c>
      <c r="C76" s="103">
        <v>0</v>
      </c>
      <c r="D76" s="103">
        <v>0</v>
      </c>
      <c r="E76" s="103">
        <v>0</v>
      </c>
      <c r="F76" s="103">
        <v>0</v>
      </c>
      <c r="G76" s="103">
        <v>0</v>
      </c>
      <c r="H76" s="103">
        <v>0</v>
      </c>
      <c r="I76" s="103">
        <v>0</v>
      </c>
      <c r="J76" s="103">
        <v>0</v>
      </c>
      <c r="K76" s="103">
        <v>0</v>
      </c>
      <c r="L76" s="103">
        <v>0</v>
      </c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2">
        <v>14.4</v>
      </c>
      <c r="AH76" s="20">
        <f t="shared" ref="AH76:AH109" si="9">MAX(B76:AF76)</f>
        <v>0</v>
      </c>
      <c r="AI76" s="19">
        <f t="shared" ref="AI76:AI109" si="10">MIN(B76:AF76)</f>
        <v>0</v>
      </c>
      <c r="AK76" s="41"/>
    </row>
    <row r="77" spans="1:37" ht="15.75" thickBot="1" x14ac:dyDescent="0.3">
      <c r="A77" s="91" t="s">
        <v>162</v>
      </c>
      <c r="B77" s="90">
        <v>0</v>
      </c>
      <c r="C77" s="90">
        <v>0</v>
      </c>
      <c r="D77" s="90">
        <v>0</v>
      </c>
      <c r="E77" s="90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89">
        <v>2</v>
      </c>
      <c r="AH77" s="20">
        <f t="shared" si="9"/>
        <v>0</v>
      </c>
      <c r="AI77" s="19">
        <f t="shared" si="10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9"/>
        <v>0</v>
      </c>
      <c r="AI78" s="19">
        <f t="shared" si="10"/>
        <v>0</v>
      </c>
    </row>
    <row r="79" spans="1:37" ht="15.75" thickBot="1" x14ac:dyDescent="0.3">
      <c r="A79" s="87" t="s">
        <v>160</v>
      </c>
      <c r="B79" s="98">
        <f t="shared" ref="B79:AG79" si="11">B40+B44+B62+B58+B74+B78</f>
        <v>1481.02</v>
      </c>
      <c r="C79" s="98">
        <f t="shared" si="11"/>
        <v>1427.72</v>
      </c>
      <c r="D79" s="98">
        <f t="shared" si="11"/>
        <v>1397.12</v>
      </c>
      <c r="E79" s="98">
        <f t="shared" si="11"/>
        <v>1420.2399999999998</v>
      </c>
      <c r="F79" s="98">
        <f t="shared" si="11"/>
        <v>1413.1399999999999</v>
      </c>
      <c r="G79" s="98">
        <f t="shared" si="11"/>
        <v>1413.04</v>
      </c>
      <c r="H79" s="98">
        <f t="shared" si="11"/>
        <v>1444.34</v>
      </c>
      <c r="I79" s="98">
        <f t="shared" si="11"/>
        <v>1467.34</v>
      </c>
      <c r="J79" s="98">
        <f t="shared" si="11"/>
        <v>1513.34</v>
      </c>
      <c r="K79" s="98">
        <f t="shared" si="11"/>
        <v>1574.34</v>
      </c>
      <c r="L79" s="98">
        <f t="shared" si="11"/>
        <v>1639.34</v>
      </c>
      <c r="M79" s="98">
        <f t="shared" si="11"/>
        <v>303.54000000000002</v>
      </c>
      <c r="N79" s="98">
        <f t="shared" si="11"/>
        <v>303.54000000000002</v>
      </c>
      <c r="O79" s="98">
        <f t="shared" si="11"/>
        <v>303.54000000000002</v>
      </c>
      <c r="P79" s="98">
        <f t="shared" si="11"/>
        <v>303.54000000000002</v>
      </c>
      <c r="Q79" s="98">
        <f t="shared" si="11"/>
        <v>303.54000000000002</v>
      </c>
      <c r="R79" s="98">
        <f t="shared" si="11"/>
        <v>303.54000000000002</v>
      </c>
      <c r="S79" s="98">
        <f t="shared" si="11"/>
        <v>303.54000000000002</v>
      </c>
      <c r="T79" s="98">
        <f t="shared" si="11"/>
        <v>303.54000000000002</v>
      </c>
      <c r="U79" s="98">
        <f t="shared" si="11"/>
        <v>303.54000000000002</v>
      </c>
      <c r="V79" s="98">
        <f t="shared" si="11"/>
        <v>303.54000000000002</v>
      </c>
      <c r="W79" s="98">
        <f t="shared" si="11"/>
        <v>303.54000000000002</v>
      </c>
      <c r="X79" s="98">
        <f t="shared" si="11"/>
        <v>303.54000000000002</v>
      </c>
      <c r="Y79" s="98">
        <f t="shared" si="11"/>
        <v>303.54000000000002</v>
      </c>
      <c r="Z79" s="98">
        <f t="shared" si="11"/>
        <v>303.54000000000002</v>
      </c>
      <c r="AA79" s="98">
        <f t="shared" si="11"/>
        <v>303.54000000000002</v>
      </c>
      <c r="AB79" s="98">
        <f t="shared" si="11"/>
        <v>3.54</v>
      </c>
      <c r="AC79" s="98">
        <f t="shared" si="11"/>
        <v>3.54</v>
      </c>
      <c r="AD79" s="98">
        <f t="shared" si="11"/>
        <v>3.54</v>
      </c>
      <c r="AE79" s="98">
        <f t="shared" si="11"/>
        <v>3.54</v>
      </c>
      <c r="AF79" s="98">
        <f t="shared" si="11"/>
        <v>3.54</v>
      </c>
      <c r="AG79" s="101">
        <f t="shared" si="11"/>
        <v>1897.1900000000003</v>
      </c>
      <c r="AH79" s="20">
        <f t="shared" si="9"/>
        <v>1639.34</v>
      </c>
      <c r="AI79" s="19">
        <f t="shared" si="10"/>
        <v>3.54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9"/>
        <v>0</v>
      </c>
      <c r="AI80" s="19">
        <f t="shared" si="10"/>
        <v>0</v>
      </c>
    </row>
    <row r="81" spans="1:37" ht="15.75" thickBot="1" x14ac:dyDescent="0.3">
      <c r="A81" s="87" t="s">
        <v>158</v>
      </c>
      <c r="B81" s="98">
        <f t="shared" ref="B81:AF81" si="12">B79+B80</f>
        <v>1481.02</v>
      </c>
      <c r="C81" s="98">
        <f t="shared" si="12"/>
        <v>1427.72</v>
      </c>
      <c r="D81" s="98">
        <f t="shared" si="12"/>
        <v>1397.12</v>
      </c>
      <c r="E81" s="98">
        <f t="shared" si="12"/>
        <v>1420.2399999999998</v>
      </c>
      <c r="F81" s="98">
        <f t="shared" si="12"/>
        <v>1413.1399999999999</v>
      </c>
      <c r="G81" s="98">
        <f t="shared" si="12"/>
        <v>1413.04</v>
      </c>
      <c r="H81" s="98">
        <f t="shared" si="12"/>
        <v>1444.34</v>
      </c>
      <c r="I81" s="98">
        <f t="shared" si="12"/>
        <v>1467.34</v>
      </c>
      <c r="J81" s="98">
        <f t="shared" si="12"/>
        <v>1513.34</v>
      </c>
      <c r="K81" s="98">
        <f t="shared" si="12"/>
        <v>1574.34</v>
      </c>
      <c r="L81" s="98">
        <f t="shared" si="12"/>
        <v>1639.34</v>
      </c>
      <c r="M81" s="98">
        <f t="shared" si="12"/>
        <v>303.54000000000002</v>
      </c>
      <c r="N81" s="98">
        <f t="shared" si="12"/>
        <v>303.54000000000002</v>
      </c>
      <c r="O81" s="98">
        <f t="shared" si="12"/>
        <v>303.54000000000002</v>
      </c>
      <c r="P81" s="98">
        <f t="shared" si="12"/>
        <v>303.54000000000002</v>
      </c>
      <c r="Q81" s="98">
        <f t="shared" si="12"/>
        <v>303.54000000000002</v>
      </c>
      <c r="R81" s="98">
        <f t="shared" si="12"/>
        <v>303.54000000000002</v>
      </c>
      <c r="S81" s="98">
        <f t="shared" si="12"/>
        <v>303.54000000000002</v>
      </c>
      <c r="T81" s="98">
        <f t="shared" si="12"/>
        <v>303.54000000000002</v>
      </c>
      <c r="U81" s="98">
        <f t="shared" si="12"/>
        <v>303.54000000000002</v>
      </c>
      <c r="V81" s="98">
        <f t="shared" si="12"/>
        <v>303.54000000000002</v>
      </c>
      <c r="W81" s="98">
        <f t="shared" si="12"/>
        <v>303.54000000000002</v>
      </c>
      <c r="X81" s="98">
        <f t="shared" si="12"/>
        <v>303.54000000000002</v>
      </c>
      <c r="Y81" s="98">
        <f t="shared" si="12"/>
        <v>303.54000000000002</v>
      </c>
      <c r="Z81" s="98">
        <f t="shared" si="12"/>
        <v>303.54000000000002</v>
      </c>
      <c r="AA81" s="98">
        <f t="shared" si="12"/>
        <v>303.54000000000002</v>
      </c>
      <c r="AB81" s="98">
        <f t="shared" si="12"/>
        <v>3.54</v>
      </c>
      <c r="AC81" s="98">
        <f t="shared" si="12"/>
        <v>3.54</v>
      </c>
      <c r="AD81" s="98">
        <f t="shared" si="12"/>
        <v>3.54</v>
      </c>
      <c r="AE81" s="98">
        <f t="shared" si="12"/>
        <v>3.54</v>
      </c>
      <c r="AF81" s="98">
        <f t="shared" si="12"/>
        <v>3.54</v>
      </c>
      <c r="AG81" s="85">
        <f>AG78+AG74+AG62+AG58+AG40+AG80</f>
        <v>1359.0900000000001</v>
      </c>
      <c r="AH81" s="20">
        <f t="shared" si="9"/>
        <v>1639.34</v>
      </c>
      <c r="AI81" s="19">
        <f t="shared" si="10"/>
        <v>3.54</v>
      </c>
    </row>
    <row r="82" spans="1:37" ht="15.75" thickBot="1" x14ac:dyDescent="0.3">
      <c r="A82" s="87" t="s">
        <v>157</v>
      </c>
      <c r="B82" s="98">
        <f t="shared" ref="B82:AF82" si="13">B81-B89</f>
        <v>1114.02</v>
      </c>
      <c r="C82" s="98">
        <f t="shared" si="13"/>
        <v>1063.72</v>
      </c>
      <c r="D82" s="98">
        <f t="shared" si="13"/>
        <v>1027.1199999999999</v>
      </c>
      <c r="E82" s="98">
        <f t="shared" si="13"/>
        <v>1032.3399999999997</v>
      </c>
      <c r="F82" s="98">
        <f t="shared" si="13"/>
        <v>1030.1399999999999</v>
      </c>
      <c r="G82" s="98">
        <f t="shared" si="13"/>
        <v>1027.8399999999999</v>
      </c>
      <c r="H82" s="98">
        <f t="shared" si="13"/>
        <v>1077.3399999999999</v>
      </c>
      <c r="I82" s="98">
        <f t="shared" si="13"/>
        <v>1089.1399999999999</v>
      </c>
      <c r="J82" s="98">
        <f t="shared" si="13"/>
        <v>1146.3399999999999</v>
      </c>
      <c r="K82" s="98">
        <f t="shared" si="13"/>
        <v>1216.3399999999999</v>
      </c>
      <c r="L82" s="98">
        <f t="shared" si="13"/>
        <v>1269.3399999999999</v>
      </c>
      <c r="M82" s="98">
        <f t="shared" si="13"/>
        <v>303.54000000000002</v>
      </c>
      <c r="N82" s="98">
        <f t="shared" si="13"/>
        <v>303.54000000000002</v>
      </c>
      <c r="O82" s="98">
        <f t="shared" si="13"/>
        <v>303.54000000000002</v>
      </c>
      <c r="P82" s="98">
        <f t="shared" si="13"/>
        <v>303.54000000000002</v>
      </c>
      <c r="Q82" s="98">
        <f t="shared" si="13"/>
        <v>303.54000000000002</v>
      </c>
      <c r="R82" s="98">
        <f t="shared" si="13"/>
        <v>303.54000000000002</v>
      </c>
      <c r="S82" s="98">
        <f t="shared" si="13"/>
        <v>303.54000000000002</v>
      </c>
      <c r="T82" s="98">
        <f t="shared" si="13"/>
        <v>303.54000000000002</v>
      </c>
      <c r="U82" s="98">
        <f t="shared" si="13"/>
        <v>303.54000000000002</v>
      </c>
      <c r="V82" s="98">
        <f t="shared" si="13"/>
        <v>303.54000000000002</v>
      </c>
      <c r="W82" s="98">
        <f t="shared" si="13"/>
        <v>303.54000000000002</v>
      </c>
      <c r="X82" s="98">
        <f t="shared" si="13"/>
        <v>303.54000000000002</v>
      </c>
      <c r="Y82" s="98">
        <f t="shared" si="13"/>
        <v>303.54000000000002</v>
      </c>
      <c r="Z82" s="98">
        <f t="shared" si="13"/>
        <v>303.54000000000002</v>
      </c>
      <c r="AA82" s="98">
        <f t="shared" si="13"/>
        <v>303.54000000000002</v>
      </c>
      <c r="AB82" s="98">
        <f t="shared" si="13"/>
        <v>3.54</v>
      </c>
      <c r="AC82" s="98">
        <f t="shared" si="13"/>
        <v>3.54</v>
      </c>
      <c r="AD82" s="98">
        <f t="shared" si="13"/>
        <v>3.54</v>
      </c>
      <c r="AE82" s="98">
        <f t="shared" si="13"/>
        <v>3.54</v>
      </c>
      <c r="AF82" s="98">
        <f t="shared" si="13"/>
        <v>3.54</v>
      </c>
      <c r="AG82" s="85"/>
      <c r="AH82" s="20">
        <f t="shared" si="9"/>
        <v>1269.3399999999999</v>
      </c>
      <c r="AI82" s="19">
        <f t="shared" si="10"/>
        <v>3.54</v>
      </c>
    </row>
    <row r="83" spans="1:37" x14ac:dyDescent="0.25">
      <c r="A83" s="97" t="s">
        <v>156</v>
      </c>
      <c r="B83" s="93">
        <f t="shared" ref="B83:AF83" si="14">IF(B66&lt;0,B66*-1,0)</f>
        <v>0</v>
      </c>
      <c r="C83" s="93">
        <f t="shared" si="14"/>
        <v>0</v>
      </c>
      <c r="D83" s="93">
        <f t="shared" si="14"/>
        <v>0</v>
      </c>
      <c r="E83" s="93">
        <f t="shared" si="14"/>
        <v>0</v>
      </c>
      <c r="F83" s="93">
        <f t="shared" si="14"/>
        <v>0</v>
      </c>
      <c r="G83" s="93">
        <f t="shared" si="14"/>
        <v>0</v>
      </c>
      <c r="H83" s="93">
        <f t="shared" si="14"/>
        <v>0</v>
      </c>
      <c r="I83" s="93">
        <f t="shared" si="14"/>
        <v>0</v>
      </c>
      <c r="J83" s="93">
        <f t="shared" si="14"/>
        <v>0</v>
      </c>
      <c r="K83" s="93">
        <f t="shared" si="14"/>
        <v>0</v>
      </c>
      <c r="L83" s="93">
        <f t="shared" si="14"/>
        <v>0</v>
      </c>
      <c r="M83" s="93">
        <f t="shared" si="14"/>
        <v>0</v>
      </c>
      <c r="N83" s="93">
        <f t="shared" si="14"/>
        <v>0</v>
      </c>
      <c r="O83" s="93">
        <f t="shared" si="14"/>
        <v>0</v>
      </c>
      <c r="P83" s="93">
        <f t="shared" si="14"/>
        <v>0</v>
      </c>
      <c r="Q83" s="93">
        <f t="shared" si="14"/>
        <v>0</v>
      </c>
      <c r="R83" s="93">
        <f t="shared" si="14"/>
        <v>0</v>
      </c>
      <c r="S83" s="93">
        <f t="shared" si="14"/>
        <v>0</v>
      </c>
      <c r="T83" s="93">
        <f t="shared" si="14"/>
        <v>0</v>
      </c>
      <c r="U83" s="93">
        <f t="shared" si="14"/>
        <v>0</v>
      </c>
      <c r="V83" s="93">
        <f t="shared" si="14"/>
        <v>0</v>
      </c>
      <c r="W83" s="93">
        <f t="shared" si="14"/>
        <v>0</v>
      </c>
      <c r="X83" s="93">
        <f t="shared" si="14"/>
        <v>0</v>
      </c>
      <c r="Y83" s="93">
        <f t="shared" si="14"/>
        <v>0</v>
      </c>
      <c r="Z83" s="93">
        <f t="shared" si="14"/>
        <v>0</v>
      </c>
      <c r="AA83" s="93">
        <f t="shared" si="14"/>
        <v>0</v>
      </c>
      <c r="AB83" s="93">
        <f t="shared" si="14"/>
        <v>0</v>
      </c>
      <c r="AC83" s="93">
        <f t="shared" si="14"/>
        <v>0</v>
      </c>
      <c r="AD83" s="93">
        <f t="shared" si="14"/>
        <v>0</v>
      </c>
      <c r="AE83" s="93">
        <f t="shared" si="14"/>
        <v>0</v>
      </c>
      <c r="AF83" s="93">
        <f t="shared" si="14"/>
        <v>0</v>
      </c>
      <c r="AG83" s="96"/>
      <c r="AH83" s="20">
        <f t="shared" si="9"/>
        <v>0</v>
      </c>
      <c r="AI83" s="19">
        <f t="shared" si="10"/>
        <v>0</v>
      </c>
    </row>
    <row r="84" spans="1:37" x14ac:dyDescent="0.25">
      <c r="A84" s="95" t="s">
        <v>155</v>
      </c>
      <c r="B84" s="93">
        <f t="shared" ref="B84:AF84" si="15">IF(B64&lt;0,B64*-1,0)</f>
        <v>0</v>
      </c>
      <c r="C84" s="93">
        <f t="shared" si="15"/>
        <v>0</v>
      </c>
      <c r="D84" s="93">
        <f t="shared" si="15"/>
        <v>0</v>
      </c>
      <c r="E84" s="93">
        <f t="shared" si="15"/>
        <v>0</v>
      </c>
      <c r="F84" s="93">
        <f t="shared" si="15"/>
        <v>0</v>
      </c>
      <c r="G84" s="93">
        <f t="shared" si="15"/>
        <v>0</v>
      </c>
      <c r="H84" s="93">
        <f t="shared" si="15"/>
        <v>0</v>
      </c>
      <c r="I84" s="93">
        <f t="shared" si="15"/>
        <v>0</v>
      </c>
      <c r="J84" s="93">
        <f t="shared" si="15"/>
        <v>0</v>
      </c>
      <c r="K84" s="93">
        <f t="shared" si="15"/>
        <v>0</v>
      </c>
      <c r="L84" s="93">
        <f t="shared" si="15"/>
        <v>0</v>
      </c>
      <c r="M84" s="93">
        <f t="shared" si="15"/>
        <v>0</v>
      </c>
      <c r="N84" s="93">
        <f t="shared" si="15"/>
        <v>0</v>
      </c>
      <c r="O84" s="93">
        <f t="shared" si="15"/>
        <v>0</v>
      </c>
      <c r="P84" s="93">
        <f t="shared" si="15"/>
        <v>0</v>
      </c>
      <c r="Q84" s="93">
        <f t="shared" si="15"/>
        <v>0</v>
      </c>
      <c r="R84" s="93">
        <f t="shared" si="15"/>
        <v>0</v>
      </c>
      <c r="S84" s="93">
        <f t="shared" si="15"/>
        <v>0</v>
      </c>
      <c r="T84" s="93">
        <f t="shared" si="15"/>
        <v>0</v>
      </c>
      <c r="U84" s="93">
        <f t="shared" si="15"/>
        <v>0</v>
      </c>
      <c r="V84" s="93">
        <f t="shared" si="15"/>
        <v>0</v>
      </c>
      <c r="W84" s="93">
        <f t="shared" si="15"/>
        <v>0</v>
      </c>
      <c r="X84" s="93">
        <f t="shared" si="15"/>
        <v>0</v>
      </c>
      <c r="Y84" s="93">
        <f t="shared" si="15"/>
        <v>0</v>
      </c>
      <c r="Z84" s="93">
        <f t="shared" si="15"/>
        <v>0</v>
      </c>
      <c r="AA84" s="93">
        <f t="shared" si="15"/>
        <v>0</v>
      </c>
      <c r="AB84" s="93">
        <f t="shared" si="15"/>
        <v>0</v>
      </c>
      <c r="AC84" s="93">
        <f t="shared" si="15"/>
        <v>0</v>
      </c>
      <c r="AD84" s="93">
        <f t="shared" si="15"/>
        <v>0</v>
      </c>
      <c r="AE84" s="93">
        <f t="shared" si="15"/>
        <v>0</v>
      </c>
      <c r="AF84" s="93">
        <f t="shared" si="15"/>
        <v>0</v>
      </c>
      <c r="AG84" s="94"/>
      <c r="AH84" s="20">
        <f t="shared" si="9"/>
        <v>0</v>
      </c>
      <c r="AI84" s="19">
        <f t="shared" si="10"/>
        <v>0</v>
      </c>
    </row>
    <row r="85" spans="1:37" x14ac:dyDescent="0.25">
      <c r="A85" s="91" t="s">
        <v>154</v>
      </c>
      <c r="B85" s="93">
        <f t="shared" ref="B85:AF85" si="16">IF(B67&lt;0,B67*-1,0)</f>
        <v>0</v>
      </c>
      <c r="C85" s="93">
        <f t="shared" si="16"/>
        <v>0</v>
      </c>
      <c r="D85" s="93">
        <f t="shared" si="16"/>
        <v>0</v>
      </c>
      <c r="E85" s="93">
        <f t="shared" si="16"/>
        <v>0</v>
      </c>
      <c r="F85" s="93">
        <f t="shared" si="16"/>
        <v>0</v>
      </c>
      <c r="G85" s="93">
        <f t="shared" si="16"/>
        <v>0</v>
      </c>
      <c r="H85" s="93">
        <f t="shared" si="16"/>
        <v>0</v>
      </c>
      <c r="I85" s="93">
        <f t="shared" si="16"/>
        <v>0</v>
      </c>
      <c r="J85" s="93">
        <f t="shared" si="16"/>
        <v>0</v>
      </c>
      <c r="K85" s="93">
        <f t="shared" si="16"/>
        <v>0</v>
      </c>
      <c r="L85" s="93">
        <f t="shared" si="16"/>
        <v>0</v>
      </c>
      <c r="M85" s="93">
        <f t="shared" si="16"/>
        <v>0</v>
      </c>
      <c r="N85" s="93">
        <f t="shared" si="16"/>
        <v>0</v>
      </c>
      <c r="O85" s="93">
        <f t="shared" si="16"/>
        <v>0</v>
      </c>
      <c r="P85" s="93">
        <f t="shared" si="16"/>
        <v>0</v>
      </c>
      <c r="Q85" s="93">
        <f t="shared" si="16"/>
        <v>0</v>
      </c>
      <c r="R85" s="93">
        <f t="shared" si="16"/>
        <v>0</v>
      </c>
      <c r="S85" s="93">
        <f t="shared" si="16"/>
        <v>0</v>
      </c>
      <c r="T85" s="93">
        <f t="shared" si="16"/>
        <v>0</v>
      </c>
      <c r="U85" s="93">
        <f t="shared" si="16"/>
        <v>0</v>
      </c>
      <c r="V85" s="93">
        <f t="shared" si="16"/>
        <v>0</v>
      </c>
      <c r="W85" s="93">
        <f t="shared" si="16"/>
        <v>0</v>
      </c>
      <c r="X85" s="93">
        <f t="shared" si="16"/>
        <v>0</v>
      </c>
      <c r="Y85" s="93">
        <f t="shared" si="16"/>
        <v>0</v>
      </c>
      <c r="Z85" s="93">
        <f t="shared" si="16"/>
        <v>0</v>
      </c>
      <c r="AA85" s="93">
        <f t="shared" si="16"/>
        <v>0</v>
      </c>
      <c r="AB85" s="93">
        <f t="shared" si="16"/>
        <v>0</v>
      </c>
      <c r="AC85" s="93">
        <f t="shared" si="16"/>
        <v>0</v>
      </c>
      <c r="AD85" s="93">
        <f t="shared" si="16"/>
        <v>0</v>
      </c>
      <c r="AE85" s="93">
        <f t="shared" si="16"/>
        <v>0</v>
      </c>
      <c r="AF85" s="93">
        <f t="shared" si="16"/>
        <v>0</v>
      </c>
      <c r="AG85" s="92"/>
      <c r="AH85" s="20">
        <f t="shared" si="9"/>
        <v>0</v>
      </c>
      <c r="AI85" s="19">
        <f t="shared" si="10"/>
        <v>0</v>
      </c>
    </row>
    <row r="86" spans="1:37" x14ac:dyDescent="0.25">
      <c r="A86" s="91" t="s">
        <v>153</v>
      </c>
      <c r="B86" s="93">
        <f t="shared" ref="B86:AF86" si="17">IF(B65&lt;0,B65*-1,0)</f>
        <v>367</v>
      </c>
      <c r="C86" s="93">
        <f t="shared" si="17"/>
        <v>364</v>
      </c>
      <c r="D86" s="93">
        <f t="shared" si="17"/>
        <v>370</v>
      </c>
      <c r="E86" s="93">
        <f t="shared" si="17"/>
        <v>387.9</v>
      </c>
      <c r="F86" s="93">
        <f t="shared" si="17"/>
        <v>383</v>
      </c>
      <c r="G86" s="93">
        <f t="shared" si="17"/>
        <v>385.2</v>
      </c>
      <c r="H86" s="93">
        <f t="shared" si="17"/>
        <v>367</v>
      </c>
      <c r="I86" s="93">
        <f t="shared" si="17"/>
        <v>378.2</v>
      </c>
      <c r="J86" s="93">
        <f t="shared" si="17"/>
        <v>367</v>
      </c>
      <c r="K86" s="93">
        <f t="shared" si="17"/>
        <v>358</v>
      </c>
      <c r="L86" s="93">
        <f t="shared" si="17"/>
        <v>370</v>
      </c>
      <c r="M86" s="93">
        <f t="shared" si="17"/>
        <v>0</v>
      </c>
      <c r="N86" s="93">
        <f t="shared" si="17"/>
        <v>0</v>
      </c>
      <c r="O86" s="93">
        <f t="shared" si="17"/>
        <v>0</v>
      </c>
      <c r="P86" s="93">
        <f t="shared" si="17"/>
        <v>0</v>
      </c>
      <c r="Q86" s="93">
        <f t="shared" si="17"/>
        <v>0</v>
      </c>
      <c r="R86" s="93">
        <f t="shared" si="17"/>
        <v>0</v>
      </c>
      <c r="S86" s="93">
        <f t="shared" si="17"/>
        <v>0</v>
      </c>
      <c r="T86" s="93">
        <f t="shared" si="17"/>
        <v>0</v>
      </c>
      <c r="U86" s="93">
        <f t="shared" si="17"/>
        <v>0</v>
      </c>
      <c r="V86" s="93">
        <f t="shared" si="17"/>
        <v>0</v>
      </c>
      <c r="W86" s="93">
        <f t="shared" si="17"/>
        <v>0</v>
      </c>
      <c r="X86" s="93">
        <f t="shared" si="17"/>
        <v>0</v>
      </c>
      <c r="Y86" s="93">
        <f t="shared" si="17"/>
        <v>0</v>
      </c>
      <c r="Z86" s="93">
        <f t="shared" si="17"/>
        <v>0</v>
      </c>
      <c r="AA86" s="93">
        <f t="shared" si="17"/>
        <v>0</v>
      </c>
      <c r="AB86" s="93">
        <f t="shared" si="17"/>
        <v>0</v>
      </c>
      <c r="AC86" s="93">
        <f t="shared" si="17"/>
        <v>0</v>
      </c>
      <c r="AD86" s="93">
        <f t="shared" si="17"/>
        <v>0</v>
      </c>
      <c r="AE86" s="93">
        <f t="shared" si="17"/>
        <v>0</v>
      </c>
      <c r="AF86" s="93">
        <f t="shared" si="17"/>
        <v>0</v>
      </c>
      <c r="AG86" s="92"/>
      <c r="AH86" s="20">
        <f t="shared" si="9"/>
        <v>387.9</v>
      </c>
      <c r="AI86" s="19">
        <f t="shared" si="10"/>
        <v>0</v>
      </c>
    </row>
    <row r="87" spans="1:37" x14ac:dyDescent="0.25">
      <c r="A87" s="91" t="s">
        <v>152</v>
      </c>
      <c r="B87" s="93">
        <f t="shared" ref="B87:AF87" si="18">IF(B63&lt;0,B63*-1,0)</f>
        <v>0</v>
      </c>
      <c r="C87" s="93">
        <f t="shared" si="18"/>
        <v>0</v>
      </c>
      <c r="D87" s="93">
        <f t="shared" si="18"/>
        <v>0</v>
      </c>
      <c r="E87" s="93">
        <f t="shared" si="18"/>
        <v>0</v>
      </c>
      <c r="F87" s="93">
        <f t="shared" si="18"/>
        <v>0</v>
      </c>
      <c r="G87" s="93">
        <f t="shared" si="18"/>
        <v>0</v>
      </c>
      <c r="H87" s="93">
        <f t="shared" si="18"/>
        <v>0</v>
      </c>
      <c r="I87" s="93">
        <f t="shared" si="18"/>
        <v>0</v>
      </c>
      <c r="J87" s="93">
        <f t="shared" si="18"/>
        <v>0</v>
      </c>
      <c r="K87" s="93">
        <f t="shared" si="18"/>
        <v>0</v>
      </c>
      <c r="L87" s="93">
        <f t="shared" si="18"/>
        <v>0</v>
      </c>
      <c r="M87" s="93">
        <f t="shared" si="18"/>
        <v>0</v>
      </c>
      <c r="N87" s="93">
        <f t="shared" si="18"/>
        <v>0</v>
      </c>
      <c r="O87" s="93">
        <f t="shared" si="18"/>
        <v>0</v>
      </c>
      <c r="P87" s="93">
        <f t="shared" si="18"/>
        <v>0</v>
      </c>
      <c r="Q87" s="93">
        <f t="shared" si="18"/>
        <v>0</v>
      </c>
      <c r="R87" s="93">
        <f t="shared" si="18"/>
        <v>0</v>
      </c>
      <c r="S87" s="93">
        <f t="shared" si="18"/>
        <v>0</v>
      </c>
      <c r="T87" s="93">
        <f t="shared" si="18"/>
        <v>0</v>
      </c>
      <c r="U87" s="93">
        <f t="shared" si="18"/>
        <v>0</v>
      </c>
      <c r="V87" s="93">
        <f t="shared" si="18"/>
        <v>0</v>
      </c>
      <c r="W87" s="93">
        <f t="shared" si="18"/>
        <v>0</v>
      </c>
      <c r="X87" s="93">
        <f t="shared" si="18"/>
        <v>0</v>
      </c>
      <c r="Y87" s="93">
        <f t="shared" si="18"/>
        <v>0</v>
      </c>
      <c r="Z87" s="93">
        <f t="shared" si="18"/>
        <v>0</v>
      </c>
      <c r="AA87" s="93">
        <f t="shared" si="18"/>
        <v>0</v>
      </c>
      <c r="AB87" s="93">
        <f t="shared" si="18"/>
        <v>0</v>
      </c>
      <c r="AC87" s="93">
        <f t="shared" si="18"/>
        <v>0</v>
      </c>
      <c r="AD87" s="93">
        <f t="shared" si="18"/>
        <v>0</v>
      </c>
      <c r="AE87" s="93">
        <f t="shared" si="18"/>
        <v>0</v>
      </c>
      <c r="AF87" s="93">
        <f t="shared" si="18"/>
        <v>0</v>
      </c>
      <c r="AG87" s="92"/>
      <c r="AH87" s="20">
        <f t="shared" si="9"/>
        <v>0</v>
      </c>
      <c r="AI87" s="19">
        <f t="shared" si="10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9"/>
        <v>0</v>
      </c>
      <c r="AI88" s="19">
        <f t="shared" si="10"/>
        <v>0</v>
      </c>
    </row>
    <row r="89" spans="1:37" ht="15.75" thickBot="1" x14ac:dyDescent="0.3">
      <c r="A89" s="88" t="s">
        <v>150</v>
      </c>
      <c r="B89" s="86">
        <f t="shared" ref="B89:AF89" si="19">SUM(B83:B88)</f>
        <v>367</v>
      </c>
      <c r="C89" s="86">
        <f t="shared" si="19"/>
        <v>364</v>
      </c>
      <c r="D89" s="86">
        <f t="shared" si="19"/>
        <v>370</v>
      </c>
      <c r="E89" s="86">
        <f t="shared" si="19"/>
        <v>387.9</v>
      </c>
      <c r="F89" s="86">
        <f t="shared" si="19"/>
        <v>383</v>
      </c>
      <c r="G89" s="86">
        <f t="shared" si="19"/>
        <v>385.2</v>
      </c>
      <c r="H89" s="86">
        <f t="shared" si="19"/>
        <v>367</v>
      </c>
      <c r="I89" s="86">
        <f t="shared" si="19"/>
        <v>378.2</v>
      </c>
      <c r="J89" s="86">
        <f t="shared" si="19"/>
        <v>367</v>
      </c>
      <c r="K89" s="86">
        <f t="shared" si="19"/>
        <v>358</v>
      </c>
      <c r="L89" s="86">
        <f t="shared" si="19"/>
        <v>370</v>
      </c>
      <c r="M89" s="86">
        <f t="shared" si="19"/>
        <v>0</v>
      </c>
      <c r="N89" s="86">
        <f t="shared" si="19"/>
        <v>0</v>
      </c>
      <c r="O89" s="86">
        <f t="shared" si="19"/>
        <v>0</v>
      </c>
      <c r="P89" s="86">
        <f t="shared" si="19"/>
        <v>0</v>
      </c>
      <c r="Q89" s="86">
        <f t="shared" si="19"/>
        <v>0</v>
      </c>
      <c r="R89" s="86">
        <f t="shared" si="19"/>
        <v>0</v>
      </c>
      <c r="S89" s="86">
        <f t="shared" si="19"/>
        <v>0</v>
      </c>
      <c r="T89" s="86">
        <f t="shared" si="19"/>
        <v>0</v>
      </c>
      <c r="U89" s="86">
        <f t="shared" si="19"/>
        <v>0</v>
      </c>
      <c r="V89" s="86">
        <f t="shared" si="19"/>
        <v>0</v>
      </c>
      <c r="W89" s="86">
        <f t="shared" si="19"/>
        <v>0</v>
      </c>
      <c r="X89" s="86">
        <f t="shared" si="19"/>
        <v>0</v>
      </c>
      <c r="Y89" s="86">
        <f t="shared" si="19"/>
        <v>0</v>
      </c>
      <c r="Z89" s="86">
        <f t="shared" si="19"/>
        <v>0</v>
      </c>
      <c r="AA89" s="86">
        <f t="shared" si="19"/>
        <v>0</v>
      </c>
      <c r="AB89" s="86">
        <f t="shared" si="19"/>
        <v>0</v>
      </c>
      <c r="AC89" s="86">
        <f t="shared" si="19"/>
        <v>0</v>
      </c>
      <c r="AD89" s="86">
        <f t="shared" si="19"/>
        <v>0</v>
      </c>
      <c r="AE89" s="86">
        <f t="shared" si="19"/>
        <v>0</v>
      </c>
      <c r="AF89" s="86">
        <f t="shared" si="19"/>
        <v>0</v>
      </c>
      <c r="AG89" s="85"/>
      <c r="AH89" s="20">
        <f t="shared" si="9"/>
        <v>387.9</v>
      </c>
      <c r="AI89" s="19">
        <f t="shared" si="10"/>
        <v>0</v>
      </c>
      <c r="AK89" s="41"/>
    </row>
    <row r="90" spans="1:37" ht="15.75" thickBot="1" x14ac:dyDescent="0.3">
      <c r="A90" s="87" t="s">
        <v>149</v>
      </c>
      <c r="B90" s="86">
        <f t="shared" ref="B90:AF90" si="20">B74-B89</f>
        <v>-367</v>
      </c>
      <c r="C90" s="86">
        <f t="shared" si="20"/>
        <v>-364</v>
      </c>
      <c r="D90" s="86">
        <f t="shared" si="20"/>
        <v>-370</v>
      </c>
      <c r="E90" s="86">
        <f t="shared" si="20"/>
        <v>-387.9</v>
      </c>
      <c r="F90" s="86">
        <f t="shared" si="20"/>
        <v>-383</v>
      </c>
      <c r="G90" s="86">
        <f t="shared" si="20"/>
        <v>-385.2</v>
      </c>
      <c r="H90" s="86">
        <f t="shared" si="20"/>
        <v>-367</v>
      </c>
      <c r="I90" s="86">
        <f t="shared" si="20"/>
        <v>-378.2</v>
      </c>
      <c r="J90" s="86">
        <f t="shared" si="20"/>
        <v>-367</v>
      </c>
      <c r="K90" s="86">
        <f t="shared" si="20"/>
        <v>-358</v>
      </c>
      <c r="L90" s="86">
        <f t="shared" si="20"/>
        <v>-370</v>
      </c>
      <c r="M90" s="86">
        <f t="shared" si="20"/>
        <v>0</v>
      </c>
      <c r="N90" s="86">
        <f t="shared" si="20"/>
        <v>0</v>
      </c>
      <c r="O90" s="86">
        <f t="shared" si="20"/>
        <v>0</v>
      </c>
      <c r="P90" s="86">
        <f t="shared" si="20"/>
        <v>0</v>
      </c>
      <c r="Q90" s="86">
        <f t="shared" si="20"/>
        <v>0</v>
      </c>
      <c r="R90" s="86">
        <f t="shared" si="20"/>
        <v>0</v>
      </c>
      <c r="S90" s="86">
        <f t="shared" si="20"/>
        <v>0</v>
      </c>
      <c r="T90" s="86">
        <f t="shared" si="20"/>
        <v>0</v>
      </c>
      <c r="U90" s="86">
        <f t="shared" si="20"/>
        <v>0</v>
      </c>
      <c r="V90" s="86">
        <f t="shared" si="20"/>
        <v>0</v>
      </c>
      <c r="W90" s="86">
        <f t="shared" si="20"/>
        <v>0</v>
      </c>
      <c r="X90" s="86">
        <f t="shared" si="20"/>
        <v>0</v>
      </c>
      <c r="Y90" s="86">
        <f t="shared" si="20"/>
        <v>0</v>
      </c>
      <c r="Z90" s="86">
        <f t="shared" si="20"/>
        <v>0</v>
      </c>
      <c r="AA90" s="86">
        <f t="shared" si="20"/>
        <v>0</v>
      </c>
      <c r="AB90" s="86">
        <f t="shared" si="20"/>
        <v>0</v>
      </c>
      <c r="AC90" s="86">
        <f t="shared" si="20"/>
        <v>0</v>
      </c>
      <c r="AD90" s="86">
        <f t="shared" si="20"/>
        <v>0</v>
      </c>
      <c r="AE90" s="86">
        <f t="shared" si="20"/>
        <v>0</v>
      </c>
      <c r="AF90" s="86">
        <f t="shared" si="20"/>
        <v>0</v>
      </c>
      <c r="AG90" s="85"/>
      <c r="AH90" s="20">
        <f t="shared" si="9"/>
        <v>0</v>
      </c>
      <c r="AI90" s="19">
        <f t="shared" si="10"/>
        <v>-387.9</v>
      </c>
    </row>
    <row r="91" spans="1:37" x14ac:dyDescent="0.25">
      <c r="A91" s="47" t="s">
        <v>148</v>
      </c>
      <c r="B91" s="84">
        <v>50.01</v>
      </c>
      <c r="C91" s="84">
        <v>50.03</v>
      </c>
      <c r="D91" s="84">
        <v>49.95</v>
      </c>
      <c r="E91" s="84">
        <v>49.987000000000002</v>
      </c>
      <c r="F91" s="84">
        <v>50.002000000000002</v>
      </c>
      <c r="G91" s="84">
        <v>50.027000000000001</v>
      </c>
      <c r="H91" s="84">
        <v>50.01</v>
      </c>
      <c r="I91" s="84">
        <v>50.024000000000001</v>
      </c>
      <c r="J91" s="84">
        <v>50.015000000000001</v>
      </c>
      <c r="K91" s="84">
        <v>50.027000000000001</v>
      </c>
      <c r="L91" s="84">
        <v>49.988999999999997</v>
      </c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3"/>
      <c r="AH91" s="20">
        <f t="shared" si="9"/>
        <v>50.03</v>
      </c>
      <c r="AI91" s="19">
        <f t="shared" si="10"/>
        <v>49.95</v>
      </c>
    </row>
    <row r="92" spans="1:37" x14ac:dyDescent="0.25">
      <c r="A92" s="44" t="s">
        <v>147</v>
      </c>
      <c r="B92" s="80">
        <v>126</v>
      </c>
      <c r="C92" s="80">
        <v>127</v>
      </c>
      <c r="D92" s="80">
        <v>127</v>
      </c>
      <c r="E92" s="80">
        <v>126.6</v>
      </c>
      <c r="F92" s="80">
        <v>126.6</v>
      </c>
      <c r="G92" s="80">
        <v>127</v>
      </c>
      <c r="H92" s="80">
        <v>126</v>
      </c>
      <c r="I92" s="80">
        <v>125.5</v>
      </c>
      <c r="J92" s="80">
        <v>124.2</v>
      </c>
      <c r="K92" s="80">
        <v>123.1</v>
      </c>
      <c r="L92" s="80">
        <v>122</v>
      </c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79"/>
      <c r="AH92" s="20">
        <f t="shared" si="9"/>
        <v>127</v>
      </c>
      <c r="AI92" s="19">
        <f t="shared" si="10"/>
        <v>122</v>
      </c>
    </row>
    <row r="93" spans="1:37" x14ac:dyDescent="0.25">
      <c r="A93" s="44" t="s">
        <v>146</v>
      </c>
      <c r="B93" s="80">
        <v>130.6</v>
      </c>
      <c r="C93" s="80">
        <v>132</v>
      </c>
      <c r="D93" s="80">
        <v>131</v>
      </c>
      <c r="E93" s="80">
        <v>131.19999999999999</v>
      </c>
      <c r="F93" s="80">
        <v>131.19999999999999</v>
      </c>
      <c r="G93" s="80">
        <v>131.9</v>
      </c>
      <c r="H93" s="80">
        <v>130</v>
      </c>
      <c r="I93" s="80">
        <v>129.69999999999999</v>
      </c>
      <c r="J93" s="80">
        <v>128</v>
      </c>
      <c r="K93" s="80">
        <v>127.2</v>
      </c>
      <c r="L93" s="80">
        <v>125.8</v>
      </c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79"/>
      <c r="AH93" s="20">
        <f t="shared" si="9"/>
        <v>132</v>
      </c>
      <c r="AI93" s="19">
        <f t="shared" si="10"/>
        <v>125.8</v>
      </c>
    </row>
    <row r="94" spans="1:37" x14ac:dyDescent="0.25">
      <c r="A94" s="44" t="s">
        <v>145</v>
      </c>
      <c r="B94" s="80">
        <v>130</v>
      </c>
      <c r="C94" s="80">
        <v>133</v>
      </c>
      <c r="D94" s="80">
        <v>131</v>
      </c>
      <c r="E94" s="80">
        <v>131.1</v>
      </c>
      <c r="F94" s="80">
        <v>131.1</v>
      </c>
      <c r="G94" s="80">
        <v>129.5</v>
      </c>
      <c r="H94" s="80">
        <v>129.5</v>
      </c>
      <c r="I94" s="80">
        <v>128.80000000000001</v>
      </c>
      <c r="J94" s="80">
        <v>127.7</v>
      </c>
      <c r="K94" s="80">
        <v>129.4</v>
      </c>
      <c r="L94" s="80">
        <v>128.5</v>
      </c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79"/>
      <c r="AH94" s="20">
        <f t="shared" si="9"/>
        <v>133</v>
      </c>
      <c r="AI94" s="19">
        <f t="shared" si="10"/>
        <v>127.7</v>
      </c>
    </row>
    <row r="95" spans="1:37" x14ac:dyDescent="0.25">
      <c r="A95" s="82" t="s">
        <v>144</v>
      </c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79"/>
      <c r="AH95" s="20">
        <f t="shared" si="9"/>
        <v>0</v>
      </c>
      <c r="AI95" s="19">
        <f t="shared" si="10"/>
        <v>0</v>
      </c>
    </row>
    <row r="96" spans="1:37" x14ac:dyDescent="0.25">
      <c r="A96" s="82" t="s">
        <v>143</v>
      </c>
      <c r="B96" s="66">
        <v>130.4</v>
      </c>
      <c r="C96" s="66">
        <v>134</v>
      </c>
      <c r="D96" s="66">
        <v>131</v>
      </c>
      <c r="E96" s="66">
        <v>130.69999999999999</v>
      </c>
      <c r="F96" s="66">
        <v>130.69999999999999</v>
      </c>
      <c r="G96" s="66">
        <v>132.69999999999999</v>
      </c>
      <c r="H96" s="66">
        <v>132.69999999999999</v>
      </c>
      <c r="I96" s="66">
        <v>133.4</v>
      </c>
      <c r="J96" s="66">
        <v>131.6</v>
      </c>
      <c r="K96" s="66">
        <v>130.4</v>
      </c>
      <c r="L96" s="66">
        <v>129.19999999999999</v>
      </c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81"/>
      <c r="AH96" s="20">
        <f t="shared" si="9"/>
        <v>134</v>
      </c>
      <c r="AI96" s="19">
        <f t="shared" si="10"/>
        <v>129.19999999999999</v>
      </c>
    </row>
    <row r="97" spans="1:37" x14ac:dyDescent="0.25">
      <c r="A97" s="44" t="s">
        <v>142</v>
      </c>
      <c r="B97" s="80">
        <v>128</v>
      </c>
      <c r="C97" s="80">
        <v>133</v>
      </c>
      <c r="D97" s="80">
        <v>129</v>
      </c>
      <c r="E97" s="80">
        <v>127.6</v>
      </c>
      <c r="F97" s="80">
        <v>127.6</v>
      </c>
      <c r="G97" s="80">
        <v>128.9</v>
      </c>
      <c r="H97" s="80">
        <v>128.9</v>
      </c>
      <c r="I97" s="80">
        <v>129.1</v>
      </c>
      <c r="J97" s="80">
        <v>127.6</v>
      </c>
      <c r="K97" s="80">
        <v>125.6</v>
      </c>
      <c r="L97" s="80">
        <v>126.1</v>
      </c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79"/>
      <c r="AH97" s="20">
        <f t="shared" si="9"/>
        <v>133</v>
      </c>
      <c r="AI97" s="19">
        <f t="shared" si="10"/>
        <v>125.6</v>
      </c>
    </row>
    <row r="98" spans="1:37" ht="15.75" thickBot="1" x14ac:dyDescent="0.3">
      <c r="A98" s="44" t="s">
        <v>141</v>
      </c>
      <c r="B98" s="77">
        <v>66.099999999999994</v>
      </c>
      <c r="C98" s="77">
        <v>66.7</v>
      </c>
      <c r="D98" s="77">
        <v>66.599999999999994</v>
      </c>
      <c r="E98" s="77">
        <v>66.3</v>
      </c>
      <c r="F98" s="77">
        <v>66.3</v>
      </c>
      <c r="G98" s="77">
        <v>66.5</v>
      </c>
      <c r="H98" s="77">
        <v>66.5</v>
      </c>
      <c r="I98" s="77">
        <v>65.3</v>
      </c>
      <c r="J98" s="77">
        <v>64.3</v>
      </c>
      <c r="K98" s="77">
        <v>64.2</v>
      </c>
      <c r="L98" s="77">
        <v>63.4</v>
      </c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6"/>
      <c r="AH98" s="20">
        <f t="shared" si="9"/>
        <v>66.7</v>
      </c>
      <c r="AI98" s="19">
        <f t="shared" si="10"/>
        <v>63.4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9"/>
        <v>0</v>
      </c>
      <c r="AI99" s="19">
        <f t="shared" si="10"/>
        <v>0</v>
      </c>
    </row>
    <row r="100" spans="1:37" ht="15.75" thickBot="1" x14ac:dyDescent="0.3">
      <c r="A100" s="75" t="s">
        <v>140</v>
      </c>
      <c r="B100" s="74">
        <f t="shared" ref="B100:AF100" si="21">SUM(B15,B20,B22:B23,B48,B50:B51,B53,B55,B101:B105,B127,B133,B139,B148,B150,B162,B169,B172:B173,B180,B182,B184,B188:B190,B192:B194,B199,B205:B206,B208:B210,B218,B223)</f>
        <v>40.78</v>
      </c>
      <c r="C100" s="74">
        <f t="shared" si="21"/>
        <v>39.72</v>
      </c>
      <c r="D100" s="74">
        <f t="shared" si="21"/>
        <v>31.819999999999997</v>
      </c>
      <c r="E100" s="74">
        <f t="shared" si="21"/>
        <v>34.439999999999976</v>
      </c>
      <c r="F100" s="74">
        <f t="shared" si="21"/>
        <v>34.439999999999976</v>
      </c>
      <c r="G100" s="74">
        <f t="shared" si="21"/>
        <v>50.739999999999988</v>
      </c>
      <c r="H100" s="74">
        <f t="shared" si="21"/>
        <v>50.739999999999988</v>
      </c>
      <c r="I100" s="74">
        <f t="shared" si="21"/>
        <v>89.94</v>
      </c>
      <c r="J100" s="74">
        <f t="shared" si="21"/>
        <v>154.24</v>
      </c>
      <c r="K100" s="74">
        <f t="shared" si="21"/>
        <v>193.64</v>
      </c>
      <c r="L100" s="74">
        <f t="shared" si="21"/>
        <v>197.73999999999998</v>
      </c>
      <c r="M100" s="74">
        <f t="shared" si="21"/>
        <v>0.94</v>
      </c>
      <c r="N100" s="74">
        <f t="shared" si="21"/>
        <v>0.94</v>
      </c>
      <c r="O100" s="74">
        <f t="shared" si="21"/>
        <v>0.94</v>
      </c>
      <c r="P100" s="74">
        <f t="shared" si="21"/>
        <v>0.94</v>
      </c>
      <c r="Q100" s="74">
        <f t="shared" si="21"/>
        <v>0</v>
      </c>
      <c r="R100" s="74">
        <f t="shared" si="21"/>
        <v>0</v>
      </c>
      <c r="S100" s="74">
        <f t="shared" si="21"/>
        <v>0</v>
      </c>
      <c r="T100" s="74">
        <f t="shared" si="21"/>
        <v>0</v>
      </c>
      <c r="U100" s="74">
        <f t="shared" si="21"/>
        <v>0</v>
      </c>
      <c r="V100" s="74">
        <f t="shared" si="21"/>
        <v>0</v>
      </c>
      <c r="W100" s="74">
        <f t="shared" si="21"/>
        <v>0</v>
      </c>
      <c r="X100" s="74">
        <f t="shared" si="21"/>
        <v>0</v>
      </c>
      <c r="Y100" s="74">
        <f t="shared" si="21"/>
        <v>0</v>
      </c>
      <c r="Z100" s="74">
        <f t="shared" si="21"/>
        <v>0</v>
      </c>
      <c r="AA100" s="74">
        <f t="shared" si="21"/>
        <v>0</v>
      </c>
      <c r="AB100" s="74">
        <f t="shared" si="21"/>
        <v>0</v>
      </c>
      <c r="AC100" s="74">
        <f t="shared" si="21"/>
        <v>0</v>
      </c>
      <c r="AD100" s="74">
        <f t="shared" si="21"/>
        <v>0</v>
      </c>
      <c r="AE100" s="74">
        <f t="shared" si="21"/>
        <v>0</v>
      </c>
      <c r="AF100" s="74">
        <f t="shared" si="21"/>
        <v>0</v>
      </c>
      <c r="AG100" s="73"/>
      <c r="AH100" s="20">
        <f t="shared" si="9"/>
        <v>197.73999999999998</v>
      </c>
      <c r="AI100" s="19">
        <f t="shared" si="10"/>
        <v>0</v>
      </c>
    </row>
    <row r="101" spans="1:37" x14ac:dyDescent="0.25">
      <c r="A101" s="47" t="s">
        <v>139</v>
      </c>
      <c r="B101" s="72">
        <v>14</v>
      </c>
      <c r="C101" s="72">
        <v>13.5</v>
      </c>
      <c r="D101" s="72">
        <v>13</v>
      </c>
      <c r="E101" s="72">
        <v>12.7</v>
      </c>
      <c r="F101" s="72">
        <v>12.7</v>
      </c>
      <c r="G101" s="72">
        <v>10</v>
      </c>
      <c r="H101" s="72">
        <v>10</v>
      </c>
      <c r="I101" s="72">
        <v>17</v>
      </c>
      <c r="J101" s="72">
        <v>26.1</v>
      </c>
      <c r="K101" s="72">
        <v>29.7</v>
      </c>
      <c r="L101" s="72">
        <v>28.1</v>
      </c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0">
        <v>75</v>
      </c>
      <c r="AH101" s="20">
        <f t="shared" si="9"/>
        <v>29.7</v>
      </c>
      <c r="AI101" s="19">
        <f t="shared" si="10"/>
        <v>10</v>
      </c>
    </row>
    <row r="102" spans="1:37" x14ac:dyDescent="0.25">
      <c r="A102" s="44" t="s">
        <v>138</v>
      </c>
      <c r="B102" s="71">
        <v>33</v>
      </c>
      <c r="C102" s="71">
        <v>32</v>
      </c>
      <c r="D102" s="71">
        <v>32</v>
      </c>
      <c r="E102" s="71">
        <v>31.2</v>
      </c>
      <c r="F102" s="71">
        <v>31.2</v>
      </c>
      <c r="G102" s="71">
        <v>27.7</v>
      </c>
      <c r="H102" s="71">
        <v>27.7</v>
      </c>
      <c r="I102" s="71">
        <v>36.5</v>
      </c>
      <c r="J102" s="71">
        <v>49.2</v>
      </c>
      <c r="K102" s="71">
        <v>57.6</v>
      </c>
      <c r="L102" s="71">
        <v>51.5</v>
      </c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0">
        <v>240</v>
      </c>
      <c r="AH102" s="20">
        <f t="shared" si="9"/>
        <v>57.6</v>
      </c>
      <c r="AI102" s="19">
        <f t="shared" si="10"/>
        <v>27.7</v>
      </c>
    </row>
    <row r="103" spans="1:37" x14ac:dyDescent="0.25">
      <c r="A103" s="44" t="s">
        <v>137</v>
      </c>
      <c r="B103" s="71">
        <v>-128</v>
      </c>
      <c r="C103" s="71">
        <v>-132</v>
      </c>
      <c r="D103" s="71">
        <v>-130</v>
      </c>
      <c r="E103" s="71">
        <v>-128</v>
      </c>
      <c r="F103" s="71">
        <v>-128</v>
      </c>
      <c r="G103" s="71">
        <v>-108</v>
      </c>
      <c r="H103" s="71">
        <v>-108</v>
      </c>
      <c r="I103" s="71">
        <v>-107</v>
      </c>
      <c r="J103" s="71">
        <v>-79</v>
      </c>
      <c r="K103" s="71">
        <v>-75</v>
      </c>
      <c r="L103" s="71">
        <v>-65</v>
      </c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0">
        <v>240</v>
      </c>
      <c r="AH103" s="20">
        <f t="shared" si="9"/>
        <v>-65</v>
      </c>
      <c r="AI103" s="19">
        <f t="shared" si="10"/>
        <v>-132</v>
      </c>
    </row>
    <row r="104" spans="1:37" x14ac:dyDescent="0.25">
      <c r="A104" s="44" t="s">
        <v>136</v>
      </c>
      <c r="B104" s="71">
        <v>-12</v>
      </c>
      <c r="C104" s="71">
        <v>1</v>
      </c>
      <c r="D104" s="71">
        <v>2</v>
      </c>
      <c r="E104" s="71">
        <v>1.6</v>
      </c>
      <c r="F104" s="71">
        <v>1.6</v>
      </c>
      <c r="G104" s="71">
        <v>4.0999999999999996</v>
      </c>
      <c r="H104" s="71">
        <v>4.0999999999999996</v>
      </c>
      <c r="I104" s="71">
        <v>7.5</v>
      </c>
      <c r="J104" s="71">
        <v>12</v>
      </c>
      <c r="K104" s="71">
        <v>14.4</v>
      </c>
      <c r="L104" s="71">
        <v>16.2</v>
      </c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0">
        <v>60</v>
      </c>
      <c r="AH104" s="20">
        <f t="shared" si="9"/>
        <v>16.2</v>
      </c>
      <c r="AI104" s="19">
        <f t="shared" si="10"/>
        <v>-12</v>
      </c>
    </row>
    <row r="105" spans="1:37" x14ac:dyDescent="0.25">
      <c r="A105" s="40" t="s">
        <v>135</v>
      </c>
      <c r="B105" s="68">
        <v>0</v>
      </c>
      <c r="C105" s="68">
        <v>0</v>
      </c>
      <c r="D105" s="68">
        <v>0</v>
      </c>
      <c r="E105" s="68">
        <v>0</v>
      </c>
      <c r="F105" s="68">
        <v>0</v>
      </c>
      <c r="G105" s="68">
        <v>0</v>
      </c>
      <c r="H105" s="68">
        <v>0</v>
      </c>
      <c r="I105" s="68">
        <v>0</v>
      </c>
      <c r="J105" s="68">
        <v>0</v>
      </c>
      <c r="K105" s="68">
        <v>0</v>
      </c>
      <c r="L105" s="68">
        <v>0</v>
      </c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9">
        <v>120</v>
      </c>
      <c r="AH105" s="20">
        <f t="shared" si="9"/>
        <v>0</v>
      </c>
      <c r="AI105" s="19">
        <f t="shared" si="10"/>
        <v>0</v>
      </c>
    </row>
    <row r="106" spans="1:37" x14ac:dyDescent="0.25">
      <c r="A106" s="40" t="s">
        <v>134</v>
      </c>
      <c r="B106" s="68">
        <v>18</v>
      </c>
      <c r="C106" s="68">
        <v>14</v>
      </c>
      <c r="D106" s="68">
        <v>9</v>
      </c>
      <c r="E106" s="68">
        <v>13</v>
      </c>
      <c r="F106" s="68">
        <v>13</v>
      </c>
      <c r="G106" s="68">
        <v>19.3</v>
      </c>
      <c r="H106" s="68">
        <v>19.3</v>
      </c>
      <c r="I106" s="68">
        <v>24.2</v>
      </c>
      <c r="J106" s="68">
        <v>45.2</v>
      </c>
      <c r="K106" s="68">
        <v>41.4</v>
      </c>
      <c r="L106" s="68">
        <v>63.3</v>
      </c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9"/>
      <c r="AH106" s="20">
        <f t="shared" si="9"/>
        <v>63.3</v>
      </c>
      <c r="AI106" s="19">
        <f t="shared" si="10"/>
        <v>9</v>
      </c>
    </row>
    <row r="107" spans="1:37" x14ac:dyDescent="0.25">
      <c r="A107" s="40" t="s">
        <v>133</v>
      </c>
      <c r="B107" s="68">
        <v>42</v>
      </c>
      <c r="C107" s="68">
        <v>30</v>
      </c>
      <c r="D107" s="68">
        <v>38</v>
      </c>
      <c r="E107" s="68">
        <v>35.9</v>
      </c>
      <c r="F107" s="68">
        <v>35.9</v>
      </c>
      <c r="G107" s="68">
        <v>45.5</v>
      </c>
      <c r="H107" s="68">
        <v>45.5</v>
      </c>
      <c r="I107" s="68">
        <v>38.799999999999997</v>
      </c>
      <c r="J107" s="68">
        <v>36.6</v>
      </c>
      <c r="K107" s="68">
        <v>40.700000000000003</v>
      </c>
      <c r="L107" s="68">
        <v>37.799999999999997</v>
      </c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48"/>
      <c r="AH107" s="20">
        <f t="shared" si="9"/>
        <v>45.5</v>
      </c>
      <c r="AI107" s="19">
        <f t="shared" si="10"/>
        <v>30</v>
      </c>
    </row>
    <row r="108" spans="1:37" x14ac:dyDescent="0.25">
      <c r="A108" s="67" t="s">
        <v>132</v>
      </c>
      <c r="B108" s="66">
        <v>113</v>
      </c>
      <c r="C108" s="66">
        <v>113</v>
      </c>
      <c r="D108" s="66">
        <v>116</v>
      </c>
      <c r="E108" s="66">
        <v>117.8</v>
      </c>
      <c r="F108" s="66">
        <v>117.8</v>
      </c>
      <c r="G108" s="66">
        <v>118.2</v>
      </c>
      <c r="H108" s="66">
        <v>118.2</v>
      </c>
      <c r="I108" s="66">
        <v>113.1</v>
      </c>
      <c r="J108" s="66">
        <v>113.9</v>
      </c>
      <c r="K108" s="66">
        <v>112.5</v>
      </c>
      <c r="L108" s="66">
        <v>51.5</v>
      </c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48"/>
      <c r="AH108" s="20">
        <f t="shared" si="9"/>
        <v>118.2</v>
      </c>
      <c r="AI108" s="19">
        <f t="shared" si="10"/>
        <v>51.5</v>
      </c>
    </row>
    <row r="109" spans="1:37" ht="15.75" thickBot="1" x14ac:dyDescent="0.3">
      <c r="A109" s="67" t="s">
        <v>131</v>
      </c>
      <c r="B109" s="66">
        <v>85</v>
      </c>
      <c r="C109" s="66">
        <v>96</v>
      </c>
      <c r="D109" s="66">
        <v>94</v>
      </c>
      <c r="E109" s="66">
        <v>90.3</v>
      </c>
      <c r="F109" s="66">
        <v>90.3</v>
      </c>
      <c r="G109" s="66">
        <v>71.8</v>
      </c>
      <c r="H109" s="66">
        <v>71.8</v>
      </c>
      <c r="I109" s="66">
        <v>78.3</v>
      </c>
      <c r="J109" s="66">
        <v>61.3</v>
      </c>
      <c r="K109" s="66">
        <v>49.6</v>
      </c>
      <c r="L109" s="66">
        <v>50.6</v>
      </c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48"/>
      <c r="AH109" s="20">
        <f t="shared" si="9"/>
        <v>96</v>
      </c>
      <c r="AI109" s="19">
        <f t="shared" si="10"/>
        <v>49.6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2">SUM(B111:B215)</f>
        <v>0</v>
      </c>
      <c r="C216" s="36">
        <f t="shared" si="22"/>
        <v>0</v>
      </c>
      <c r="D216" s="36">
        <f t="shared" si="22"/>
        <v>0</v>
      </c>
      <c r="E216" s="36">
        <f t="shared" si="22"/>
        <v>0</v>
      </c>
      <c r="F216" s="36">
        <f t="shared" si="22"/>
        <v>0</v>
      </c>
      <c r="G216" s="36">
        <f t="shared" si="22"/>
        <v>0</v>
      </c>
      <c r="H216" s="36">
        <f t="shared" si="22"/>
        <v>0</v>
      </c>
      <c r="I216" s="36">
        <f t="shared" si="22"/>
        <v>0</v>
      </c>
      <c r="J216" s="36">
        <f t="shared" si="22"/>
        <v>0</v>
      </c>
      <c r="K216" s="36">
        <f t="shared" si="22"/>
        <v>0</v>
      </c>
      <c r="L216" s="36">
        <f t="shared" si="22"/>
        <v>0</v>
      </c>
      <c r="M216" s="36">
        <f t="shared" si="22"/>
        <v>0</v>
      </c>
      <c r="N216" s="36">
        <f t="shared" si="22"/>
        <v>0</v>
      </c>
      <c r="O216" s="36">
        <f t="shared" si="22"/>
        <v>0</v>
      </c>
      <c r="P216" s="36">
        <f t="shared" si="22"/>
        <v>0</v>
      </c>
      <c r="Q216" s="36">
        <f t="shared" si="22"/>
        <v>0</v>
      </c>
      <c r="R216" s="36">
        <f t="shared" si="22"/>
        <v>0</v>
      </c>
      <c r="S216" s="36">
        <f t="shared" si="22"/>
        <v>0</v>
      </c>
      <c r="T216" s="36">
        <f t="shared" si="22"/>
        <v>0</v>
      </c>
      <c r="U216" s="36">
        <f t="shared" si="22"/>
        <v>0</v>
      </c>
      <c r="V216" s="36">
        <f t="shared" si="22"/>
        <v>0</v>
      </c>
      <c r="W216" s="36">
        <f t="shared" si="22"/>
        <v>0</v>
      </c>
      <c r="X216" s="36">
        <f t="shared" si="22"/>
        <v>0</v>
      </c>
      <c r="Y216" s="36">
        <f t="shared" si="22"/>
        <v>0</v>
      </c>
      <c r="Z216" s="36">
        <f t="shared" si="22"/>
        <v>0</v>
      </c>
      <c r="AA216" s="36">
        <f t="shared" si="22"/>
        <v>0</v>
      </c>
      <c r="AB216" s="36">
        <f t="shared" si="22"/>
        <v>0</v>
      </c>
      <c r="AC216" s="36">
        <f t="shared" si="22"/>
        <v>0</v>
      </c>
      <c r="AD216" s="36">
        <f t="shared" si="22"/>
        <v>0</v>
      </c>
      <c r="AE216" s="36">
        <f t="shared" si="22"/>
        <v>0</v>
      </c>
      <c r="AF216" s="51">
        <f t="shared" si="22"/>
        <v>0</v>
      </c>
      <c r="AG216" s="50">
        <f t="shared" si="22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3">AF218</f>
        <v>0</v>
      </c>
      <c r="C218" s="46">
        <v>0.3</v>
      </c>
      <c r="D218" s="46">
        <f t="shared" ref="D218:P223" si="24">C218</f>
        <v>0.3</v>
      </c>
      <c r="E218" s="46">
        <f t="shared" si="24"/>
        <v>0.3</v>
      </c>
      <c r="F218" s="46">
        <f t="shared" si="24"/>
        <v>0.3</v>
      </c>
      <c r="G218" s="46">
        <f t="shared" si="24"/>
        <v>0.3</v>
      </c>
      <c r="H218" s="46">
        <f t="shared" si="24"/>
        <v>0.3</v>
      </c>
      <c r="I218" s="46">
        <f t="shared" si="24"/>
        <v>0.3</v>
      </c>
      <c r="J218" s="46">
        <f t="shared" si="24"/>
        <v>0.3</v>
      </c>
      <c r="K218" s="46">
        <f t="shared" si="24"/>
        <v>0.3</v>
      </c>
      <c r="L218" s="46">
        <f t="shared" si="24"/>
        <v>0.3</v>
      </c>
      <c r="M218" s="46">
        <f t="shared" si="24"/>
        <v>0.3</v>
      </c>
      <c r="N218" s="46">
        <f t="shared" si="24"/>
        <v>0.3</v>
      </c>
      <c r="O218" s="46">
        <f t="shared" si="24"/>
        <v>0.3</v>
      </c>
      <c r="P218" s="46">
        <f t="shared" si="24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3"/>
        <v>0</v>
      </c>
      <c r="C219" s="43">
        <v>0.4</v>
      </c>
      <c r="D219" s="43">
        <f t="shared" si="24"/>
        <v>0.4</v>
      </c>
      <c r="E219" s="43">
        <f t="shared" si="24"/>
        <v>0.4</v>
      </c>
      <c r="F219" s="43">
        <f t="shared" si="24"/>
        <v>0.4</v>
      </c>
      <c r="G219" s="43">
        <f t="shared" si="24"/>
        <v>0.4</v>
      </c>
      <c r="H219" s="43">
        <f t="shared" si="24"/>
        <v>0.4</v>
      </c>
      <c r="I219" s="43">
        <f t="shared" si="24"/>
        <v>0.4</v>
      </c>
      <c r="J219" s="43">
        <f t="shared" si="24"/>
        <v>0.4</v>
      </c>
      <c r="K219" s="43">
        <f t="shared" si="24"/>
        <v>0.4</v>
      </c>
      <c r="L219" s="43">
        <f t="shared" si="24"/>
        <v>0.4</v>
      </c>
      <c r="M219" s="43">
        <f t="shared" si="24"/>
        <v>0.4</v>
      </c>
      <c r="N219" s="43">
        <f t="shared" si="24"/>
        <v>0.4</v>
      </c>
      <c r="O219" s="43">
        <f t="shared" si="24"/>
        <v>0.4</v>
      </c>
      <c r="P219" s="43">
        <f t="shared" si="24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3"/>
        <v>0</v>
      </c>
      <c r="C220" s="43">
        <v>1.5</v>
      </c>
      <c r="D220" s="43">
        <f t="shared" si="24"/>
        <v>1.5</v>
      </c>
      <c r="E220" s="43">
        <f t="shared" si="24"/>
        <v>1.5</v>
      </c>
      <c r="F220" s="43">
        <f t="shared" si="24"/>
        <v>1.5</v>
      </c>
      <c r="G220" s="43">
        <f t="shared" si="24"/>
        <v>1.5</v>
      </c>
      <c r="H220" s="43">
        <f t="shared" si="24"/>
        <v>1.5</v>
      </c>
      <c r="I220" s="43">
        <f t="shared" si="24"/>
        <v>1.5</v>
      </c>
      <c r="J220" s="43">
        <f t="shared" si="24"/>
        <v>1.5</v>
      </c>
      <c r="K220" s="43">
        <f t="shared" si="24"/>
        <v>1.5</v>
      </c>
      <c r="L220" s="43">
        <f t="shared" si="24"/>
        <v>1.5</v>
      </c>
      <c r="M220" s="43">
        <f t="shared" si="24"/>
        <v>1.5</v>
      </c>
      <c r="N220" s="43">
        <f t="shared" si="24"/>
        <v>1.5</v>
      </c>
      <c r="O220" s="43">
        <f t="shared" si="24"/>
        <v>1.5</v>
      </c>
      <c r="P220" s="43">
        <f t="shared" si="24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3"/>
        <v>0</v>
      </c>
      <c r="C221" s="43">
        <v>0.3</v>
      </c>
      <c r="D221" s="43">
        <f t="shared" si="24"/>
        <v>0.3</v>
      </c>
      <c r="E221" s="43">
        <f t="shared" si="24"/>
        <v>0.3</v>
      </c>
      <c r="F221" s="43">
        <f t="shared" si="24"/>
        <v>0.3</v>
      </c>
      <c r="G221" s="43">
        <f t="shared" si="24"/>
        <v>0.3</v>
      </c>
      <c r="H221" s="43">
        <f t="shared" si="24"/>
        <v>0.3</v>
      </c>
      <c r="I221" s="43">
        <f t="shared" si="24"/>
        <v>0.3</v>
      </c>
      <c r="J221" s="43">
        <f t="shared" si="24"/>
        <v>0.3</v>
      </c>
      <c r="K221" s="43">
        <f t="shared" si="24"/>
        <v>0.3</v>
      </c>
      <c r="L221" s="43">
        <f t="shared" si="24"/>
        <v>0.3</v>
      </c>
      <c r="M221" s="43">
        <f t="shared" si="24"/>
        <v>0.3</v>
      </c>
      <c r="N221" s="43">
        <f t="shared" si="24"/>
        <v>0.3</v>
      </c>
      <c r="O221" s="43">
        <f t="shared" si="24"/>
        <v>0.3</v>
      </c>
      <c r="P221" s="43">
        <f t="shared" si="24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3"/>
        <v>0</v>
      </c>
      <c r="C222" s="43">
        <v>0.4</v>
      </c>
      <c r="D222" s="43">
        <f t="shared" si="24"/>
        <v>0.4</v>
      </c>
      <c r="E222" s="43">
        <f t="shared" si="24"/>
        <v>0.4</v>
      </c>
      <c r="F222" s="43">
        <f t="shared" si="24"/>
        <v>0.4</v>
      </c>
      <c r="G222" s="43">
        <f t="shared" si="24"/>
        <v>0.4</v>
      </c>
      <c r="H222" s="43">
        <f t="shared" si="24"/>
        <v>0.4</v>
      </c>
      <c r="I222" s="43">
        <f t="shared" si="24"/>
        <v>0.4</v>
      </c>
      <c r="J222" s="43">
        <f t="shared" si="24"/>
        <v>0.4</v>
      </c>
      <c r="K222" s="43">
        <f t="shared" si="24"/>
        <v>0.4</v>
      </c>
      <c r="L222" s="43">
        <f t="shared" si="24"/>
        <v>0.4</v>
      </c>
      <c r="M222" s="43">
        <f t="shared" si="24"/>
        <v>0.4</v>
      </c>
      <c r="N222" s="43">
        <f t="shared" si="24"/>
        <v>0.4</v>
      </c>
      <c r="O222" s="43">
        <f t="shared" si="24"/>
        <v>0.4</v>
      </c>
      <c r="P222" s="43">
        <f t="shared" si="24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3"/>
        <v>0</v>
      </c>
      <c r="C223" s="39">
        <v>0.64</v>
      </c>
      <c r="D223" s="39">
        <f t="shared" si="24"/>
        <v>0.64</v>
      </c>
      <c r="E223" s="39">
        <f t="shared" si="24"/>
        <v>0.64</v>
      </c>
      <c r="F223" s="39">
        <f t="shared" si="24"/>
        <v>0.64</v>
      </c>
      <c r="G223" s="39">
        <f t="shared" si="24"/>
        <v>0.64</v>
      </c>
      <c r="H223" s="39">
        <f t="shared" si="24"/>
        <v>0.64</v>
      </c>
      <c r="I223" s="39">
        <f t="shared" si="24"/>
        <v>0.64</v>
      </c>
      <c r="J223" s="39">
        <f t="shared" si="24"/>
        <v>0.64</v>
      </c>
      <c r="K223" s="39">
        <f t="shared" si="24"/>
        <v>0.64</v>
      </c>
      <c r="L223" s="39">
        <f t="shared" si="24"/>
        <v>0.64</v>
      </c>
      <c r="M223" s="39">
        <f t="shared" si="24"/>
        <v>0.64</v>
      </c>
      <c r="N223" s="39">
        <f t="shared" si="24"/>
        <v>0.64</v>
      </c>
      <c r="O223" s="39">
        <f t="shared" si="24"/>
        <v>0.64</v>
      </c>
      <c r="P223" s="39">
        <f t="shared" si="24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5">SUM(B218:B223)</f>
        <v>0</v>
      </c>
      <c r="C224" s="36">
        <f t="shared" si="25"/>
        <v>3.54</v>
      </c>
      <c r="D224" s="36">
        <f t="shared" si="25"/>
        <v>3.54</v>
      </c>
      <c r="E224" s="36">
        <f t="shared" si="25"/>
        <v>3.54</v>
      </c>
      <c r="F224" s="36">
        <f t="shared" si="25"/>
        <v>3.54</v>
      </c>
      <c r="G224" s="36">
        <f t="shared" si="25"/>
        <v>3.54</v>
      </c>
      <c r="H224" s="36">
        <f t="shared" si="25"/>
        <v>3.54</v>
      </c>
      <c r="I224" s="36">
        <f t="shared" si="25"/>
        <v>3.54</v>
      </c>
      <c r="J224" s="36">
        <f t="shared" si="25"/>
        <v>3.54</v>
      </c>
      <c r="K224" s="36">
        <f t="shared" si="25"/>
        <v>3.54</v>
      </c>
      <c r="L224" s="36">
        <f t="shared" si="25"/>
        <v>3.54</v>
      </c>
      <c r="M224" s="36">
        <f t="shared" si="25"/>
        <v>3.54</v>
      </c>
      <c r="N224" s="36">
        <f t="shared" si="25"/>
        <v>3.54</v>
      </c>
      <c r="O224" s="36">
        <f t="shared" si="25"/>
        <v>3.54</v>
      </c>
      <c r="P224" s="36">
        <f t="shared" si="25"/>
        <v>3.54</v>
      </c>
      <c r="Q224" s="36">
        <f t="shared" si="25"/>
        <v>0</v>
      </c>
      <c r="R224" s="36">
        <f t="shared" si="25"/>
        <v>0</v>
      </c>
      <c r="S224" s="36">
        <f t="shared" si="25"/>
        <v>0</v>
      </c>
      <c r="T224" s="36">
        <f t="shared" si="25"/>
        <v>0</v>
      </c>
      <c r="U224" s="36">
        <f t="shared" si="25"/>
        <v>0</v>
      </c>
      <c r="V224" s="36">
        <f t="shared" si="25"/>
        <v>0</v>
      </c>
      <c r="W224" s="36">
        <f t="shared" si="25"/>
        <v>0</v>
      </c>
      <c r="X224" s="36">
        <f t="shared" si="25"/>
        <v>0</v>
      </c>
      <c r="Y224" s="36">
        <f t="shared" si="25"/>
        <v>0</v>
      </c>
      <c r="Z224" s="36">
        <f t="shared" si="25"/>
        <v>0</v>
      </c>
      <c r="AA224" s="36">
        <f t="shared" si="25"/>
        <v>0</v>
      </c>
      <c r="AB224" s="36">
        <f t="shared" si="25"/>
        <v>0</v>
      </c>
      <c r="AC224" s="36">
        <f t="shared" si="25"/>
        <v>0</v>
      </c>
      <c r="AD224" s="36">
        <f t="shared" si="25"/>
        <v>0</v>
      </c>
      <c r="AE224" s="36">
        <f t="shared" si="25"/>
        <v>0</v>
      </c>
      <c r="AF224" s="36">
        <f t="shared" si="25"/>
        <v>0</v>
      </c>
      <c r="AG224" s="35">
        <f t="shared" si="25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1639.34</v>
      </c>
      <c r="C233" s="16">
        <f>INDEX(G9:N9,1,MATCH(MAX(G81:N81),G81:N81,0))</f>
        <v>0.3125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kartik1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e">
        <f ca="1">"Pie Chart of Daily Peak Demand(Inclusive of Export) of Nepal ("&amp;A4&amp;" "&amp;B4&amp;")"</f>
        <v>#VALUE!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e">
        <f ca="1">"Daily Load Curve(Excluding of Export) of Nepal ("&amp;A4&amp;" "&amp;B4&amp;")"</f>
        <v>#VALUE!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6">B81</f>
        <v>1481.02</v>
      </c>
      <c r="U238" s="9">
        <f t="shared" si="26"/>
        <v>1427.72</v>
      </c>
      <c r="V238" s="9">
        <f t="shared" si="26"/>
        <v>1397.12</v>
      </c>
      <c r="W238" s="9">
        <f t="shared" si="26"/>
        <v>1420.2399999999998</v>
      </c>
      <c r="X238" s="9">
        <f t="shared" si="26"/>
        <v>1413.1399999999999</v>
      </c>
      <c r="Y238" s="9">
        <f t="shared" si="26"/>
        <v>1413.04</v>
      </c>
      <c r="Z238" s="9">
        <f t="shared" si="26"/>
        <v>1444.34</v>
      </c>
      <c r="AA238" s="9">
        <f t="shared" si="26"/>
        <v>1467.34</v>
      </c>
      <c r="AB238" s="9">
        <f t="shared" si="26"/>
        <v>1513.34</v>
      </c>
      <c r="AC238" s="9">
        <f t="shared" si="26"/>
        <v>1574.34</v>
      </c>
      <c r="AD238" s="9">
        <f t="shared" si="26"/>
        <v>1639.34</v>
      </c>
      <c r="AE238" s="9">
        <f t="shared" si="26"/>
        <v>303.54000000000002</v>
      </c>
      <c r="AF238" s="9">
        <f t="shared" si="26"/>
        <v>303.54000000000002</v>
      </c>
      <c r="AG238" s="9">
        <f t="shared" si="26"/>
        <v>303.54000000000002</v>
      </c>
      <c r="AH238" s="9">
        <f t="shared" si="26"/>
        <v>303.54000000000002</v>
      </c>
      <c r="AI238" s="9">
        <f t="shared" si="26"/>
        <v>303.54000000000002</v>
      </c>
      <c r="AJ238" s="9">
        <f t="shared" si="26"/>
        <v>303.54000000000002</v>
      </c>
      <c r="AK238" s="9">
        <f t="shared" si="26"/>
        <v>303.54000000000002</v>
      </c>
      <c r="AL238" s="9">
        <f t="shared" si="26"/>
        <v>303.54000000000002</v>
      </c>
      <c r="AM238" s="9">
        <f t="shared" si="26"/>
        <v>303.54000000000002</v>
      </c>
      <c r="AN238" s="9">
        <f t="shared" si="26"/>
        <v>303.54000000000002</v>
      </c>
      <c r="AO238" s="9">
        <f t="shared" si="26"/>
        <v>303.54000000000002</v>
      </c>
      <c r="AP238" s="9">
        <f t="shared" si="26"/>
        <v>303.54000000000002</v>
      </c>
      <c r="AQ238" s="9">
        <f t="shared" si="26"/>
        <v>303.54000000000002</v>
      </c>
      <c r="AR238" s="9">
        <f t="shared" si="26"/>
        <v>303.54000000000002</v>
      </c>
      <c r="AS238" s="9">
        <f t="shared" si="26"/>
        <v>303.54000000000002</v>
      </c>
      <c r="AT238" s="9">
        <f t="shared" si="26"/>
        <v>3.54</v>
      </c>
      <c r="AU238" s="9">
        <f t="shared" si="26"/>
        <v>3.54</v>
      </c>
      <c r="AV238" s="9">
        <f t="shared" si="26"/>
        <v>3.54</v>
      </c>
      <c r="AW238" s="9">
        <f t="shared" si="26"/>
        <v>3.54</v>
      </c>
      <c r="AX238" s="9">
        <f t="shared" si="26"/>
        <v>3.54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7">C223</f>
        <v>0.64</v>
      </c>
      <c r="C259" s="4">
        <f t="shared" si="27"/>
        <v>0.64</v>
      </c>
      <c r="D259" s="4">
        <f t="shared" si="27"/>
        <v>0.64</v>
      </c>
      <c r="E259" s="4">
        <f t="shared" si="27"/>
        <v>0.64</v>
      </c>
      <c r="F259" s="4">
        <f t="shared" si="27"/>
        <v>0.64</v>
      </c>
      <c r="G259" s="4">
        <f t="shared" si="27"/>
        <v>0.64</v>
      </c>
      <c r="H259" s="4">
        <f t="shared" si="27"/>
        <v>0.64</v>
      </c>
      <c r="I259" s="4">
        <f t="shared" si="27"/>
        <v>0.64</v>
      </c>
      <c r="J259" s="4">
        <f t="shared" si="27"/>
        <v>0.64</v>
      </c>
      <c r="K259" s="4">
        <f t="shared" si="27"/>
        <v>0.64</v>
      </c>
      <c r="L259" s="4">
        <f t="shared" si="27"/>
        <v>0.64</v>
      </c>
      <c r="M259" s="4">
        <f t="shared" si="27"/>
        <v>0.64</v>
      </c>
      <c r="N259" s="4">
        <f t="shared" si="27"/>
        <v>0.64</v>
      </c>
      <c r="O259" s="4">
        <f t="shared" si="27"/>
        <v>0.64</v>
      </c>
      <c r="P259" s="4">
        <f t="shared" si="27"/>
        <v>0</v>
      </c>
      <c r="Q259" s="4">
        <f t="shared" si="27"/>
        <v>0</v>
      </c>
      <c r="R259" s="4">
        <f t="shared" si="27"/>
        <v>0</v>
      </c>
      <c r="S259" s="4">
        <f t="shared" si="27"/>
        <v>0</v>
      </c>
      <c r="T259" s="4">
        <f t="shared" si="27"/>
        <v>0</v>
      </c>
      <c r="U259" s="4">
        <f t="shared" si="27"/>
        <v>0</v>
      </c>
      <c r="V259" s="4">
        <f t="shared" si="27"/>
        <v>0</v>
      </c>
      <c r="W259" s="4">
        <f t="shared" si="27"/>
        <v>0</v>
      </c>
      <c r="X259" s="4">
        <f t="shared" si="27"/>
        <v>0</v>
      </c>
      <c r="Y259" s="4">
        <f t="shared" si="27"/>
        <v>0</v>
      </c>
      <c r="Z259" s="4">
        <f t="shared" si="27"/>
        <v>0</v>
      </c>
      <c r="AA259" s="4">
        <f t="shared" si="27"/>
        <v>0</v>
      </c>
      <c r="AB259" s="4">
        <f t="shared" si="27"/>
        <v>0</v>
      </c>
      <c r="AC259" s="4">
        <f t="shared" si="27"/>
        <v>0</v>
      </c>
      <c r="AD259" s="4">
        <f t="shared" si="27"/>
        <v>0</v>
      </c>
      <c r="AE259" s="4">
        <f t="shared" si="27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28">IF(B227&lt;100,"",B227-520)</f>
        <v/>
      </c>
      <c r="C260" s="3" t="str">
        <f t="shared" si="28"/>
        <v/>
      </c>
      <c r="D260" s="3" t="str">
        <f t="shared" si="28"/>
        <v/>
      </c>
      <c r="E260" s="3" t="str">
        <f t="shared" si="28"/>
        <v/>
      </c>
      <c r="F260" s="3" t="str">
        <f t="shared" si="28"/>
        <v/>
      </c>
      <c r="G260" s="3" t="str">
        <f t="shared" si="28"/>
        <v/>
      </c>
      <c r="H260" s="3" t="str">
        <f t="shared" si="28"/>
        <v/>
      </c>
      <c r="I260" s="3" t="str">
        <f t="shared" si="28"/>
        <v/>
      </c>
      <c r="J260" s="3" t="str">
        <f t="shared" si="28"/>
        <v/>
      </c>
      <c r="K260" s="3" t="str">
        <f t="shared" si="28"/>
        <v/>
      </c>
      <c r="L260" s="3" t="str">
        <f t="shared" si="28"/>
        <v/>
      </c>
      <c r="M260" s="3" t="str">
        <f t="shared" si="28"/>
        <v/>
      </c>
      <c r="N260" s="3" t="str">
        <f t="shared" si="28"/>
        <v/>
      </c>
      <c r="O260" s="3" t="str">
        <f t="shared" si="28"/>
        <v/>
      </c>
      <c r="P260" s="3" t="str">
        <f t="shared" si="28"/>
        <v/>
      </c>
      <c r="Q260" s="3" t="str">
        <f t="shared" si="28"/>
        <v/>
      </c>
      <c r="R260" s="3" t="str">
        <f t="shared" si="28"/>
        <v/>
      </c>
      <c r="S260" s="3" t="str">
        <f t="shared" si="28"/>
        <v/>
      </c>
      <c r="T260" s="3" t="str">
        <f t="shared" si="28"/>
        <v/>
      </c>
      <c r="U260" s="3" t="str">
        <f t="shared" si="28"/>
        <v/>
      </c>
      <c r="V260" s="3" t="str">
        <f t="shared" si="28"/>
        <v/>
      </c>
      <c r="W260" s="3" t="str">
        <f t="shared" si="28"/>
        <v/>
      </c>
      <c r="X260" s="3" t="str">
        <f t="shared" si="28"/>
        <v/>
      </c>
      <c r="Y260" s="3" t="str">
        <f t="shared" si="28"/>
        <v/>
      </c>
      <c r="Z260" s="3" t="str">
        <f t="shared" si="28"/>
        <v/>
      </c>
      <c r="AA260" s="3" t="str">
        <f t="shared" si="28"/>
        <v/>
      </c>
      <c r="AB260" s="3" t="str">
        <f t="shared" si="28"/>
        <v/>
      </c>
      <c r="AC260" s="3" t="str">
        <f t="shared" si="28"/>
        <v/>
      </c>
      <c r="AD260" s="3" t="str">
        <f t="shared" si="28"/>
        <v/>
      </c>
      <c r="AE260" s="3" t="str">
        <f t="shared" si="28"/>
        <v/>
      </c>
      <c r="AF260" s="3" t="str">
        <f t="shared" si="28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29">IF(B228&lt;100,"",B228-620)</f>
        <v/>
      </c>
      <c r="C261" s="3" t="str">
        <f t="shared" si="29"/>
        <v/>
      </c>
      <c r="D261" s="3" t="str">
        <f t="shared" si="29"/>
        <v/>
      </c>
      <c r="E261" s="3" t="str">
        <f t="shared" si="29"/>
        <v/>
      </c>
      <c r="F261" s="3" t="str">
        <f t="shared" si="29"/>
        <v/>
      </c>
      <c r="G261" s="3" t="str">
        <f t="shared" si="29"/>
        <v/>
      </c>
      <c r="H261" s="3" t="str">
        <f t="shared" si="29"/>
        <v/>
      </c>
      <c r="I261" s="3" t="str">
        <f t="shared" si="29"/>
        <v/>
      </c>
      <c r="J261" s="3" t="str">
        <f t="shared" si="29"/>
        <v/>
      </c>
      <c r="K261" s="3" t="str">
        <f t="shared" si="29"/>
        <v/>
      </c>
      <c r="L261" s="3" t="str">
        <f t="shared" si="29"/>
        <v/>
      </c>
      <c r="M261" s="3" t="str">
        <f t="shared" si="29"/>
        <v/>
      </c>
      <c r="N261" s="3" t="str">
        <f t="shared" si="29"/>
        <v/>
      </c>
      <c r="O261" s="3" t="str">
        <f t="shared" si="29"/>
        <v/>
      </c>
      <c r="P261" s="3" t="str">
        <f t="shared" si="29"/>
        <v/>
      </c>
      <c r="Q261" s="3" t="str">
        <f t="shared" si="29"/>
        <v/>
      </c>
      <c r="R261" s="3" t="str">
        <f t="shared" si="29"/>
        <v/>
      </c>
      <c r="S261" s="3" t="str">
        <f t="shared" si="29"/>
        <v/>
      </c>
      <c r="T261" s="3" t="str">
        <f t="shared" si="29"/>
        <v/>
      </c>
      <c r="U261" s="3" t="str">
        <f t="shared" si="29"/>
        <v/>
      </c>
      <c r="V261" s="3" t="str">
        <f t="shared" si="29"/>
        <v/>
      </c>
      <c r="W261" s="3" t="str">
        <f t="shared" si="29"/>
        <v/>
      </c>
      <c r="X261" s="3" t="str">
        <f t="shared" si="29"/>
        <v/>
      </c>
      <c r="Y261" s="3" t="str">
        <f t="shared" si="29"/>
        <v/>
      </c>
      <c r="Z261" s="3" t="str">
        <f t="shared" si="29"/>
        <v/>
      </c>
      <c r="AA261" s="3" t="str">
        <f t="shared" si="29"/>
        <v/>
      </c>
      <c r="AB261" s="3" t="str">
        <f t="shared" si="29"/>
        <v/>
      </c>
      <c r="AC261" s="3" t="str">
        <f t="shared" si="29"/>
        <v/>
      </c>
      <c r="AD261" s="3" t="str">
        <f t="shared" si="29"/>
        <v/>
      </c>
      <c r="AE261" s="3" t="str">
        <f t="shared" si="29"/>
        <v/>
      </c>
      <c r="AF261" s="3" t="str">
        <f t="shared" si="29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0">IF(B229&lt;100,"",B229-330)</f>
        <v/>
      </c>
      <c r="C262" s="3" t="str">
        <f t="shared" si="30"/>
        <v/>
      </c>
      <c r="D262" s="3" t="str">
        <f t="shared" si="30"/>
        <v/>
      </c>
      <c r="E262" s="3" t="str">
        <f t="shared" si="30"/>
        <v/>
      </c>
      <c r="F262" s="3" t="str">
        <f t="shared" si="30"/>
        <v/>
      </c>
      <c r="G262" s="3" t="str">
        <f t="shared" si="30"/>
        <v/>
      </c>
      <c r="H262" s="3" t="str">
        <f t="shared" si="30"/>
        <v/>
      </c>
      <c r="I262" s="3" t="str">
        <f t="shared" si="30"/>
        <v/>
      </c>
      <c r="J262" s="3" t="str">
        <f t="shared" si="30"/>
        <v/>
      </c>
      <c r="K262" s="3" t="str">
        <f t="shared" si="30"/>
        <v/>
      </c>
      <c r="L262" s="3" t="str">
        <f t="shared" si="30"/>
        <v/>
      </c>
      <c r="M262" s="3" t="str">
        <f t="shared" si="30"/>
        <v/>
      </c>
      <c r="N262" s="3" t="str">
        <f t="shared" si="30"/>
        <v/>
      </c>
      <c r="O262" s="3" t="str">
        <f t="shared" si="30"/>
        <v/>
      </c>
      <c r="P262" s="3" t="str">
        <f t="shared" si="30"/>
        <v/>
      </c>
      <c r="Q262" s="3" t="str">
        <f t="shared" si="30"/>
        <v/>
      </c>
      <c r="R262" s="3" t="str">
        <f t="shared" si="30"/>
        <v/>
      </c>
      <c r="S262" s="3" t="str">
        <f t="shared" si="30"/>
        <v/>
      </c>
      <c r="T262" s="3" t="str">
        <f t="shared" si="30"/>
        <v/>
      </c>
      <c r="U262" s="3" t="str">
        <f t="shared" si="30"/>
        <v/>
      </c>
      <c r="V262" s="3" t="str">
        <f t="shared" si="30"/>
        <v/>
      </c>
      <c r="W262" s="3" t="str">
        <f t="shared" si="30"/>
        <v/>
      </c>
      <c r="X262" s="3" t="str">
        <f t="shared" si="30"/>
        <v/>
      </c>
      <c r="Y262" s="3" t="str">
        <f t="shared" si="30"/>
        <v/>
      </c>
      <c r="Z262" s="3" t="str">
        <f t="shared" si="30"/>
        <v/>
      </c>
      <c r="AA262" s="3" t="str">
        <f t="shared" si="30"/>
        <v/>
      </c>
      <c r="AB262" s="3" t="str">
        <f t="shared" si="30"/>
        <v/>
      </c>
      <c r="AC262" s="3" t="str">
        <f t="shared" si="30"/>
        <v/>
      </c>
      <c r="AD262" s="3" t="str">
        <f t="shared" si="30"/>
        <v/>
      </c>
      <c r="AE262" s="3" t="str">
        <f t="shared" si="30"/>
        <v/>
      </c>
      <c r="AF262" s="3" t="str">
        <f t="shared" si="30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1">IF(B230&lt;100,"",B230-1500)</f>
        <v/>
      </c>
      <c r="C263" s="3" t="str">
        <f t="shared" si="31"/>
        <v/>
      </c>
      <c r="D263" s="3" t="str">
        <f t="shared" si="31"/>
        <v/>
      </c>
      <c r="E263" s="3" t="str">
        <f t="shared" si="31"/>
        <v/>
      </c>
      <c r="F263" s="3" t="str">
        <f t="shared" si="31"/>
        <v/>
      </c>
      <c r="G263" s="3" t="str">
        <f t="shared" si="31"/>
        <v/>
      </c>
      <c r="H263" s="3" t="str">
        <f t="shared" si="31"/>
        <v/>
      </c>
      <c r="I263" s="3" t="str">
        <f t="shared" si="31"/>
        <v/>
      </c>
      <c r="J263" s="3" t="str">
        <f t="shared" si="31"/>
        <v/>
      </c>
      <c r="K263" s="3" t="str">
        <f t="shared" si="31"/>
        <v/>
      </c>
      <c r="L263" s="3" t="str">
        <f t="shared" si="31"/>
        <v/>
      </c>
      <c r="M263" s="3" t="str">
        <f t="shared" si="31"/>
        <v/>
      </c>
      <c r="N263" s="3" t="str">
        <f t="shared" si="31"/>
        <v/>
      </c>
      <c r="O263" s="3" t="str">
        <f t="shared" si="31"/>
        <v/>
      </c>
      <c r="P263" s="3" t="str">
        <f t="shared" si="31"/>
        <v/>
      </c>
      <c r="Q263" s="3" t="str">
        <f t="shared" si="31"/>
        <v/>
      </c>
      <c r="R263" s="3" t="str">
        <f t="shared" si="31"/>
        <v/>
      </c>
      <c r="S263" s="3" t="str">
        <f t="shared" si="31"/>
        <v/>
      </c>
      <c r="T263" s="3" t="str">
        <f t="shared" si="31"/>
        <v/>
      </c>
      <c r="U263" s="3" t="str">
        <f t="shared" si="31"/>
        <v/>
      </c>
      <c r="V263" s="3" t="str">
        <f t="shared" si="31"/>
        <v/>
      </c>
      <c r="W263" s="3" t="str">
        <f t="shared" si="31"/>
        <v/>
      </c>
      <c r="X263" s="3" t="str">
        <f t="shared" si="31"/>
        <v/>
      </c>
      <c r="Y263" s="3" t="str">
        <f t="shared" si="31"/>
        <v/>
      </c>
      <c r="Z263" s="3" t="str">
        <f t="shared" si="31"/>
        <v/>
      </c>
      <c r="AA263" s="3" t="str">
        <f t="shared" si="31"/>
        <v/>
      </c>
      <c r="AB263" s="3" t="str">
        <f t="shared" si="31"/>
        <v/>
      </c>
      <c r="AC263" s="3" t="str">
        <f t="shared" si="31"/>
        <v/>
      </c>
      <c r="AD263" s="3" t="str">
        <f t="shared" si="31"/>
        <v/>
      </c>
      <c r="AE263" s="3" t="str">
        <f t="shared" si="31"/>
        <v/>
      </c>
      <c r="AF263" s="3" t="str">
        <f t="shared" si="31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AG9:AG10"/>
    <mergeCell ref="V9:V10"/>
    <mergeCell ref="W9:W10"/>
    <mergeCell ref="X9:X10"/>
    <mergeCell ref="Y9:Y10"/>
    <mergeCell ref="Z9:Z10"/>
    <mergeCell ref="AA9:AA10"/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T11:AF11 C101:AF101 C103:AF108 B20:AF23 B16:AF16">
    <cfRule type="expression" dxfId="1475" priority="239">
      <formula>B$9&gt;=20/24</formula>
    </cfRule>
    <cfRule type="expression" dxfId="1474" priority="240">
      <formula>AND(B$9&gt;=14/24,B$9&lt;20/24)</formula>
    </cfRule>
    <cfRule type="expression" dxfId="1473" priority="241">
      <formula>AND(B$9&gt;=8/24,B$9&lt;14/24)</formula>
    </cfRule>
    <cfRule type="expression" dxfId="1472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1471" priority="234">
      <formula>S$9&gt;=20/24</formula>
    </cfRule>
    <cfRule type="expression" dxfId="1470" priority="235">
      <formula>AND(S$9&gt;=14/24,S$9&lt;20/24)</formula>
    </cfRule>
    <cfRule type="expression" dxfId="1469" priority="236">
      <formula>AND(S$9&gt;=8/24,S$9&lt;14/24)</formula>
    </cfRule>
    <cfRule type="expression" dxfId="1468" priority="237">
      <formula>S$9&lt;8/24</formula>
    </cfRule>
  </conditionalFormatting>
  <conditionalFormatting sqref="AG57 S39:AF39 R11:AF15 M16:AF16 M12:Q15 B18:AF18 B20:AF23 B12:L16 B37:AF37">
    <cfRule type="expression" dxfId="1467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1466" priority="232">
      <formula>$AH11=0</formula>
    </cfRule>
  </conditionalFormatting>
  <conditionalFormatting sqref="A106">
    <cfRule type="expression" dxfId="1465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464" priority="229">
      <formula>$AH37=0</formula>
    </cfRule>
  </conditionalFormatting>
  <conditionalFormatting sqref="A90">
    <cfRule type="expression" dxfId="1463" priority="228">
      <formula>$AH90=0</formula>
    </cfRule>
  </conditionalFormatting>
  <conditionalFormatting sqref="A15">
    <cfRule type="expression" dxfId="1462" priority="227">
      <formula>$AH15=0</formula>
    </cfRule>
  </conditionalFormatting>
  <conditionalFormatting sqref="A188:A193">
    <cfRule type="expression" dxfId="1461" priority="226">
      <formula>$AH188=0</formula>
    </cfRule>
  </conditionalFormatting>
  <conditionalFormatting sqref="A182:A187">
    <cfRule type="expression" dxfId="1460" priority="225">
      <formula>$AH182=0</formula>
    </cfRule>
  </conditionalFormatting>
  <conditionalFormatting sqref="A50">
    <cfRule type="expression" dxfId="1459" priority="224">
      <formula>$AH50=0</formula>
    </cfRule>
  </conditionalFormatting>
  <conditionalFormatting sqref="A86">
    <cfRule type="expression" dxfId="1458" priority="223">
      <formula>$AH86=0</formula>
    </cfRule>
  </conditionalFormatting>
  <conditionalFormatting sqref="C91:AF91">
    <cfRule type="expression" dxfId="1457" priority="219">
      <formula>C$9&gt;=20/24</formula>
    </cfRule>
    <cfRule type="expression" dxfId="1456" priority="220">
      <formula>AND(C$9&gt;=14/24,C$9&lt;20/24)</formula>
    </cfRule>
    <cfRule type="expression" dxfId="1455" priority="221">
      <formula>AND(C$9&gt;=8/24,C$9&lt;14/24)</formula>
    </cfRule>
    <cfRule type="expression" dxfId="1454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453" priority="245">
      <formula>C$9&gt;=20/24</formula>
    </cfRule>
    <cfRule type="expression" dxfId="1452" priority="246">
      <formula>AND(C$9&gt;=14/24,C$9&lt;20/24)</formula>
    </cfRule>
    <cfRule type="expression" dxfId="1451" priority="247">
      <formula>AND(C$9&gt;=8/24,C$9&lt;14/24)</formula>
    </cfRule>
    <cfRule type="expression" dxfId="1450" priority="248">
      <formula>C$9&lt;8/24</formula>
    </cfRule>
  </conditionalFormatting>
  <conditionalFormatting sqref="A225">
    <cfRule type="expression" dxfId="1449" priority="249">
      <formula>$AH225=0</formula>
    </cfRule>
  </conditionalFormatting>
  <conditionalFormatting sqref="AG237">
    <cfRule type="expression" dxfId="1448" priority="250">
      <formula>B$9&gt;=20/24</formula>
    </cfRule>
    <cfRule type="expression" dxfId="1447" priority="251">
      <formula>AND(B$9&gt;=14/24,B$9&lt;20/24)</formula>
    </cfRule>
    <cfRule type="expression" dxfId="1446" priority="252">
      <formula>AND(B$9&gt;=8/24,B$9&lt;14/24)</formula>
    </cfRule>
    <cfRule type="expression" dxfId="1445" priority="253">
      <formula>B$9&lt;8/24</formula>
    </cfRule>
  </conditionalFormatting>
  <conditionalFormatting sqref="S8">
    <cfRule type="expression" dxfId="1444" priority="214">
      <formula>U$9&gt;=20/24</formula>
    </cfRule>
    <cfRule type="expression" dxfId="1443" priority="215">
      <formula>AND(U$9&gt;=14/24,U$9&lt;20/24)</formula>
    </cfRule>
    <cfRule type="expression" dxfId="1442" priority="216">
      <formula>AND(U$9&gt;=8/24,U$9&lt;14/24)</formula>
    </cfRule>
    <cfRule type="expression" dxfId="1441" priority="217">
      <formula>U$9&lt;8/24</formula>
    </cfRule>
  </conditionalFormatting>
  <conditionalFormatting sqref="AB8">
    <cfRule type="expression" dxfId="1440" priority="210">
      <formula>AD$9&gt;=20/24</formula>
    </cfRule>
    <cfRule type="expression" dxfId="1439" priority="211">
      <formula>AND(AD$9&gt;=14/24,AD$9&lt;20/24)</formula>
    </cfRule>
    <cfRule type="expression" dxfId="1438" priority="212">
      <formula>AND(AD$9&gt;=8/24,AD$9&lt;14/24)</formula>
    </cfRule>
    <cfRule type="expression" dxfId="1437" priority="213">
      <formula>AD$9&lt;8/24</formula>
    </cfRule>
  </conditionalFormatting>
  <conditionalFormatting sqref="AH237:AX237">
    <cfRule type="expression" dxfId="1436" priority="254">
      <formula>AG$9&gt;=20/24</formula>
    </cfRule>
    <cfRule type="expression" dxfId="1435" priority="255">
      <formula>AND(AG$9&gt;=14/24,AG$9&lt;20/24)</formula>
    </cfRule>
    <cfRule type="expression" dxfId="1434" priority="256">
      <formula>AND(AG$9&gt;=8/24,AG$9&lt;14/24)</formula>
    </cfRule>
    <cfRule type="expression" dxfId="1433" priority="257">
      <formula>AG$9&lt;8/24</formula>
    </cfRule>
  </conditionalFormatting>
  <conditionalFormatting sqref="T237">
    <cfRule type="expression" dxfId="1432" priority="258">
      <formula>AX$9&gt;=20/24</formula>
    </cfRule>
    <cfRule type="expression" dxfId="1431" priority="259">
      <formula>AND(AX$9&gt;=14/24,AX$9&lt;20/24)</formula>
    </cfRule>
    <cfRule type="expression" dxfId="1430" priority="260">
      <formula>AND(AX$9&gt;=8/24,AX$9&lt;14/24)</formula>
    </cfRule>
    <cfRule type="expression" dxfId="1429" priority="261">
      <formula>AX$9&lt;8/24</formula>
    </cfRule>
  </conditionalFormatting>
  <conditionalFormatting sqref="A107:A108">
    <cfRule type="expression" dxfId="1428" priority="209">
      <formula>$AH107=0</formula>
    </cfRule>
  </conditionalFormatting>
  <conditionalFormatting sqref="S46:W47 AB38:AF38 Y46:AF47 E63:AF63 M46:M49">
    <cfRule type="expression" dxfId="1427" priority="205">
      <formula>E$9&gt;=20/24</formula>
    </cfRule>
    <cfRule type="expression" dxfId="1426" priority="206">
      <formula>AND(E$9&gt;=14/24,E$9&lt;20/24)</formula>
    </cfRule>
    <cfRule type="expression" dxfId="1425" priority="207">
      <formula>AND(E$9&gt;=8/24,E$9&lt;14/24)</formula>
    </cfRule>
    <cfRule type="expression" dxfId="1424" priority="208">
      <formula>E$9&lt;8/24</formula>
    </cfRule>
  </conditionalFormatting>
  <conditionalFormatting sqref="S45:W45 Y45:AF45">
    <cfRule type="expression" dxfId="1423" priority="201">
      <formula>S$9&gt;=20/24</formula>
    </cfRule>
    <cfRule type="expression" dxfId="1422" priority="202">
      <formula>AND(S$9&gt;=14/24,S$9&lt;20/24)</formula>
    </cfRule>
    <cfRule type="expression" dxfId="1421" priority="203">
      <formula>AND(S$9&gt;=8/24,S$9&lt;14/24)</formula>
    </cfRule>
    <cfRule type="expression" dxfId="1420" priority="204">
      <formula>S$9&lt;8/24</formula>
    </cfRule>
  </conditionalFormatting>
  <conditionalFormatting sqref="S45:W47 AB38:AF38 Y45:AF47 M46:M49">
    <cfRule type="expression" dxfId="1419" priority="200">
      <formula>M38&gt;$AG38</formula>
    </cfRule>
  </conditionalFormatting>
  <conditionalFormatting sqref="C88:AF88 C78:AF78 L39:R39 R11:S14 E64:S65 T38:AA38 T25:AF27 T29:AF29 T12:AF14 R18:AF18 S59:AF61 T64:AF73 T31:AF34 M75:AF77 D92:AF98">
    <cfRule type="expression" dxfId="1418" priority="196">
      <formula>C$9&gt;=20/24</formula>
    </cfRule>
    <cfRule type="expression" dxfId="1417" priority="197">
      <formula>AND(C$9&gt;=14/24,C$9&lt;20/24)</formula>
    </cfRule>
    <cfRule type="expression" dxfId="1416" priority="198">
      <formula>AND(C$9&gt;=8/24,C$9&lt;14/24)</formula>
    </cfRule>
    <cfRule type="expression" dxfId="1415" priority="199">
      <formula>C$9&lt;8/24</formula>
    </cfRule>
  </conditionalFormatting>
  <conditionalFormatting sqref="T35:AF35">
    <cfRule type="expression" dxfId="1414" priority="192">
      <formula>T$9&gt;=20/24</formula>
    </cfRule>
    <cfRule type="expression" dxfId="1413" priority="193">
      <formula>AND(T$9&gt;=14/24,T$9&lt;20/24)</formula>
    </cfRule>
    <cfRule type="expression" dxfId="1412" priority="194">
      <formula>AND(T$9&gt;=8/24,T$9&lt;14/24)</formula>
    </cfRule>
    <cfRule type="expression" dxfId="1411" priority="195">
      <formula>T$9&lt;8/24</formula>
    </cfRule>
  </conditionalFormatting>
  <conditionalFormatting sqref="AB48:AF49 C57:AF57 L39:R39 R11:S11 T38:AA38 T25:AF29 S59:AF61 T31:AF35">
    <cfRule type="expression" dxfId="1410" priority="191">
      <formula>C11&gt;$AG11</formula>
    </cfRule>
  </conditionalFormatting>
  <conditionalFormatting sqref="T37:AF37">
    <cfRule type="expression" dxfId="1409" priority="187">
      <formula>T$9&gt;=20/24</formula>
    </cfRule>
    <cfRule type="expression" dxfId="1408" priority="188">
      <formula>AND(T$9&gt;=14/24,T$9&lt;20/24)</formula>
    </cfRule>
    <cfRule type="expression" dxfId="1407" priority="189">
      <formula>AND(T$9&gt;=8/24,T$9&lt;14/24)</formula>
    </cfRule>
    <cfRule type="expression" dxfId="1406" priority="190">
      <formula>T$9&lt;8/24</formula>
    </cfRule>
  </conditionalFormatting>
  <conditionalFormatting sqref="R15:AF15">
    <cfRule type="expression" dxfId="1405" priority="183">
      <formula>R$9&gt;=20/24</formula>
    </cfRule>
    <cfRule type="expression" dxfId="1404" priority="184">
      <formula>AND(R$9&gt;=14/24,R$9&lt;20/24)</formula>
    </cfRule>
    <cfRule type="expression" dxfId="1403" priority="185">
      <formula>AND(R$9&gt;=8/24,R$9&lt;14/24)</formula>
    </cfRule>
    <cfRule type="expression" dxfId="1402" priority="186">
      <formula>R$9&lt;8/24</formula>
    </cfRule>
  </conditionalFormatting>
  <conditionalFormatting sqref="T36:AF36">
    <cfRule type="expression" dxfId="1401" priority="179">
      <formula>T$9&gt;=20/24</formula>
    </cfRule>
    <cfRule type="expression" dxfId="1400" priority="180">
      <formula>AND(T$9&gt;=14/24,T$9&lt;20/24)</formula>
    </cfRule>
    <cfRule type="expression" dxfId="1399" priority="181">
      <formula>AND(T$9&gt;=8/24,T$9&lt;14/24)</formula>
    </cfRule>
    <cfRule type="expression" dxfId="1398" priority="182">
      <formula>T$9&lt;8/24</formula>
    </cfRule>
  </conditionalFormatting>
  <conditionalFormatting sqref="T36:AF36">
    <cfRule type="expression" dxfId="1397" priority="178">
      <formula>T36&gt;$AG36</formula>
    </cfRule>
  </conditionalFormatting>
  <conditionalFormatting sqref="AB50:AF56 V48:AA49">
    <cfRule type="expression" dxfId="1396" priority="174">
      <formula>V$9&gt;=20/24</formula>
    </cfRule>
    <cfRule type="expression" dxfId="1395" priority="175">
      <formula>AND(V$9&gt;=14/24,V$9&lt;20/24)</formula>
    </cfRule>
    <cfRule type="expression" dxfId="1394" priority="176">
      <formula>AND(V$9&gt;=8/24,V$9&lt;14/24)</formula>
    </cfRule>
    <cfRule type="expression" dxfId="1393" priority="177">
      <formula>V$9&lt;8/24</formula>
    </cfRule>
  </conditionalFormatting>
  <conditionalFormatting sqref="AB50:AF56 V48:AA49">
    <cfRule type="expression" dxfId="1392" priority="173">
      <formula>V48&gt;$AG48</formula>
    </cfRule>
  </conditionalFormatting>
  <conditionalFormatting sqref="M45:N45 N46:N47 O45:R47 T52:T56 R50:AA51 N48:U49">
    <cfRule type="expression" dxfId="1391" priority="169">
      <formula>M$9&gt;=20/24</formula>
    </cfRule>
    <cfRule type="expression" dxfId="1390" priority="170">
      <formula>AND(M$9&gt;=14/24,M$9&lt;20/24)</formula>
    </cfRule>
    <cfRule type="expression" dxfId="1389" priority="171">
      <formula>AND(M$9&gt;=8/24,M$9&lt;14/24)</formula>
    </cfRule>
    <cfRule type="expression" dxfId="1388" priority="172">
      <formula>M$9&lt;8/24</formula>
    </cfRule>
  </conditionalFormatting>
  <conditionalFormatting sqref="M45:N45 N46:N47 O45:R47 T52:T56 R50:AA51 N48:U49">
    <cfRule type="expression" dxfId="1387" priority="168">
      <formula>M45&gt;$AG45</formula>
    </cfRule>
  </conditionalFormatting>
  <conditionalFormatting sqref="T28:AF28">
    <cfRule type="expression" dxfId="1386" priority="164">
      <formula>T$9&gt;=20/24</formula>
    </cfRule>
    <cfRule type="expression" dxfId="1385" priority="165">
      <formula>AND(T$9&gt;=14/24,T$9&lt;20/24)</formula>
    </cfRule>
    <cfRule type="expression" dxfId="1384" priority="166">
      <formula>AND(T$9&gt;=8/24,T$9&lt;14/24)</formula>
    </cfRule>
    <cfRule type="expression" dxfId="1383" priority="167">
      <formula>T$9&lt;8/24</formula>
    </cfRule>
  </conditionalFormatting>
  <conditionalFormatting sqref="M31:S31 T19:AF19 T24:AF24">
    <cfRule type="expression" dxfId="1382" priority="160">
      <formula>M$9&gt;=20/24</formula>
    </cfRule>
    <cfRule type="expression" dxfId="1381" priority="161">
      <formula>AND(M$9&gt;=14/24,M$9&lt;20/24)</formula>
    </cfRule>
    <cfRule type="expression" dxfId="1380" priority="162">
      <formula>AND(M$9&gt;=8/24,M$9&lt;14/24)</formula>
    </cfRule>
    <cfRule type="expression" dxfId="1379" priority="163">
      <formula>M$9&lt;8/24</formula>
    </cfRule>
  </conditionalFormatting>
  <conditionalFormatting sqref="M31:S31 T19:AF19 T24:AF24">
    <cfRule type="expression" dxfId="1378" priority="159">
      <formula>M19&gt;$AG19</formula>
    </cfRule>
  </conditionalFormatting>
  <conditionalFormatting sqref="D45:L45">
    <cfRule type="expression" dxfId="1377" priority="155">
      <formula>D$9&gt;=20/24</formula>
    </cfRule>
    <cfRule type="expression" dxfId="1376" priority="156">
      <formula>AND(D$9&gt;=14/24,D$9&lt;20/24)</formula>
    </cfRule>
    <cfRule type="expression" dxfId="1375" priority="157">
      <formula>AND(D$9&gt;=8/24,D$9&lt;14/24)</formula>
    </cfRule>
    <cfRule type="expression" dxfId="1374" priority="158">
      <formula>D$9&lt;8/24</formula>
    </cfRule>
  </conditionalFormatting>
  <conditionalFormatting sqref="D45:L45">
    <cfRule type="expression" dxfId="1373" priority="154">
      <formula>D45&gt;$AG45</formula>
    </cfRule>
  </conditionalFormatting>
  <conditionalFormatting sqref="X46:X47">
    <cfRule type="expression" dxfId="1372" priority="150">
      <formula>X$9&gt;=20/24</formula>
    </cfRule>
    <cfRule type="expression" dxfId="1371" priority="151">
      <formula>AND(X$9&gt;=14/24,X$9&lt;20/24)</formula>
    </cfRule>
    <cfRule type="expression" dxfId="1370" priority="152">
      <formula>AND(X$9&gt;=8/24,X$9&lt;14/24)</formula>
    </cfRule>
    <cfRule type="expression" dxfId="1369" priority="153">
      <formula>X$9&lt;8/24</formula>
    </cfRule>
  </conditionalFormatting>
  <conditionalFormatting sqref="X45">
    <cfRule type="expression" dxfId="1368" priority="146">
      <formula>X$9&gt;=20/24</formula>
    </cfRule>
    <cfRule type="expression" dxfId="1367" priority="147">
      <formula>AND(X$9&gt;=14/24,X$9&lt;20/24)</formula>
    </cfRule>
    <cfRule type="expression" dxfId="1366" priority="148">
      <formula>AND(X$9&gt;=8/24,X$9&lt;14/24)</formula>
    </cfRule>
    <cfRule type="expression" dxfId="1365" priority="149">
      <formula>X$9&lt;8/24</formula>
    </cfRule>
  </conditionalFormatting>
  <conditionalFormatting sqref="X45:X47">
    <cfRule type="expression" dxfId="1364" priority="145">
      <formula>X45&gt;$AG45</formula>
    </cfRule>
  </conditionalFormatting>
  <conditionalFormatting sqref="B101 B80:AF80 B89:AF89 B103:B108 B11:Q11">
    <cfRule type="expression" dxfId="1363" priority="141">
      <formula>B$9&gt;=20/24</formula>
    </cfRule>
    <cfRule type="expression" dxfId="1362" priority="142">
      <formula>AND(B$9&gt;=14/24,B$9&lt;20/24)</formula>
    </cfRule>
    <cfRule type="expression" dxfId="1361" priority="143">
      <formula>AND(B$9&gt;=8/24,B$9&lt;14/24)</formula>
    </cfRule>
    <cfRule type="expression" dxfId="1360" priority="144">
      <formula>B$9&lt;8/24</formula>
    </cfRule>
  </conditionalFormatting>
  <conditionalFormatting sqref="B39:K39">
    <cfRule type="expression" dxfId="1359" priority="137">
      <formula>B$9&gt;=20/24</formula>
    </cfRule>
    <cfRule type="expression" dxfId="1358" priority="138">
      <formula>AND(B$9&gt;=14/24,B$9&lt;20/24)</formula>
    </cfRule>
    <cfRule type="expression" dxfId="1357" priority="139">
      <formula>AND(B$9&gt;=8/24,B$9&lt;14/24)</formula>
    </cfRule>
    <cfRule type="expression" dxfId="1356" priority="140">
      <formula>B$9&lt;8/24</formula>
    </cfRule>
  </conditionalFormatting>
  <conditionalFormatting sqref="B39:K39 B11:Q11">
    <cfRule type="expression" dxfId="1355" priority="136">
      <formula>B11&gt;$AG11</formula>
    </cfRule>
  </conditionalFormatting>
  <conditionalFormatting sqref="B91">
    <cfRule type="expression" dxfId="1354" priority="132">
      <formula>B$9&gt;=20/24</formula>
    </cfRule>
    <cfRule type="expression" dxfId="1353" priority="133">
      <formula>AND(B$9&gt;=14/24,B$9&lt;20/24)</formula>
    </cfRule>
    <cfRule type="expression" dxfId="1352" priority="134">
      <formula>AND(B$9&gt;=8/24,B$9&lt;14/24)</formula>
    </cfRule>
    <cfRule type="expression" dxfId="1351" priority="135">
      <formula>B$9&lt;8/24</formula>
    </cfRule>
  </conditionalFormatting>
  <conditionalFormatting sqref="B63:D63 B38:S38 B46:L47">
    <cfRule type="expression" dxfId="1350" priority="128">
      <formula>B$9&gt;=20/24</formula>
    </cfRule>
    <cfRule type="expression" dxfId="1349" priority="129">
      <formula>AND(B$9&gt;=14/24,B$9&lt;20/24)</formula>
    </cfRule>
    <cfRule type="expression" dxfId="1348" priority="130">
      <formula>AND(B$9&gt;=8/24,B$9&lt;14/24)</formula>
    </cfRule>
    <cfRule type="expression" dxfId="1347" priority="131">
      <formula>B$9&lt;8/24</formula>
    </cfRule>
  </conditionalFormatting>
  <conditionalFormatting sqref="B45:C45">
    <cfRule type="expression" dxfId="1346" priority="124">
      <formula>B$9&gt;=20/24</formula>
    </cfRule>
    <cfRule type="expression" dxfId="1345" priority="125">
      <formula>AND(B$9&gt;=14/24,B$9&lt;20/24)</formula>
    </cfRule>
    <cfRule type="expression" dxfId="1344" priority="126">
      <formula>AND(B$9&gt;=8/24,B$9&lt;14/24)</formula>
    </cfRule>
    <cfRule type="expression" dxfId="1343" priority="127">
      <formula>B$9&lt;8/24</formula>
    </cfRule>
  </conditionalFormatting>
  <conditionalFormatting sqref="B45:C47 B38:S38 D46:L47">
    <cfRule type="expression" dxfId="1342" priority="123">
      <formula>B38&gt;$AG38</formula>
    </cfRule>
  </conditionalFormatting>
  <conditionalFormatting sqref="B59:B62 B75:B79 B81:AF81 B88 C62:AG62 C79:AG79 B90:AF90 B92:C98 M32:S34 B64:D73 C59:R61 C75:L77 E66:S73 B12:Q14 B18:Q18 B25:S27 B29:S29 B31:L34">
    <cfRule type="expression" dxfId="1341" priority="119">
      <formula>B$9&gt;=20/24</formula>
    </cfRule>
    <cfRule type="expression" dxfId="1340" priority="120">
      <formula>AND(B$9&gt;=14/24,B$9&lt;20/24)</formula>
    </cfRule>
    <cfRule type="expression" dxfId="1339" priority="121">
      <formula>AND(B$9&gt;=8/24,B$9&lt;14/24)</formula>
    </cfRule>
    <cfRule type="expression" dxfId="1338" priority="122">
      <formula>B$9&lt;8/24</formula>
    </cfRule>
  </conditionalFormatting>
  <conditionalFormatting sqref="B35:S35">
    <cfRule type="expression" dxfId="1337" priority="115">
      <formula>B$9&gt;=20/24</formula>
    </cfRule>
    <cfRule type="expression" dxfId="1336" priority="116">
      <formula>AND(B$9&gt;=14/24,B$9&lt;20/24)</formula>
    </cfRule>
    <cfRule type="expression" dxfId="1335" priority="117">
      <formula>AND(B$9&gt;=8/24,B$9&lt;14/24)</formula>
    </cfRule>
    <cfRule type="expression" dxfId="1334" priority="118">
      <formula>B$9&lt;8/24</formula>
    </cfRule>
  </conditionalFormatting>
  <conditionalFormatting sqref="B57:B62 B40:AG40 C58:AG58 C62:AG62 M32:S35 C59:R61 B25:S29 B31:L35 B48:L49">
    <cfRule type="expression" dxfId="1333" priority="114">
      <formula>B25&gt;$AG25</formula>
    </cfRule>
  </conditionalFormatting>
  <conditionalFormatting sqref="B37:S37">
    <cfRule type="expression" dxfId="1332" priority="110">
      <formula>B$9&gt;=20/24</formula>
    </cfRule>
    <cfRule type="expression" dxfId="1331" priority="111">
      <formula>AND(B$9&gt;=14/24,B$9&lt;20/24)</formula>
    </cfRule>
    <cfRule type="expression" dxfId="1330" priority="112">
      <formula>AND(B$9&gt;=8/24,B$9&lt;14/24)</formula>
    </cfRule>
    <cfRule type="expression" dxfId="1329" priority="113">
      <formula>B$9&lt;8/24</formula>
    </cfRule>
  </conditionalFormatting>
  <conditionalFormatting sqref="B15:Q15">
    <cfRule type="expression" dxfId="1328" priority="106">
      <formula>B$9&gt;=20/24</formula>
    </cfRule>
    <cfRule type="expression" dxfId="1327" priority="107">
      <formula>AND(B$9&gt;=14/24,B$9&lt;20/24)</formula>
    </cfRule>
    <cfRule type="expression" dxfId="1326" priority="108">
      <formula>AND(B$9&gt;=8/24,B$9&lt;14/24)</formula>
    </cfRule>
    <cfRule type="expression" dxfId="1325" priority="109">
      <formula>B$9&lt;8/24</formula>
    </cfRule>
  </conditionalFormatting>
  <conditionalFormatting sqref="B36:S36">
    <cfRule type="expression" dxfId="1324" priority="102">
      <formula>B$9&gt;=20/24</formula>
    </cfRule>
    <cfRule type="expression" dxfId="1323" priority="103">
      <formula>AND(B$9&gt;=14/24,B$9&lt;20/24)</formula>
    </cfRule>
    <cfRule type="expression" dxfId="1322" priority="104">
      <formula>AND(B$9&gt;=8/24,B$9&lt;14/24)</formula>
    </cfRule>
    <cfRule type="expression" dxfId="1321" priority="105">
      <formula>B$9&lt;8/24</formula>
    </cfRule>
  </conditionalFormatting>
  <conditionalFormatting sqref="B36:S36">
    <cfRule type="expression" dxfId="1320" priority="101">
      <formula>B36&gt;$AG36</formula>
    </cfRule>
  </conditionalFormatting>
  <conditionalFormatting sqref="R52:S56 B50:Q56">
    <cfRule type="expression" dxfId="1319" priority="97">
      <formula>B$9&gt;=20/24</formula>
    </cfRule>
    <cfRule type="expression" dxfId="1318" priority="98">
      <formula>AND(B$9&gt;=14/24,B$9&lt;20/24)</formula>
    </cfRule>
    <cfRule type="expression" dxfId="1317" priority="99">
      <formula>AND(B$9&gt;=8/24,B$9&lt;14/24)</formula>
    </cfRule>
    <cfRule type="expression" dxfId="1316" priority="100">
      <formula>B$9&lt;8/24</formula>
    </cfRule>
  </conditionalFormatting>
  <conditionalFormatting sqref="R52:S56 B50:Q56">
    <cfRule type="expression" dxfId="1315" priority="96">
      <formula>B50&gt;$AG50</formula>
    </cfRule>
  </conditionalFormatting>
  <conditionalFormatting sqref="B28:S28">
    <cfRule type="expression" dxfId="1314" priority="92">
      <formula>B$9&gt;=20/24</formula>
    </cfRule>
    <cfRule type="expression" dxfId="1313" priority="93">
      <formula>AND(B$9&gt;=14/24,B$9&lt;20/24)</formula>
    </cfRule>
    <cfRule type="expression" dxfId="1312" priority="94">
      <formula>AND(B$9&gt;=8/24,B$9&lt;14/24)</formula>
    </cfRule>
    <cfRule type="expression" dxfId="1311" priority="95">
      <formula>B$9&lt;8/24</formula>
    </cfRule>
  </conditionalFormatting>
  <conditionalFormatting sqref="B24:S24 B19:S19">
    <cfRule type="expression" dxfId="1310" priority="88">
      <formula>B$9&gt;=20/24</formula>
    </cfRule>
    <cfRule type="expression" dxfId="1309" priority="89">
      <formula>AND(B$9&gt;=14/24,B$9&lt;20/24)</formula>
    </cfRule>
    <cfRule type="expression" dxfId="1308" priority="90">
      <formula>AND(B$9&gt;=8/24,B$9&lt;14/24)</formula>
    </cfRule>
    <cfRule type="expression" dxfId="1307" priority="91">
      <formula>B$9&lt;8/24</formula>
    </cfRule>
  </conditionalFormatting>
  <conditionalFormatting sqref="B24:S24 B19:S19">
    <cfRule type="expression" dxfId="1306" priority="87">
      <formula>B19&gt;$AG19</formula>
    </cfRule>
  </conditionalFormatting>
  <conditionalFormatting sqref="A36">
    <cfRule type="expression" dxfId="1305" priority="86">
      <formula>$AH36=0</formula>
    </cfRule>
  </conditionalFormatting>
  <conditionalFormatting sqref="B74:AF74">
    <cfRule type="expression" dxfId="1304" priority="82">
      <formula>B$9&gt;=20/24</formula>
    </cfRule>
    <cfRule type="expression" dxfId="1303" priority="83">
      <formula>AND(B$9&gt;=14/24,B$9&lt;20/24)</formula>
    </cfRule>
    <cfRule type="expression" dxfId="1302" priority="84">
      <formula>AND(B$9&gt;=8/24,B$9&lt;14/24)</formula>
    </cfRule>
    <cfRule type="expression" dxfId="1301" priority="85">
      <formula>B$9&lt;8/24</formula>
    </cfRule>
  </conditionalFormatting>
  <conditionalFormatting sqref="B83:AF87">
    <cfRule type="expression" dxfId="1300" priority="78">
      <formula>B$9&gt;=20/24</formula>
    </cfRule>
    <cfRule type="expression" dxfId="1299" priority="79">
      <formula>AND(B$9&gt;=14/24,B$9&lt;20/24)</formula>
    </cfRule>
    <cfRule type="expression" dxfId="1298" priority="80">
      <formula>AND(B$9&gt;=8/24,B$9&lt;14/24)</formula>
    </cfRule>
    <cfRule type="expression" dxfId="1297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1:AF43">
    <cfRule type="expression" dxfId="1296" priority="74">
      <formula>C$9&gt;=20/24</formula>
    </cfRule>
    <cfRule type="expression" dxfId="1295" priority="75">
      <formula>AND(C$9&gt;=14/24,C$9&lt;20/24)</formula>
    </cfRule>
    <cfRule type="expression" dxfId="1294" priority="76">
      <formula>AND(C$9&gt;=8/24,C$9&lt;14/24)</formula>
    </cfRule>
    <cfRule type="expression" dxfId="1293" priority="77">
      <formula>C$9&lt;8/24</formula>
    </cfRule>
  </conditionalFormatting>
  <conditionalFormatting sqref="C41:AF43">
    <cfRule type="expression" dxfId="1292" priority="73">
      <formula>C41&gt;$AG41</formula>
    </cfRule>
  </conditionalFormatting>
  <conditionalFormatting sqref="B41:B44 C44:AG44">
    <cfRule type="expression" dxfId="1291" priority="69">
      <formula>B$9&gt;=20/24</formula>
    </cfRule>
    <cfRule type="expression" dxfId="1290" priority="70">
      <formula>AND(B$9&gt;=14/24,B$9&lt;20/24)</formula>
    </cfRule>
    <cfRule type="expression" dxfId="1289" priority="71">
      <formula>AND(B$9&gt;=8/24,B$9&lt;14/24)</formula>
    </cfRule>
    <cfRule type="expression" dxfId="1288" priority="72">
      <formula>B$9&lt;8/24</formula>
    </cfRule>
  </conditionalFormatting>
  <conditionalFormatting sqref="B41:B44 C44:AG44">
    <cfRule type="expression" dxfId="1287" priority="68">
      <formula>B41&gt;$AG41</formula>
    </cfRule>
  </conditionalFormatting>
  <conditionalFormatting sqref="C99:AF99">
    <cfRule type="expression" dxfId="1286" priority="64">
      <formula>C$9&gt;=20/24</formula>
    </cfRule>
    <cfRule type="expression" dxfId="1285" priority="65">
      <formula>AND(C$9&gt;=14/24,C$9&lt;20/24)</formula>
    </cfRule>
    <cfRule type="expression" dxfId="1284" priority="66">
      <formula>AND(C$9&gt;=8/24,C$9&lt;14/24)</formula>
    </cfRule>
    <cfRule type="expression" dxfId="1283" priority="67">
      <formula>C$9&lt;8/24</formula>
    </cfRule>
  </conditionalFormatting>
  <conditionalFormatting sqref="B99">
    <cfRule type="expression" dxfId="1282" priority="60">
      <formula>B$9&gt;=20/24</formula>
    </cfRule>
    <cfRule type="expression" dxfId="1281" priority="61">
      <formula>AND(B$9&gt;=14/24,B$9&lt;20/24)</formula>
    </cfRule>
    <cfRule type="expression" dxfId="1280" priority="62">
      <formula>AND(B$9&gt;=8/24,B$9&lt;14/24)</formula>
    </cfRule>
    <cfRule type="expression" dxfId="1279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1278" priority="54">
      <formula>$AH33=0</formula>
    </cfRule>
  </conditionalFormatting>
  <conditionalFormatting sqref="A82">
    <cfRule type="expression" dxfId="1277" priority="52">
      <formula>$AH82=0</formula>
    </cfRule>
  </conditionalFormatting>
  <conditionalFormatting sqref="A79">
    <cfRule type="expression" dxfId="1276" priority="53">
      <formula>$AH79=0</formula>
    </cfRule>
  </conditionalFormatting>
  <conditionalFormatting sqref="A109">
    <cfRule type="expression" dxfId="1275" priority="43">
      <formula>$AH109=0</formula>
    </cfRule>
  </conditionalFormatting>
  <conditionalFormatting sqref="C102:AF102">
    <cfRule type="expression" dxfId="1274" priority="39">
      <formula>C$9&gt;=20/24</formula>
    </cfRule>
    <cfRule type="expression" dxfId="1273" priority="40">
      <formula>AND(C$9&gt;=14/24,C$9&lt;20/24)</formula>
    </cfRule>
    <cfRule type="expression" dxfId="1272" priority="41">
      <formula>AND(C$9&gt;=8/24,C$9&lt;14/24)</formula>
    </cfRule>
    <cfRule type="expression" dxfId="1271" priority="42">
      <formula>C$9&lt;8/24</formula>
    </cfRule>
  </conditionalFormatting>
  <conditionalFormatting sqref="A102">
    <cfRule type="expression" dxfId="1270" priority="38">
      <formula>$AH102=0</formula>
    </cfRule>
  </conditionalFormatting>
  <conditionalFormatting sqref="B102">
    <cfRule type="expression" dxfId="1269" priority="34">
      <formula>B$9&gt;=20/24</formula>
    </cfRule>
    <cfRule type="expression" dxfId="1268" priority="35">
      <formula>AND(B$9&gt;=14/24,B$9&lt;20/24)</formula>
    </cfRule>
    <cfRule type="expression" dxfId="1267" priority="36">
      <formula>AND(B$9&gt;=8/24,B$9&lt;14/24)</formula>
    </cfRule>
    <cfRule type="expression" dxfId="1266" priority="37">
      <formula>B$9&lt;8/24</formula>
    </cfRule>
  </conditionalFormatting>
  <conditionalFormatting sqref="U52:AA56">
    <cfRule type="expression" dxfId="1265" priority="30">
      <formula>U$9&gt;=20/24</formula>
    </cfRule>
    <cfRule type="expression" dxfId="1264" priority="31">
      <formula>AND(U$9&gt;=14/24,U$9&lt;20/24)</formula>
    </cfRule>
    <cfRule type="expression" dxfId="1263" priority="32">
      <formula>AND(U$9&gt;=8/24,U$9&lt;14/24)</formula>
    </cfRule>
    <cfRule type="expression" dxfId="1262" priority="33">
      <formula>U$9&lt;8/24</formula>
    </cfRule>
  </conditionalFormatting>
  <conditionalFormatting sqref="U52:AA56">
    <cfRule type="expression" dxfId="1261" priority="29">
      <formula>U52&gt;$AG52</formula>
    </cfRule>
  </conditionalFormatting>
  <conditionalFormatting sqref="B17:AF17">
    <cfRule type="expression" dxfId="1260" priority="27">
      <formula>B17&gt;$AG17</formula>
    </cfRule>
  </conditionalFormatting>
  <conditionalFormatting sqref="A17">
    <cfRule type="expression" dxfId="1259" priority="26">
      <formula>$AH17=0</formula>
    </cfRule>
  </conditionalFormatting>
  <conditionalFormatting sqref="R17:AF17">
    <cfRule type="expression" dxfId="1258" priority="22">
      <formula>R$9&gt;=20/24</formula>
    </cfRule>
    <cfRule type="expression" dxfId="1257" priority="23">
      <formula>AND(R$9&gt;=14/24,R$9&lt;20/24)</formula>
    </cfRule>
    <cfRule type="expression" dxfId="1256" priority="24">
      <formula>AND(R$9&gt;=8/24,R$9&lt;14/24)</formula>
    </cfRule>
    <cfRule type="expression" dxfId="1255" priority="25">
      <formula>R$9&lt;8/24</formula>
    </cfRule>
  </conditionalFormatting>
  <conditionalFormatting sqref="B17:Q17">
    <cfRule type="expression" dxfId="1254" priority="18">
      <formula>B$9&gt;=20/24</formula>
    </cfRule>
    <cfRule type="expression" dxfId="1253" priority="19">
      <formula>AND(B$9&gt;=14/24,B$9&lt;20/24)</formula>
    </cfRule>
    <cfRule type="expression" dxfId="1252" priority="20">
      <formula>AND(B$9&gt;=8/24,B$9&lt;14/24)</formula>
    </cfRule>
    <cfRule type="expression" dxfId="1251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1250" priority="16">
      <formula>$AH30=0</formula>
    </cfRule>
  </conditionalFormatting>
  <conditionalFormatting sqref="T30:AF30">
    <cfRule type="expression" dxfId="1249" priority="12">
      <formula>T$9&gt;=20/24</formula>
    </cfRule>
    <cfRule type="expression" dxfId="1248" priority="13">
      <formula>AND(T$9&gt;=14/24,T$9&lt;20/24)</formula>
    </cfRule>
    <cfRule type="expression" dxfId="1247" priority="14">
      <formula>AND(T$9&gt;=8/24,T$9&lt;14/24)</formula>
    </cfRule>
    <cfRule type="expression" dxfId="1246" priority="15">
      <formula>T$9&lt;8/24</formula>
    </cfRule>
  </conditionalFormatting>
  <conditionalFormatting sqref="T30:AF30">
    <cfRule type="expression" dxfId="1245" priority="11">
      <formula>T30&gt;$AG30</formula>
    </cfRule>
  </conditionalFormatting>
  <conditionalFormatting sqref="M30:S30">
    <cfRule type="expression" dxfId="1244" priority="7">
      <formula>M$9&gt;=20/24</formula>
    </cfRule>
    <cfRule type="expression" dxfId="1243" priority="8">
      <formula>AND(M$9&gt;=14/24,M$9&lt;20/24)</formula>
    </cfRule>
    <cfRule type="expression" dxfId="1242" priority="9">
      <formula>AND(M$9&gt;=8/24,M$9&lt;14/24)</formula>
    </cfRule>
    <cfRule type="expression" dxfId="1241" priority="10">
      <formula>M$9&lt;8/24</formula>
    </cfRule>
  </conditionalFormatting>
  <conditionalFormatting sqref="M30:S30">
    <cfRule type="expression" dxfId="1240" priority="6">
      <formula>M30&gt;$AG30</formula>
    </cfRule>
  </conditionalFormatting>
  <conditionalFormatting sqref="B30:L30">
    <cfRule type="expression" dxfId="1239" priority="2">
      <formula>B$9&gt;=20/24</formula>
    </cfRule>
    <cfRule type="expression" dxfId="1238" priority="3">
      <formula>AND(B$9&gt;=14/24,B$9&lt;20/24)</formula>
    </cfRule>
    <cfRule type="expression" dxfId="1237" priority="4">
      <formula>AND(B$9&gt;=8/24,B$9&lt;14/24)</formula>
    </cfRule>
    <cfRule type="expression" dxfId="1236" priority="5">
      <formula>B$9&lt;8/24</formula>
    </cfRule>
  </conditionalFormatting>
  <conditionalFormatting sqref="B30:L30">
    <cfRule type="expression" dxfId="1235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29BB2094-FE7A-4198-9391-D54ADEC62D97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BE8217CD-5EE3-4B07-A70A-5C5CDBC40693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B279D0CE-3D22-4136-B473-85ACCAC0332A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5C770152-66E2-4008-88E5-0FE0933FB79D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FA45051D-B053-4875-9914-3C1CE9333767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FA75E562-E086-47F4-9EB8-6F9D523E5362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3CEE60B1-FA01-4BE5-B7F6-075BC1DDE775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E13525DB-2348-4094-A73C-C5DFFDD75362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1BD081B2-77E3-4EA3-8B9B-FE7BE53063A3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C6935C7A-42E2-40D2-BB59-4E411147A184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F15ECD86-5FBB-4F28-8537-29970ED4234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CDFC2332-DFF1-4211-AB77-5220D3F5051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J270"/>
  <sheetViews>
    <sheetView zoomScale="90" zoomScaleNormal="90" workbookViewId="0">
      <pane xSplit="1" ySplit="10" topLeftCell="B11" activePane="bottomRight" state="frozen"/>
      <selection activeCell="AF88" sqref="AF88"/>
      <selection pane="topRight" activeCell="AF88" sqref="AF88"/>
      <selection pane="bottomLeft" activeCell="AF88" sqref="AF88"/>
      <selection pane="bottomRight" activeCell="AH11" sqref="AH11:AI109"/>
    </sheetView>
  </sheetViews>
  <sheetFormatPr defaultRowHeight="15" x14ac:dyDescent="0.25"/>
  <cols>
    <col min="1" max="1" width="35.28515625" style="1" bestFit="1" customWidth="1"/>
    <col min="2" max="2" width="6.7109375" style="1" bestFit="1" customWidth="1"/>
    <col min="3" max="3" width="6.140625" style="1" customWidth="1"/>
    <col min="4" max="4" width="7" style="1" customWidth="1"/>
    <col min="5" max="9" width="6.42578125" style="1" bestFit="1" customWidth="1"/>
    <col min="10" max="10" width="6.28515625" style="1" bestFit="1" customWidth="1"/>
    <col min="11" max="13" width="6" style="1" bestFit="1" customWidth="1"/>
    <col min="14" max="15" width="6.28515625" style="1" bestFit="1" customWidth="1"/>
    <col min="16" max="16" width="6.7109375" style="1" customWidth="1"/>
    <col min="17" max="17" width="7.140625" style="1" customWidth="1"/>
    <col min="18" max="18" width="6.28515625" style="1" customWidth="1"/>
    <col min="19" max="19" width="7" style="1" customWidth="1"/>
    <col min="20" max="20" width="6.85546875" style="1" customWidth="1"/>
    <col min="21" max="21" width="6.28515625" style="1" bestFit="1" customWidth="1"/>
    <col min="22" max="26" width="6.85546875" style="1" customWidth="1"/>
    <col min="27" max="27" width="7.140625" style="1" customWidth="1"/>
    <col min="28" max="32" width="6.85546875" style="1" customWidth="1"/>
    <col min="33" max="33" width="14.42578125" style="1" customWidth="1"/>
    <col min="34" max="35" width="8" style="1" customWidth="1"/>
    <col min="36" max="37" width="9.140625" style="1"/>
    <col min="38" max="41" width="9.140625" style="1" customWidth="1"/>
    <col min="42" max="16384" width="9.140625" style="1"/>
  </cols>
  <sheetData>
    <row r="1" spans="1:88" ht="36" customHeight="1" thickBot="1" x14ac:dyDescent="0.3">
      <c r="A1" s="173" t="s">
        <v>240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4" t="s">
        <v>223</v>
      </c>
      <c r="AH1" s="174"/>
      <c r="AI1" s="174"/>
      <c r="AL1" s="164"/>
    </row>
    <row r="2" spans="1:88" ht="20.25" x14ac:dyDescent="0.25">
      <c r="A2" s="163"/>
      <c r="B2" s="175" t="s">
        <v>238</v>
      </c>
      <c r="C2" s="162"/>
      <c r="D2" s="177" t="s">
        <v>237</v>
      </c>
      <c r="E2" s="162"/>
      <c r="F2" s="177" t="s">
        <v>236</v>
      </c>
      <c r="G2" s="162"/>
      <c r="H2" s="177" t="s">
        <v>235</v>
      </c>
      <c r="I2" s="161"/>
      <c r="J2" s="179" t="s">
        <v>239</v>
      </c>
      <c r="K2" s="160" t="s">
        <v>238</v>
      </c>
      <c r="L2" s="160" t="s">
        <v>237</v>
      </c>
      <c r="M2" s="160" t="s">
        <v>236</v>
      </c>
      <c r="N2" s="159" t="s">
        <v>235</v>
      </c>
      <c r="O2" s="143"/>
      <c r="P2" s="143"/>
      <c r="Q2" s="158"/>
      <c r="R2" s="158"/>
      <c r="S2" s="158"/>
      <c r="T2" s="158"/>
      <c r="U2" s="158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57">
        <f>AG40</f>
        <v>707.78000000000009</v>
      </c>
      <c r="AH2" s="147" t="s">
        <v>10</v>
      </c>
      <c r="AI2" s="139"/>
      <c r="AM2" s="156"/>
      <c r="AN2" s="155"/>
      <c r="AO2" s="155"/>
    </row>
    <row r="3" spans="1:88" ht="19.5" thickBot="1" x14ac:dyDescent="0.3">
      <c r="A3" s="123"/>
      <c r="B3" s="176"/>
      <c r="C3" s="154"/>
      <c r="D3" s="178"/>
      <c r="E3" s="154"/>
      <c r="F3" s="178"/>
      <c r="G3" s="154"/>
      <c r="H3" s="178"/>
      <c r="I3" s="153"/>
      <c r="J3" s="179"/>
      <c r="K3" s="152"/>
      <c r="L3" s="152"/>
      <c r="M3" s="152"/>
      <c r="N3" s="152"/>
      <c r="O3" s="150"/>
      <c r="P3" s="150"/>
      <c r="Q3" s="143"/>
      <c r="R3" s="143"/>
      <c r="S3" s="143"/>
      <c r="T3" s="143"/>
      <c r="U3" s="143"/>
      <c r="V3" s="151" t="s">
        <v>234</v>
      </c>
      <c r="W3" s="151"/>
      <c r="X3" s="151" t="s">
        <v>233</v>
      </c>
      <c r="Y3" s="151"/>
      <c r="Z3" s="151"/>
      <c r="AA3" s="151"/>
      <c r="AB3" s="150"/>
      <c r="AC3" s="122"/>
      <c r="AD3" s="122"/>
      <c r="AE3" s="122"/>
      <c r="AF3" s="122"/>
      <c r="AG3" s="141">
        <f>AG58</f>
        <v>489.91</v>
      </c>
      <c r="AH3" s="147" t="s">
        <v>232</v>
      </c>
      <c r="AI3" s="139"/>
      <c r="AL3" s="134"/>
      <c r="AM3" s="121"/>
      <c r="AN3" s="121"/>
      <c r="AO3" s="121"/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121"/>
      <c r="BP3" s="121"/>
      <c r="BQ3" s="121"/>
      <c r="BR3" s="121"/>
      <c r="BS3" s="121"/>
      <c r="BT3" s="121"/>
      <c r="BU3" s="121"/>
      <c r="BV3" s="121"/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1"/>
      <c r="CH3" s="121"/>
      <c r="CI3" s="121"/>
      <c r="CJ3" s="121"/>
    </row>
    <row r="4" spans="1:88" ht="18.75" x14ac:dyDescent="0.25">
      <c r="A4" s="149" t="s">
        <v>231</v>
      </c>
      <c r="B4" s="180" t="e">
        <f ca="1">"2079/"&amp;"06/"&amp;INT(MID(CELL("filename",D6),FIND("]",CELL("filename",D6))+1,200))</f>
        <v>#VALUE!</v>
      </c>
      <c r="C4" s="180"/>
      <c r="D4" s="180"/>
      <c r="E4" s="181" t="str">
        <f ca="1">IFERROR([1]!DateBStoAD(B4),"")</f>
        <v/>
      </c>
      <c r="F4" s="181"/>
      <c r="G4" s="181"/>
      <c r="H4" s="181" t="str">
        <f ca="1">TEXT(E4,"dddd")</f>
        <v/>
      </c>
      <c r="I4" s="181"/>
      <c r="J4" s="49"/>
      <c r="K4" s="1" t="str">
        <f>"Total Peak Supply(Inclusive of Export) ("&amp;ROUND(B241,0)&amp;" MW)"&amp;"    IPP   = "&amp;ROUND(B236,0)&amp;" MW     NEA RoR = "&amp;ROUND(B237,0)&amp;" MWImport   = "&amp;ROUND(B239,0)&amp;" MW      KL1+KL2+K3 = "&amp;ROUND(B238,0) &amp;" MW    EXPORT = "&amp;ROUND(B240,0)</f>
        <v>Total Peak Supply(Inclusive of Export) (0 MW)    IPP   = 0 MW     NEA RoR = 0 MWImport   = 0 MW      KL1+KL2+K3 = 0 MW    EXPORT = 0</v>
      </c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2"/>
      <c r="AE4" s="142"/>
      <c r="AF4" s="142"/>
      <c r="AG4" s="141">
        <f>AG62</f>
        <v>106</v>
      </c>
      <c r="AH4" s="147" t="s">
        <v>230</v>
      </c>
      <c r="AI4" s="139"/>
      <c r="AL4" s="124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1"/>
      <c r="BF4" s="121"/>
      <c r="BG4" s="121"/>
      <c r="BH4" s="121"/>
      <c r="BI4" s="121"/>
      <c r="BJ4" s="121"/>
      <c r="BK4" s="121"/>
      <c r="BL4" s="121"/>
      <c r="BM4" s="121"/>
      <c r="BN4" s="121"/>
      <c r="BO4" s="121"/>
      <c r="BP4" s="121"/>
      <c r="BQ4" s="121"/>
      <c r="BR4" s="121"/>
      <c r="BS4" s="121"/>
      <c r="BT4" s="121"/>
      <c r="BU4" s="121"/>
      <c r="BV4" s="12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1"/>
      <c r="CH4" s="121"/>
      <c r="CI4" s="121"/>
      <c r="CJ4" s="121"/>
    </row>
    <row r="5" spans="1:88" ht="15.75" customHeight="1" x14ac:dyDescent="0.25">
      <c r="A5" s="145"/>
      <c r="B5" s="148">
        <f t="shared" ref="B5:AE5" si="0">C74</f>
        <v>0</v>
      </c>
      <c r="C5" s="148">
        <f t="shared" si="0"/>
        <v>0</v>
      </c>
      <c r="D5" s="148">
        <f t="shared" si="0"/>
        <v>0</v>
      </c>
      <c r="E5" s="148">
        <f t="shared" si="0"/>
        <v>0</v>
      </c>
      <c r="F5" s="148">
        <f t="shared" si="0"/>
        <v>0</v>
      </c>
      <c r="G5" s="148">
        <f t="shared" si="0"/>
        <v>0</v>
      </c>
      <c r="H5" s="148">
        <f t="shared" si="0"/>
        <v>0</v>
      </c>
      <c r="I5" s="148">
        <f t="shared" si="0"/>
        <v>0</v>
      </c>
      <c r="J5" s="148">
        <f t="shared" si="0"/>
        <v>0</v>
      </c>
      <c r="K5" s="148">
        <f t="shared" si="0"/>
        <v>0</v>
      </c>
      <c r="L5" s="148">
        <f t="shared" si="0"/>
        <v>0</v>
      </c>
      <c r="M5" s="148">
        <f t="shared" si="0"/>
        <v>0</v>
      </c>
      <c r="N5" s="148">
        <f t="shared" si="0"/>
        <v>0</v>
      </c>
      <c r="O5" s="148">
        <f t="shared" si="0"/>
        <v>0</v>
      </c>
      <c r="P5" s="148">
        <f t="shared" si="0"/>
        <v>0</v>
      </c>
      <c r="Q5" s="148">
        <f t="shared" si="0"/>
        <v>0</v>
      </c>
      <c r="R5" s="148">
        <f t="shared" si="0"/>
        <v>0</v>
      </c>
      <c r="S5" s="148">
        <f t="shared" si="0"/>
        <v>0</v>
      </c>
      <c r="T5" s="148">
        <f t="shared" si="0"/>
        <v>0</v>
      </c>
      <c r="U5" s="148">
        <f t="shared" si="0"/>
        <v>0</v>
      </c>
      <c r="V5" s="148">
        <f t="shared" si="0"/>
        <v>0</v>
      </c>
      <c r="W5" s="148">
        <f t="shared" si="0"/>
        <v>0</v>
      </c>
      <c r="X5" s="148">
        <f t="shared" si="0"/>
        <v>0</v>
      </c>
      <c r="Y5" s="148">
        <f t="shared" si="0"/>
        <v>0</v>
      </c>
      <c r="Z5" s="148">
        <f t="shared" si="0"/>
        <v>0</v>
      </c>
      <c r="AA5" s="148">
        <f t="shared" si="0"/>
        <v>0</v>
      </c>
      <c r="AB5" s="148">
        <f t="shared" si="0"/>
        <v>0</v>
      </c>
      <c r="AC5" s="148">
        <f t="shared" si="0"/>
        <v>0</v>
      </c>
      <c r="AD5" s="148">
        <f t="shared" si="0"/>
        <v>0</v>
      </c>
      <c r="AE5" s="148">
        <f t="shared" si="0"/>
        <v>0</v>
      </c>
      <c r="AF5" s="148">
        <f>B74</f>
        <v>0</v>
      </c>
      <c r="AG5" s="141"/>
      <c r="AH5" s="147"/>
      <c r="AI5" s="139"/>
      <c r="AL5" s="124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1"/>
      <c r="BM5" s="121"/>
      <c r="BN5" s="121"/>
      <c r="BO5" s="121"/>
      <c r="BP5" s="121"/>
      <c r="BQ5" s="121"/>
      <c r="BR5" s="121"/>
      <c r="BS5" s="121"/>
      <c r="BT5" s="121"/>
      <c r="BU5" s="121"/>
      <c r="BV5" s="121"/>
      <c r="BW5" s="121"/>
      <c r="BX5" s="121"/>
      <c r="BY5" s="121"/>
      <c r="BZ5" s="121"/>
      <c r="CA5" s="121"/>
      <c r="CB5" s="121"/>
      <c r="CC5" s="121"/>
      <c r="CD5" s="121"/>
      <c r="CE5" s="121"/>
      <c r="CF5" s="121"/>
      <c r="CG5" s="121"/>
      <c r="CH5" s="121"/>
      <c r="CI5" s="121"/>
      <c r="CJ5" s="121"/>
    </row>
    <row r="6" spans="1:88" ht="18.75" x14ac:dyDescent="0.25">
      <c r="A6" s="145"/>
      <c r="B6" s="146"/>
      <c r="C6" s="145"/>
      <c r="D6" s="144"/>
      <c r="E6" s="144"/>
      <c r="F6" s="144"/>
      <c r="G6" s="144"/>
      <c r="H6" s="144"/>
      <c r="I6" s="144"/>
      <c r="J6" s="49"/>
      <c r="K6" s="1" t="str">
        <f>"Evening Peak "&amp;ROUND(B241,0)&amp;"MW at "&amp;TRUNC(B242*24,0)&amp;":"&amp;ROUND((B242*24-TRUNC(B242*24,0))*60,0)&amp;"hr at "&amp;ROUND(B243,1)&amp;"Hz     "&amp;A233&amp;" "&amp;ROUND(B233,0)&amp;"MW at "&amp;TRUNC(C233*24,0)&amp;":"&amp;ROUND((C233*24-TRUNC(C233*24,0))*6,0)&amp;"0hr"</f>
        <v>Evening Peak 0MW at 0:0hr at 0Hz     Morning Peak 304MW at 4:60hr</v>
      </c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2"/>
      <c r="AE6" s="142"/>
      <c r="AF6" s="142"/>
      <c r="AG6" s="141">
        <f>SUM(AG2:AG4)</f>
        <v>1303.69</v>
      </c>
      <c r="AH6" s="140" t="s">
        <v>229</v>
      </c>
      <c r="AI6" s="139"/>
      <c r="AL6" s="124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1"/>
      <c r="BK6" s="121"/>
      <c r="BL6" s="121"/>
      <c r="BM6" s="121"/>
      <c r="BN6" s="121"/>
      <c r="BO6" s="121"/>
      <c r="BP6" s="121"/>
      <c r="BQ6" s="121"/>
      <c r="BR6" s="121"/>
      <c r="BS6" s="121"/>
      <c r="BT6" s="121"/>
      <c r="BU6" s="121"/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</row>
    <row r="7" spans="1:88" ht="16.5" thickBot="1" x14ac:dyDescent="0.3">
      <c r="A7" s="138" t="str">
        <f>"Base Load="&amp;ROUND(MIN($B$7:$AF$7),0)</f>
        <v>Base Load=4</v>
      </c>
      <c r="B7" s="137">
        <f t="shared" ref="B7:AF7" si="1">B81</f>
        <v>303.54000000000002</v>
      </c>
      <c r="C7" s="137">
        <f t="shared" si="1"/>
        <v>303.54000000000002</v>
      </c>
      <c r="D7" s="137">
        <f t="shared" si="1"/>
        <v>303.54000000000002</v>
      </c>
      <c r="E7" s="137">
        <f t="shared" si="1"/>
        <v>303.54000000000002</v>
      </c>
      <c r="F7" s="137">
        <f t="shared" si="1"/>
        <v>303.54000000000002</v>
      </c>
      <c r="G7" s="137">
        <f t="shared" si="1"/>
        <v>303.54000000000002</v>
      </c>
      <c r="H7" s="137">
        <f t="shared" si="1"/>
        <v>303.54000000000002</v>
      </c>
      <c r="I7" s="137">
        <f t="shared" si="1"/>
        <v>303.54000000000002</v>
      </c>
      <c r="J7" s="137">
        <f t="shared" si="1"/>
        <v>303.54000000000002</v>
      </c>
      <c r="K7" s="137">
        <f t="shared" si="1"/>
        <v>303.54000000000002</v>
      </c>
      <c r="L7" s="137">
        <f t="shared" si="1"/>
        <v>303.54000000000002</v>
      </c>
      <c r="M7" s="137">
        <f t="shared" si="1"/>
        <v>303.54000000000002</v>
      </c>
      <c r="N7" s="137">
        <f t="shared" si="1"/>
        <v>303.54000000000002</v>
      </c>
      <c r="O7" s="137">
        <f t="shared" si="1"/>
        <v>303.54000000000002</v>
      </c>
      <c r="P7" s="137">
        <f t="shared" si="1"/>
        <v>303.54000000000002</v>
      </c>
      <c r="Q7" s="137">
        <f t="shared" si="1"/>
        <v>303.54000000000002</v>
      </c>
      <c r="R7" s="137">
        <f t="shared" si="1"/>
        <v>303.54000000000002</v>
      </c>
      <c r="S7" s="137">
        <f t="shared" si="1"/>
        <v>303.54000000000002</v>
      </c>
      <c r="T7" s="137">
        <f t="shared" si="1"/>
        <v>303.54000000000002</v>
      </c>
      <c r="U7" s="137">
        <f t="shared" si="1"/>
        <v>303.54000000000002</v>
      </c>
      <c r="V7" s="137">
        <f t="shared" si="1"/>
        <v>303.54000000000002</v>
      </c>
      <c r="W7" s="137">
        <f t="shared" si="1"/>
        <v>303.54000000000002</v>
      </c>
      <c r="X7" s="137">
        <f t="shared" si="1"/>
        <v>303.54000000000002</v>
      </c>
      <c r="Y7" s="137">
        <f t="shared" si="1"/>
        <v>303.54000000000002</v>
      </c>
      <c r="Z7" s="137">
        <f t="shared" si="1"/>
        <v>303.54000000000002</v>
      </c>
      <c r="AA7" s="137">
        <f t="shared" si="1"/>
        <v>303.54000000000002</v>
      </c>
      <c r="AB7" s="137">
        <f t="shared" si="1"/>
        <v>3.54</v>
      </c>
      <c r="AC7" s="137">
        <f t="shared" si="1"/>
        <v>3.54</v>
      </c>
      <c r="AD7" s="137">
        <f t="shared" si="1"/>
        <v>3.54</v>
      </c>
      <c r="AE7" s="137">
        <f t="shared" si="1"/>
        <v>3.54</v>
      </c>
      <c r="AF7" s="137">
        <f t="shared" si="1"/>
        <v>3.54</v>
      </c>
      <c r="AG7" s="136"/>
      <c r="AI7" s="135"/>
      <c r="AL7" s="134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  <c r="BK7" s="121"/>
      <c r="BL7" s="121"/>
      <c r="BM7" s="121"/>
      <c r="BN7" s="121"/>
      <c r="BO7" s="121"/>
      <c r="BP7" s="121"/>
      <c r="BQ7" s="121"/>
      <c r="BR7" s="121"/>
      <c r="BS7" s="121"/>
      <c r="BT7" s="121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</row>
    <row r="8" spans="1:88" ht="17.25" thickTop="1" thickBot="1" x14ac:dyDescent="0.3">
      <c r="A8" s="133"/>
      <c r="B8" s="182" t="s">
        <v>228</v>
      </c>
      <c r="C8" s="183"/>
      <c r="D8" s="183"/>
      <c r="E8" s="183"/>
      <c r="F8" s="183"/>
      <c r="G8" s="183"/>
      <c r="H8" s="183"/>
      <c r="I8" s="183"/>
      <c r="J8" s="183"/>
      <c r="K8" s="183"/>
      <c r="L8" s="184"/>
      <c r="M8" s="185" t="s">
        <v>227</v>
      </c>
      <c r="N8" s="186"/>
      <c r="O8" s="186"/>
      <c r="P8" s="186"/>
      <c r="Q8" s="186"/>
      <c r="R8" s="187"/>
      <c r="S8" s="185" t="s">
        <v>226</v>
      </c>
      <c r="T8" s="186"/>
      <c r="U8" s="186"/>
      <c r="V8" s="186"/>
      <c r="W8" s="186"/>
      <c r="X8" s="186"/>
      <c r="Y8" s="186"/>
      <c r="Z8" s="186"/>
      <c r="AA8" s="187"/>
      <c r="AB8" s="185" t="s">
        <v>225</v>
      </c>
      <c r="AC8" s="186"/>
      <c r="AD8" s="186"/>
      <c r="AE8" s="186"/>
      <c r="AF8" s="187"/>
      <c r="AG8" s="132"/>
      <c r="AH8" s="131"/>
      <c r="AI8" s="129"/>
      <c r="AL8" s="124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1"/>
      <c r="BD8" s="121"/>
      <c r="BE8" s="121"/>
      <c r="BF8" s="121"/>
      <c r="BG8" s="121"/>
      <c r="BH8" s="121"/>
      <c r="BI8" s="121"/>
      <c r="BJ8" s="121"/>
      <c r="BK8" s="121"/>
      <c r="BL8" s="121"/>
      <c r="BM8" s="121"/>
      <c r="BN8" s="121"/>
      <c r="BO8" s="121"/>
      <c r="BP8" s="121"/>
      <c r="BQ8" s="121"/>
      <c r="BR8" s="121"/>
      <c r="BS8" s="121"/>
      <c r="BT8" s="121"/>
      <c r="BU8" s="121"/>
      <c r="BV8" s="121"/>
      <c r="BW8" s="121"/>
      <c r="BX8" s="121"/>
      <c r="BY8" s="121"/>
      <c r="BZ8" s="121"/>
      <c r="CA8" s="121"/>
      <c r="CB8" s="121"/>
      <c r="CC8" s="121"/>
      <c r="CD8" s="121"/>
      <c r="CE8" s="121"/>
      <c r="CF8" s="121"/>
      <c r="CG8" s="121"/>
      <c r="CH8" s="121"/>
      <c r="CI8" s="121"/>
      <c r="CJ8" s="121"/>
    </row>
    <row r="9" spans="1:88" ht="13.5" customHeight="1" thickTop="1" x14ac:dyDescent="0.25">
      <c r="A9" s="188" t="s">
        <v>224</v>
      </c>
      <c r="B9" s="190">
        <v>0</v>
      </c>
      <c r="C9" s="190">
        <v>4.1666666666666664E-2</v>
      </c>
      <c r="D9" s="190">
        <v>8.3333333333333301E-2</v>
      </c>
      <c r="E9" s="190">
        <v>0.125</v>
      </c>
      <c r="F9" s="190">
        <v>0.16666666666666699</v>
      </c>
      <c r="G9" s="190">
        <v>0.20833333333333301</v>
      </c>
      <c r="H9" s="190">
        <v>0.22916666666666666</v>
      </c>
      <c r="I9" s="190">
        <v>0.25</v>
      </c>
      <c r="J9" s="190">
        <v>0.27083333333333331</v>
      </c>
      <c r="K9" s="190">
        <v>0.29166666666666669</v>
      </c>
      <c r="L9" s="190">
        <v>0.3125</v>
      </c>
      <c r="M9" s="196">
        <v>0.33333333333333331</v>
      </c>
      <c r="N9" s="196">
        <v>0.375</v>
      </c>
      <c r="O9" s="196">
        <v>0.41666666666666702</v>
      </c>
      <c r="P9" s="196">
        <v>0.45833333333333298</v>
      </c>
      <c r="Q9" s="196">
        <v>0.5</v>
      </c>
      <c r="R9" s="196">
        <v>0.54166666666666696</v>
      </c>
      <c r="S9" s="192">
        <v>0.58333333333333304</v>
      </c>
      <c r="T9" s="192">
        <v>0.625</v>
      </c>
      <c r="U9" s="192">
        <v>0.66666666666666696</v>
      </c>
      <c r="V9" s="192">
        <v>0.70833333333333304</v>
      </c>
      <c r="W9" s="192">
        <v>0.72916666666666663</v>
      </c>
      <c r="X9" s="192">
        <v>0.75</v>
      </c>
      <c r="Y9" s="192">
        <v>0.77083333333333337</v>
      </c>
      <c r="Z9" s="192">
        <v>0.79166666666666663</v>
      </c>
      <c r="AA9" s="192">
        <v>0.8125</v>
      </c>
      <c r="AB9" s="192">
        <v>0.83333333333333337</v>
      </c>
      <c r="AC9" s="192">
        <v>0.85416666666666663</v>
      </c>
      <c r="AD9" s="192">
        <v>0.875</v>
      </c>
      <c r="AE9" s="192">
        <v>0.91666666666666696</v>
      </c>
      <c r="AF9" s="192">
        <v>0.95833333333333304</v>
      </c>
      <c r="AG9" s="193" t="s">
        <v>223</v>
      </c>
      <c r="AH9" s="130"/>
      <c r="AI9" s="129"/>
      <c r="AL9" s="124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</row>
    <row r="10" spans="1:88" ht="15.75" thickBot="1" x14ac:dyDescent="0.3">
      <c r="A10" s="189"/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7"/>
      <c r="N10" s="197"/>
      <c r="O10" s="197"/>
      <c r="P10" s="197"/>
      <c r="Q10" s="197"/>
      <c r="R10" s="197"/>
      <c r="S10" s="191"/>
      <c r="T10" s="191"/>
      <c r="U10" s="191"/>
      <c r="V10" s="191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4"/>
      <c r="AH10" s="2"/>
      <c r="AL10" s="124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</row>
    <row r="11" spans="1:88" ht="15.75" thickTop="1" x14ac:dyDescent="0.25">
      <c r="A11" s="97" t="s">
        <v>222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28"/>
      <c r="U11" s="128"/>
      <c r="V11" s="128"/>
      <c r="W11" s="128"/>
      <c r="X11" s="128"/>
      <c r="Y11" s="128"/>
      <c r="Z11" s="128"/>
      <c r="AA11" s="128"/>
      <c r="AB11" s="128"/>
      <c r="AC11" s="128"/>
      <c r="AD11" s="128"/>
      <c r="AE11" s="128"/>
      <c r="AF11" s="128"/>
      <c r="AG11" s="127">
        <v>52.4</v>
      </c>
      <c r="AH11" s="20">
        <f>MAX(B11:AF11)</f>
        <v>0</v>
      </c>
      <c r="AI11" s="19">
        <f>MIN(B11:AF11)</f>
        <v>0</v>
      </c>
      <c r="AK11" s="41"/>
      <c r="AL11" s="124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</row>
    <row r="12" spans="1:88" x14ac:dyDescent="0.25">
      <c r="A12" s="97" t="s">
        <v>221</v>
      </c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26">
        <v>50</v>
      </c>
      <c r="AH12" s="20">
        <f t="shared" ref="AH12:AH75" si="2">MAX(B12:AF12)</f>
        <v>0</v>
      </c>
      <c r="AI12" s="19">
        <f t="shared" ref="AI12:AI75" si="3">MIN(B12:AF12)</f>
        <v>0</v>
      </c>
      <c r="AK12" s="41"/>
      <c r="AL12" s="124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</row>
    <row r="13" spans="1:88" x14ac:dyDescent="0.25">
      <c r="A13" s="97" t="s">
        <v>220</v>
      </c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26">
        <v>45</v>
      </c>
      <c r="AH13" s="20">
        <f t="shared" si="2"/>
        <v>0</v>
      </c>
      <c r="AI13" s="19">
        <f t="shared" si="3"/>
        <v>0</v>
      </c>
      <c r="AK13" s="41"/>
      <c r="AL13" s="124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</row>
    <row r="14" spans="1:88" x14ac:dyDescent="0.25">
      <c r="A14" s="97" t="s">
        <v>219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26">
        <v>42</v>
      </c>
      <c r="AH14" s="20">
        <f t="shared" si="2"/>
        <v>0</v>
      </c>
      <c r="AI14" s="19">
        <f t="shared" si="3"/>
        <v>0</v>
      </c>
      <c r="AK14" s="41"/>
      <c r="AL14" s="124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</row>
    <row r="15" spans="1:88" x14ac:dyDescent="0.25">
      <c r="A15" s="97" t="s">
        <v>218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96">
        <v>30</v>
      </c>
      <c r="AH15" s="20">
        <f t="shared" si="2"/>
        <v>0</v>
      </c>
      <c r="AI15" s="19">
        <f t="shared" si="3"/>
        <v>0</v>
      </c>
      <c r="AK15" s="41"/>
      <c r="AL15" s="124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</row>
    <row r="16" spans="1:88" x14ac:dyDescent="0.25">
      <c r="A16" s="97" t="s">
        <v>273</v>
      </c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26">
        <v>24.2</v>
      </c>
      <c r="AH16" s="20">
        <f t="shared" si="2"/>
        <v>0</v>
      </c>
      <c r="AI16" s="19">
        <f t="shared" si="3"/>
        <v>0</v>
      </c>
      <c r="AK16" s="41"/>
      <c r="AL16" s="124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</row>
    <row r="17" spans="1:88" x14ac:dyDescent="0.25">
      <c r="A17" s="97" t="s">
        <v>268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96">
        <v>30</v>
      </c>
      <c r="AH17" s="20">
        <f t="shared" si="2"/>
        <v>0</v>
      </c>
      <c r="AI17" s="19">
        <f t="shared" si="3"/>
        <v>0</v>
      </c>
      <c r="AK17" s="41"/>
      <c r="AL17" s="124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</row>
    <row r="18" spans="1:88" x14ac:dyDescent="0.25">
      <c r="A18" s="97" t="s">
        <v>217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26">
        <v>25</v>
      </c>
      <c r="AH18" s="20">
        <f t="shared" si="2"/>
        <v>0</v>
      </c>
      <c r="AI18" s="19">
        <f t="shared" si="3"/>
        <v>0</v>
      </c>
      <c r="AK18" s="41"/>
      <c r="AL18" s="124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</row>
    <row r="19" spans="1:88" x14ac:dyDescent="0.25">
      <c r="A19" s="97" t="s">
        <v>216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26">
        <v>25</v>
      </c>
      <c r="AH19" s="20">
        <f t="shared" si="2"/>
        <v>0</v>
      </c>
      <c r="AI19" s="19">
        <f t="shared" si="3"/>
        <v>0</v>
      </c>
      <c r="AK19" s="41"/>
      <c r="AL19" s="124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</row>
    <row r="20" spans="1:88" x14ac:dyDescent="0.25">
      <c r="A20" s="97" t="s">
        <v>215</v>
      </c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26">
        <v>25</v>
      </c>
      <c r="AH20" s="20">
        <f t="shared" si="2"/>
        <v>0</v>
      </c>
      <c r="AI20" s="19">
        <f t="shared" si="3"/>
        <v>0</v>
      </c>
      <c r="AK20" s="41"/>
      <c r="AL20" s="124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</row>
    <row r="21" spans="1:88" x14ac:dyDescent="0.25">
      <c r="A21" s="97" t="s">
        <v>213</v>
      </c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26">
        <v>23.5</v>
      </c>
      <c r="AH21" s="20">
        <f t="shared" si="2"/>
        <v>0</v>
      </c>
      <c r="AI21" s="19">
        <f t="shared" si="3"/>
        <v>0</v>
      </c>
      <c r="AK21" s="41"/>
      <c r="AL21" s="124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</row>
    <row r="22" spans="1:88" x14ac:dyDescent="0.25">
      <c r="A22" s="97" t="s">
        <v>212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26">
        <v>22.2</v>
      </c>
      <c r="AH22" s="20">
        <f t="shared" si="2"/>
        <v>0</v>
      </c>
      <c r="AI22" s="19">
        <f t="shared" si="3"/>
        <v>0</v>
      </c>
      <c r="AK22" s="41"/>
      <c r="AL22" s="124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</row>
    <row r="23" spans="1:88" x14ac:dyDescent="0.25">
      <c r="A23" s="97" t="s">
        <v>211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26">
        <v>22.1</v>
      </c>
      <c r="AH23" s="20">
        <f t="shared" si="2"/>
        <v>0</v>
      </c>
      <c r="AI23" s="19">
        <f t="shared" si="3"/>
        <v>0</v>
      </c>
      <c r="AK23" s="41"/>
      <c r="AL23" s="124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</row>
    <row r="24" spans="1:88" x14ac:dyDescent="0.25">
      <c r="A24" s="97" t="s">
        <v>210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26">
        <v>22</v>
      </c>
      <c r="AH24" s="20">
        <f t="shared" si="2"/>
        <v>0</v>
      </c>
      <c r="AI24" s="19">
        <f t="shared" si="3"/>
        <v>0</v>
      </c>
      <c r="AK24" s="41"/>
      <c r="AL24" s="124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</row>
    <row r="25" spans="1:88" x14ac:dyDescent="0.25">
      <c r="A25" s="97" t="s">
        <v>209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26">
        <v>22</v>
      </c>
      <c r="AH25" s="20">
        <f t="shared" si="2"/>
        <v>0</v>
      </c>
      <c r="AI25" s="19">
        <f t="shared" si="3"/>
        <v>0</v>
      </c>
      <c r="AK25" s="41"/>
      <c r="AL25" s="124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</row>
    <row r="26" spans="1:88" x14ac:dyDescent="0.25">
      <c r="A26" s="97" t="s">
        <v>208</v>
      </c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26">
        <v>20</v>
      </c>
      <c r="AH26" s="20">
        <f t="shared" si="2"/>
        <v>0</v>
      </c>
      <c r="AI26" s="19">
        <f t="shared" si="3"/>
        <v>0</v>
      </c>
      <c r="AK26" s="41"/>
      <c r="AL26" s="124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</row>
    <row r="27" spans="1:88" x14ac:dyDescent="0.25">
      <c r="A27" s="97" t="s">
        <v>207</v>
      </c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26">
        <v>14.9</v>
      </c>
      <c r="AH27" s="20">
        <f t="shared" si="2"/>
        <v>0</v>
      </c>
      <c r="AI27" s="19">
        <f t="shared" si="3"/>
        <v>0</v>
      </c>
      <c r="AK27" s="41"/>
      <c r="AL27" s="124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</row>
    <row r="28" spans="1:88" x14ac:dyDescent="0.25">
      <c r="A28" s="97" t="s">
        <v>206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26">
        <v>13.6</v>
      </c>
      <c r="AH28" s="20">
        <f t="shared" si="2"/>
        <v>0</v>
      </c>
      <c r="AI28" s="19">
        <f t="shared" si="3"/>
        <v>0</v>
      </c>
      <c r="AK28" s="41"/>
      <c r="AL28" s="124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</row>
    <row r="29" spans="1:88" x14ac:dyDescent="0.25">
      <c r="A29" s="97" t="s">
        <v>205</v>
      </c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26">
        <v>13</v>
      </c>
      <c r="AH29" s="20">
        <f t="shared" si="2"/>
        <v>0</v>
      </c>
      <c r="AI29" s="19">
        <f t="shared" si="3"/>
        <v>0</v>
      </c>
      <c r="AK29" s="41"/>
      <c r="AL29" s="124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</row>
    <row r="30" spans="1:88" x14ac:dyDescent="0.25">
      <c r="A30" s="97" t="s">
        <v>270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26">
        <v>12</v>
      </c>
      <c r="AH30" s="20">
        <f t="shared" si="2"/>
        <v>0</v>
      </c>
      <c r="AI30" s="19">
        <f t="shared" si="3"/>
        <v>0</v>
      </c>
      <c r="AK30" s="41"/>
      <c r="AL30" s="124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</row>
    <row r="31" spans="1:88" x14ac:dyDescent="0.25">
      <c r="A31" s="97" t="s">
        <v>204</v>
      </c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26">
        <v>12</v>
      </c>
      <c r="AH31" s="20">
        <f t="shared" si="2"/>
        <v>0</v>
      </c>
      <c r="AI31" s="19">
        <f t="shared" si="3"/>
        <v>0</v>
      </c>
      <c r="AK31" s="41"/>
      <c r="AL31" s="124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1"/>
      <c r="AX31" s="121"/>
      <c r="AY31" s="121"/>
      <c r="AZ31" s="121"/>
      <c r="BA31" s="121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1"/>
      <c r="BM31" s="121"/>
      <c r="BN31" s="121"/>
      <c r="BO31" s="121"/>
      <c r="BP31" s="121"/>
      <c r="BQ31" s="121"/>
      <c r="BR31" s="121"/>
      <c r="BS31" s="121"/>
      <c r="BT31" s="121"/>
      <c r="BU31" s="121"/>
      <c r="BV31" s="121"/>
      <c r="BW31" s="121"/>
      <c r="BX31" s="121"/>
      <c r="BY31" s="121"/>
      <c r="BZ31" s="121"/>
      <c r="CA31" s="121"/>
      <c r="CB31" s="121"/>
      <c r="CC31" s="121"/>
      <c r="CD31" s="121"/>
      <c r="CE31" s="121"/>
      <c r="CF31" s="121"/>
      <c r="CG31" s="121"/>
      <c r="CH31" s="121"/>
      <c r="CI31" s="121"/>
      <c r="CJ31" s="121"/>
    </row>
    <row r="32" spans="1:88" x14ac:dyDescent="0.25">
      <c r="A32" s="97" t="s">
        <v>203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26">
        <v>12</v>
      </c>
      <c r="AH32" s="20">
        <f t="shared" si="2"/>
        <v>0</v>
      </c>
      <c r="AI32" s="19">
        <f t="shared" si="3"/>
        <v>0</v>
      </c>
      <c r="AK32" s="41"/>
      <c r="AL32" s="124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1"/>
      <c r="BA32" s="121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</row>
    <row r="33" spans="1:88" ht="14.25" customHeight="1" x14ac:dyDescent="0.25">
      <c r="A33" s="97" t="s">
        <v>202</v>
      </c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25">
        <v>22</v>
      </c>
      <c r="AH33" s="20">
        <f t="shared" si="2"/>
        <v>0</v>
      </c>
      <c r="AI33" s="19">
        <f t="shared" si="3"/>
        <v>0</v>
      </c>
      <c r="AK33" s="41"/>
      <c r="AL33" s="124"/>
      <c r="AM33" s="121"/>
      <c r="AN33" s="121"/>
      <c r="AO33" s="121"/>
      <c r="AP33" s="121"/>
      <c r="AQ33" s="123"/>
      <c r="AR33" s="122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</row>
    <row r="34" spans="1:88" ht="14.25" customHeight="1" x14ac:dyDescent="0.25">
      <c r="A34" s="97" t="s">
        <v>201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96">
        <v>11.88</v>
      </c>
      <c r="AH34" s="20">
        <f t="shared" si="2"/>
        <v>0</v>
      </c>
      <c r="AI34" s="19">
        <f t="shared" si="3"/>
        <v>0</v>
      </c>
      <c r="AK34" s="41"/>
      <c r="AL34" s="124"/>
      <c r="AM34" s="121"/>
      <c r="AN34" s="121"/>
      <c r="AO34" s="121"/>
      <c r="AP34" s="121"/>
      <c r="AQ34" s="123"/>
      <c r="AR34" s="122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</row>
    <row r="35" spans="1:88" ht="14.25" customHeight="1" x14ac:dyDescent="0.25">
      <c r="A35" s="95" t="s">
        <v>200</v>
      </c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  <c r="AD35" s="105"/>
      <c r="AE35" s="105"/>
      <c r="AF35" s="105"/>
      <c r="AG35" s="94">
        <v>11</v>
      </c>
      <c r="AH35" s="20">
        <f t="shared" si="2"/>
        <v>0</v>
      </c>
      <c r="AI35" s="19">
        <f t="shared" si="3"/>
        <v>0</v>
      </c>
      <c r="AK35" s="41"/>
      <c r="AL35" s="124"/>
      <c r="AM35" s="121"/>
      <c r="AN35" s="121"/>
      <c r="AO35" s="121"/>
      <c r="AP35" s="121"/>
      <c r="AQ35" s="123"/>
      <c r="AR35" s="122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</row>
    <row r="36" spans="1:88" ht="14.25" customHeight="1" x14ac:dyDescent="0.25">
      <c r="A36" s="95" t="s">
        <v>199</v>
      </c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  <c r="AD36" s="105"/>
      <c r="AE36" s="105"/>
      <c r="AF36" s="105"/>
      <c r="AG36" s="94">
        <v>10</v>
      </c>
      <c r="AH36" s="20">
        <f t="shared" si="2"/>
        <v>0</v>
      </c>
      <c r="AI36" s="19">
        <f t="shared" si="3"/>
        <v>0</v>
      </c>
      <c r="AK36" s="41"/>
      <c r="AL36" s="124"/>
      <c r="AM36" s="121"/>
      <c r="AN36" s="121"/>
      <c r="AO36" s="121"/>
      <c r="AP36" s="121"/>
      <c r="AQ36" s="123"/>
      <c r="AR36" s="122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</row>
    <row r="37" spans="1:88" x14ac:dyDescent="0.25">
      <c r="A37" s="95" t="s">
        <v>198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  <c r="AD37" s="105"/>
      <c r="AE37" s="105"/>
      <c r="AF37" s="105"/>
      <c r="AG37" s="94">
        <v>10</v>
      </c>
      <c r="AH37" s="20">
        <f t="shared" si="2"/>
        <v>0</v>
      </c>
      <c r="AI37" s="19">
        <f t="shared" si="3"/>
        <v>0</v>
      </c>
      <c r="AK37" s="41"/>
      <c r="AL37" s="124"/>
      <c r="AO37" s="121"/>
      <c r="AP37" s="121"/>
      <c r="AQ37" s="123"/>
      <c r="AR37" s="122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</row>
    <row r="38" spans="1:88" x14ac:dyDescent="0.25">
      <c r="A38" s="111" t="s">
        <v>197</v>
      </c>
      <c r="B38" s="113">
        <v>300</v>
      </c>
      <c r="C38" s="113">
        <v>300</v>
      </c>
      <c r="D38" s="113">
        <v>300</v>
      </c>
      <c r="E38" s="113">
        <v>300</v>
      </c>
      <c r="F38" s="113">
        <v>300</v>
      </c>
      <c r="G38" s="113">
        <v>300</v>
      </c>
      <c r="H38" s="113">
        <v>300</v>
      </c>
      <c r="I38" s="113">
        <v>300</v>
      </c>
      <c r="J38" s="113">
        <v>300</v>
      </c>
      <c r="K38" s="113">
        <v>300</v>
      </c>
      <c r="L38" s="113">
        <v>300</v>
      </c>
      <c r="M38" s="113">
        <v>300</v>
      </c>
      <c r="N38" s="113">
        <v>300</v>
      </c>
      <c r="O38" s="113">
        <v>300</v>
      </c>
      <c r="P38" s="113">
        <v>300</v>
      </c>
      <c r="Q38" s="113">
        <v>300</v>
      </c>
      <c r="R38" s="113">
        <v>300</v>
      </c>
      <c r="S38" s="113">
        <v>300</v>
      </c>
      <c r="T38" s="113">
        <v>300</v>
      </c>
      <c r="U38" s="113">
        <v>300</v>
      </c>
      <c r="V38" s="113">
        <v>300</v>
      </c>
      <c r="W38" s="113">
        <v>300</v>
      </c>
      <c r="X38" s="113">
        <v>300</v>
      </c>
      <c r="Y38" s="113">
        <v>300</v>
      </c>
      <c r="Z38" s="113">
        <v>300</v>
      </c>
      <c r="AA38" s="113">
        <v>300</v>
      </c>
      <c r="AB38" s="113"/>
      <c r="AC38" s="113"/>
      <c r="AD38" s="113"/>
      <c r="AE38" s="113"/>
      <c r="AF38" s="113"/>
      <c r="AG38" s="94">
        <v>85</v>
      </c>
      <c r="AH38" s="20">
        <f t="shared" si="2"/>
        <v>300</v>
      </c>
      <c r="AI38" s="19">
        <f t="shared" si="3"/>
        <v>300</v>
      </c>
      <c r="AK38" s="41"/>
    </row>
    <row r="39" spans="1:88" ht="15.75" thickBot="1" x14ac:dyDescent="0.3">
      <c r="A39" s="120" t="s">
        <v>196</v>
      </c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3"/>
      <c r="M39" s="113"/>
      <c r="N39" s="113"/>
      <c r="O39" s="113"/>
      <c r="P39" s="113"/>
      <c r="Q39" s="113"/>
      <c r="R39" s="113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94">
        <v>240</v>
      </c>
      <c r="AH39" s="20">
        <f t="shared" si="2"/>
        <v>0</v>
      </c>
      <c r="AI39" s="19">
        <f t="shared" si="3"/>
        <v>0</v>
      </c>
      <c r="AK39" s="41"/>
    </row>
    <row r="40" spans="1:88" ht="15.75" thickBot="1" x14ac:dyDescent="0.3">
      <c r="A40" s="118" t="s">
        <v>195</v>
      </c>
      <c r="B40" s="86">
        <f t="shared" ref="B40:AG40" si="4">SUM(B11:B38)</f>
        <v>300</v>
      </c>
      <c r="C40" s="86">
        <f t="shared" si="4"/>
        <v>300</v>
      </c>
      <c r="D40" s="86">
        <f t="shared" si="4"/>
        <v>300</v>
      </c>
      <c r="E40" s="86">
        <f t="shared" si="4"/>
        <v>300</v>
      </c>
      <c r="F40" s="86">
        <f t="shared" si="4"/>
        <v>300</v>
      </c>
      <c r="G40" s="86">
        <f t="shared" si="4"/>
        <v>300</v>
      </c>
      <c r="H40" s="86">
        <f t="shared" si="4"/>
        <v>300</v>
      </c>
      <c r="I40" s="86">
        <f t="shared" si="4"/>
        <v>300</v>
      </c>
      <c r="J40" s="86">
        <f t="shared" si="4"/>
        <v>300</v>
      </c>
      <c r="K40" s="86">
        <f t="shared" si="4"/>
        <v>300</v>
      </c>
      <c r="L40" s="86">
        <f t="shared" si="4"/>
        <v>300</v>
      </c>
      <c r="M40" s="86">
        <f t="shared" si="4"/>
        <v>300</v>
      </c>
      <c r="N40" s="86">
        <f t="shared" si="4"/>
        <v>300</v>
      </c>
      <c r="O40" s="86">
        <f t="shared" si="4"/>
        <v>300</v>
      </c>
      <c r="P40" s="86">
        <f t="shared" si="4"/>
        <v>300</v>
      </c>
      <c r="Q40" s="86">
        <f t="shared" si="4"/>
        <v>300</v>
      </c>
      <c r="R40" s="86">
        <f t="shared" si="4"/>
        <v>300</v>
      </c>
      <c r="S40" s="86">
        <f t="shared" si="4"/>
        <v>300</v>
      </c>
      <c r="T40" s="86">
        <f t="shared" si="4"/>
        <v>300</v>
      </c>
      <c r="U40" s="86">
        <f t="shared" si="4"/>
        <v>300</v>
      </c>
      <c r="V40" s="86">
        <f t="shared" si="4"/>
        <v>300</v>
      </c>
      <c r="W40" s="86">
        <f t="shared" si="4"/>
        <v>300</v>
      </c>
      <c r="X40" s="86">
        <f t="shared" si="4"/>
        <v>300</v>
      </c>
      <c r="Y40" s="86">
        <f t="shared" si="4"/>
        <v>300</v>
      </c>
      <c r="Z40" s="86">
        <f t="shared" si="4"/>
        <v>300</v>
      </c>
      <c r="AA40" s="86">
        <f t="shared" si="4"/>
        <v>300</v>
      </c>
      <c r="AB40" s="86">
        <f t="shared" si="4"/>
        <v>0</v>
      </c>
      <c r="AC40" s="86">
        <f t="shared" si="4"/>
        <v>0</v>
      </c>
      <c r="AD40" s="86">
        <f t="shared" si="4"/>
        <v>0</v>
      </c>
      <c r="AE40" s="86">
        <f t="shared" si="4"/>
        <v>0</v>
      </c>
      <c r="AF40" s="86">
        <f t="shared" si="4"/>
        <v>0</v>
      </c>
      <c r="AG40" s="101">
        <f t="shared" si="4"/>
        <v>707.78000000000009</v>
      </c>
      <c r="AH40" s="20">
        <f t="shared" si="2"/>
        <v>300</v>
      </c>
      <c r="AI40" s="19">
        <f t="shared" si="3"/>
        <v>0</v>
      </c>
      <c r="AK40" s="41"/>
    </row>
    <row r="41" spans="1:88" x14ac:dyDescent="0.25">
      <c r="A41" s="117" t="s">
        <v>194</v>
      </c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96">
        <v>456</v>
      </c>
      <c r="AH41" s="20">
        <f t="shared" si="2"/>
        <v>0</v>
      </c>
      <c r="AI41" s="19">
        <f t="shared" si="3"/>
        <v>0</v>
      </c>
      <c r="AK41" s="41"/>
    </row>
    <row r="42" spans="1:88" x14ac:dyDescent="0.25">
      <c r="A42" s="116" t="s">
        <v>193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94">
        <v>60</v>
      </c>
      <c r="AH42" s="20">
        <f t="shared" si="2"/>
        <v>0</v>
      </c>
      <c r="AI42" s="19">
        <f t="shared" si="3"/>
        <v>0</v>
      </c>
      <c r="AK42" s="41"/>
    </row>
    <row r="43" spans="1:88" ht="15.75" thickBot="1" x14ac:dyDescent="0.3">
      <c r="A43" s="115" t="s">
        <v>192</v>
      </c>
      <c r="B43" s="107"/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6">
        <v>22.1</v>
      </c>
      <c r="AH43" s="20">
        <f t="shared" si="2"/>
        <v>0</v>
      </c>
      <c r="AI43" s="19">
        <f t="shared" si="3"/>
        <v>0</v>
      </c>
      <c r="AK43" s="41"/>
    </row>
    <row r="44" spans="1:88" ht="15.75" thickBot="1" x14ac:dyDescent="0.3">
      <c r="A44" s="114" t="s">
        <v>191</v>
      </c>
      <c r="B44" s="86">
        <f t="shared" ref="B44:AG44" si="5">SUM(B41:B43)</f>
        <v>0</v>
      </c>
      <c r="C44" s="86">
        <f t="shared" si="5"/>
        <v>0</v>
      </c>
      <c r="D44" s="86">
        <f t="shared" si="5"/>
        <v>0</v>
      </c>
      <c r="E44" s="86">
        <f t="shared" si="5"/>
        <v>0</v>
      </c>
      <c r="F44" s="86">
        <f t="shared" si="5"/>
        <v>0</v>
      </c>
      <c r="G44" s="86">
        <f t="shared" si="5"/>
        <v>0</v>
      </c>
      <c r="H44" s="86">
        <f t="shared" si="5"/>
        <v>0</v>
      </c>
      <c r="I44" s="86">
        <f t="shared" si="5"/>
        <v>0</v>
      </c>
      <c r="J44" s="86">
        <f t="shared" si="5"/>
        <v>0</v>
      </c>
      <c r="K44" s="86">
        <f t="shared" si="5"/>
        <v>0</v>
      </c>
      <c r="L44" s="86">
        <f t="shared" si="5"/>
        <v>0</v>
      </c>
      <c r="M44" s="86">
        <f t="shared" si="5"/>
        <v>0</v>
      </c>
      <c r="N44" s="86">
        <f t="shared" si="5"/>
        <v>0</v>
      </c>
      <c r="O44" s="86">
        <f t="shared" si="5"/>
        <v>0</v>
      </c>
      <c r="P44" s="86">
        <f t="shared" si="5"/>
        <v>0</v>
      </c>
      <c r="Q44" s="86">
        <f t="shared" si="5"/>
        <v>0</v>
      </c>
      <c r="R44" s="86">
        <f t="shared" si="5"/>
        <v>0</v>
      </c>
      <c r="S44" s="86">
        <f t="shared" si="5"/>
        <v>0</v>
      </c>
      <c r="T44" s="86">
        <f t="shared" si="5"/>
        <v>0</v>
      </c>
      <c r="U44" s="86">
        <f t="shared" si="5"/>
        <v>0</v>
      </c>
      <c r="V44" s="86">
        <f t="shared" si="5"/>
        <v>0</v>
      </c>
      <c r="W44" s="86">
        <f t="shared" si="5"/>
        <v>0</v>
      </c>
      <c r="X44" s="86">
        <f t="shared" si="5"/>
        <v>0</v>
      </c>
      <c r="Y44" s="86">
        <f t="shared" si="5"/>
        <v>0</v>
      </c>
      <c r="Z44" s="86">
        <f t="shared" si="5"/>
        <v>0</v>
      </c>
      <c r="AA44" s="86">
        <f t="shared" si="5"/>
        <v>0</v>
      </c>
      <c r="AB44" s="86">
        <f t="shared" si="5"/>
        <v>0</v>
      </c>
      <c r="AC44" s="86">
        <f t="shared" si="5"/>
        <v>0</v>
      </c>
      <c r="AD44" s="86">
        <f t="shared" si="5"/>
        <v>0</v>
      </c>
      <c r="AE44" s="86">
        <f t="shared" si="5"/>
        <v>0</v>
      </c>
      <c r="AF44" s="86">
        <f t="shared" si="5"/>
        <v>0</v>
      </c>
      <c r="AG44" s="101">
        <f t="shared" si="5"/>
        <v>538.1</v>
      </c>
      <c r="AH44" s="20">
        <f t="shared" si="2"/>
        <v>0</v>
      </c>
      <c r="AI44" s="19">
        <f t="shared" si="3"/>
        <v>0</v>
      </c>
      <c r="AK44" s="41"/>
    </row>
    <row r="45" spans="1:88" x14ac:dyDescent="0.25">
      <c r="A45" s="97" t="s">
        <v>190</v>
      </c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  <c r="AD45" s="105"/>
      <c r="AE45" s="105"/>
      <c r="AF45" s="105"/>
      <c r="AG45" s="96">
        <v>144</v>
      </c>
      <c r="AH45" s="20">
        <f t="shared" si="2"/>
        <v>0</v>
      </c>
      <c r="AI45" s="19">
        <f t="shared" si="3"/>
        <v>0</v>
      </c>
      <c r="AK45" s="41"/>
    </row>
    <row r="46" spans="1:88" x14ac:dyDescent="0.25">
      <c r="A46" s="95" t="s">
        <v>189</v>
      </c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105"/>
      <c r="O46" s="105"/>
      <c r="P46" s="105"/>
      <c r="Q46" s="105"/>
      <c r="R46" s="105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94">
        <v>70</v>
      </c>
      <c r="AH46" s="20">
        <f t="shared" si="2"/>
        <v>0</v>
      </c>
      <c r="AI46" s="19">
        <f t="shared" si="3"/>
        <v>0</v>
      </c>
      <c r="AK46" s="41"/>
    </row>
    <row r="47" spans="1:88" x14ac:dyDescent="0.25">
      <c r="A47" s="95" t="s">
        <v>188</v>
      </c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105"/>
      <c r="O47" s="105"/>
      <c r="P47" s="105"/>
      <c r="Q47" s="105"/>
      <c r="R47" s="105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94">
        <v>69</v>
      </c>
      <c r="AH47" s="20">
        <f t="shared" si="2"/>
        <v>0</v>
      </c>
      <c r="AI47" s="19">
        <f t="shared" si="3"/>
        <v>0</v>
      </c>
      <c r="AK47" s="41"/>
    </row>
    <row r="48" spans="1:88" x14ac:dyDescent="0.25">
      <c r="A48" s="95" t="s">
        <v>187</v>
      </c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80"/>
      <c r="N48" s="105"/>
      <c r="O48" s="105"/>
      <c r="P48" s="105"/>
      <c r="Q48" s="105"/>
      <c r="R48" s="105"/>
      <c r="S48" s="105"/>
      <c r="T48" s="105"/>
      <c r="U48" s="105"/>
      <c r="V48" s="80"/>
      <c r="W48" s="80"/>
      <c r="X48" s="80"/>
      <c r="Y48" s="80"/>
      <c r="Z48" s="80"/>
      <c r="AA48" s="80"/>
      <c r="AB48" s="113"/>
      <c r="AC48" s="113"/>
      <c r="AD48" s="113"/>
      <c r="AE48" s="113"/>
      <c r="AF48" s="113"/>
      <c r="AG48" s="94">
        <v>60</v>
      </c>
      <c r="AH48" s="20">
        <f t="shared" si="2"/>
        <v>0</v>
      </c>
      <c r="AI48" s="19">
        <f t="shared" si="3"/>
        <v>0</v>
      </c>
      <c r="AK48" s="41"/>
    </row>
    <row r="49" spans="1:41" x14ac:dyDescent="0.25">
      <c r="A49" s="95" t="s">
        <v>186</v>
      </c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80"/>
      <c r="N49" s="105"/>
      <c r="O49" s="105"/>
      <c r="P49" s="105"/>
      <c r="Q49" s="105"/>
      <c r="R49" s="105"/>
      <c r="S49" s="105"/>
      <c r="T49" s="105"/>
      <c r="U49" s="105"/>
      <c r="V49" s="80"/>
      <c r="W49" s="80"/>
      <c r="X49" s="80"/>
      <c r="Y49" s="80"/>
      <c r="Z49" s="80"/>
      <c r="AA49" s="80"/>
      <c r="AB49" s="113"/>
      <c r="AC49" s="113"/>
      <c r="AD49" s="113"/>
      <c r="AE49" s="113"/>
      <c r="AF49" s="113"/>
      <c r="AG49" s="94">
        <v>30</v>
      </c>
      <c r="AH49" s="20">
        <f t="shared" si="2"/>
        <v>0</v>
      </c>
      <c r="AI49" s="19">
        <f t="shared" si="3"/>
        <v>0</v>
      </c>
      <c r="AK49" s="41"/>
    </row>
    <row r="50" spans="1:41" x14ac:dyDescent="0.25">
      <c r="A50" s="95" t="s">
        <v>185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80"/>
      <c r="AC50" s="80"/>
      <c r="AD50" s="80"/>
      <c r="AE50" s="80"/>
      <c r="AF50" s="80"/>
      <c r="AG50" s="94">
        <v>25</v>
      </c>
      <c r="AH50" s="20">
        <f t="shared" si="2"/>
        <v>0</v>
      </c>
      <c r="AI50" s="19">
        <f t="shared" si="3"/>
        <v>0</v>
      </c>
      <c r="AK50" s="41"/>
    </row>
    <row r="51" spans="1:41" x14ac:dyDescent="0.25">
      <c r="A51" s="95" t="s">
        <v>184</v>
      </c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80"/>
      <c r="AC51" s="80"/>
      <c r="AD51" s="80"/>
      <c r="AE51" s="80"/>
      <c r="AF51" s="80"/>
      <c r="AG51" s="94">
        <v>24</v>
      </c>
      <c r="AH51" s="20">
        <f t="shared" si="2"/>
        <v>0</v>
      </c>
      <c r="AI51" s="19">
        <f t="shared" si="3"/>
        <v>0</v>
      </c>
      <c r="AK51" s="41"/>
    </row>
    <row r="52" spans="1:41" x14ac:dyDescent="0.25">
      <c r="A52" s="95" t="s">
        <v>183</v>
      </c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105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94">
        <v>15</v>
      </c>
      <c r="AH52" s="20">
        <f t="shared" si="2"/>
        <v>0</v>
      </c>
      <c r="AI52" s="19">
        <f t="shared" si="3"/>
        <v>0</v>
      </c>
      <c r="AK52" s="41"/>
      <c r="AL52" s="112"/>
      <c r="AO52" s="112"/>
    </row>
    <row r="53" spans="1:41" s="112" customFormat="1" x14ac:dyDescent="0.25">
      <c r="A53" s="95" t="s">
        <v>182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105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  <c r="AG53" s="94">
        <v>14.1</v>
      </c>
      <c r="AH53" s="20">
        <f t="shared" si="2"/>
        <v>0</v>
      </c>
      <c r="AI53" s="19">
        <f t="shared" si="3"/>
        <v>0</v>
      </c>
      <c r="AJ53" s="1"/>
      <c r="AK53" s="41"/>
      <c r="AL53" s="1"/>
      <c r="AM53" s="1"/>
      <c r="AN53" s="1"/>
      <c r="AO53" s="1"/>
    </row>
    <row r="54" spans="1:41" x14ac:dyDescent="0.25">
      <c r="A54" s="108" t="s">
        <v>181</v>
      </c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105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94">
        <v>14</v>
      </c>
      <c r="AH54" s="20">
        <f t="shared" si="2"/>
        <v>0</v>
      </c>
      <c r="AI54" s="19">
        <f t="shared" si="3"/>
        <v>0</v>
      </c>
      <c r="AK54" s="41"/>
    </row>
    <row r="55" spans="1:41" x14ac:dyDescent="0.25">
      <c r="A55" s="95" t="s">
        <v>180</v>
      </c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105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94">
        <v>10.050000000000001</v>
      </c>
      <c r="AH55" s="20">
        <f t="shared" si="2"/>
        <v>0</v>
      </c>
      <c r="AI55" s="19">
        <f t="shared" si="3"/>
        <v>0</v>
      </c>
      <c r="AK55" s="41"/>
    </row>
    <row r="56" spans="1:41" x14ac:dyDescent="0.25">
      <c r="A56" s="95" t="s">
        <v>179</v>
      </c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105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94">
        <v>6.2</v>
      </c>
      <c r="AH56" s="20">
        <f t="shared" si="2"/>
        <v>0</v>
      </c>
      <c r="AI56" s="19">
        <f t="shared" si="3"/>
        <v>0</v>
      </c>
      <c r="AK56" s="41"/>
    </row>
    <row r="57" spans="1:41" ht="15.75" thickBot="1" x14ac:dyDescent="0.3">
      <c r="A57" s="111" t="s">
        <v>17</v>
      </c>
      <c r="B57" s="110">
        <v>3.54</v>
      </c>
      <c r="C57" s="110">
        <v>3.54</v>
      </c>
      <c r="D57" s="110">
        <v>3.54</v>
      </c>
      <c r="E57" s="110">
        <v>3.54</v>
      </c>
      <c r="F57" s="110">
        <v>3.54</v>
      </c>
      <c r="G57" s="110">
        <v>3.54</v>
      </c>
      <c r="H57" s="110">
        <v>3.54</v>
      </c>
      <c r="I57" s="110">
        <v>3.54</v>
      </c>
      <c r="J57" s="110">
        <v>3.54</v>
      </c>
      <c r="K57" s="110">
        <v>3.54</v>
      </c>
      <c r="L57" s="110">
        <v>3.54</v>
      </c>
      <c r="M57" s="110">
        <v>3.54</v>
      </c>
      <c r="N57" s="110">
        <v>3.54</v>
      </c>
      <c r="O57" s="110">
        <v>3.54</v>
      </c>
      <c r="P57" s="110">
        <v>3.54</v>
      </c>
      <c r="Q57" s="110">
        <v>3.54</v>
      </c>
      <c r="R57" s="110">
        <v>3.54</v>
      </c>
      <c r="S57" s="110">
        <v>3.54</v>
      </c>
      <c r="T57" s="110">
        <v>3.54</v>
      </c>
      <c r="U57" s="110">
        <v>3.54</v>
      </c>
      <c r="V57" s="110">
        <v>3.54</v>
      </c>
      <c r="W57" s="110">
        <v>3.54</v>
      </c>
      <c r="X57" s="110">
        <v>3.54</v>
      </c>
      <c r="Y57" s="110">
        <v>3.54</v>
      </c>
      <c r="Z57" s="110">
        <v>3.54</v>
      </c>
      <c r="AA57" s="110">
        <v>3.54</v>
      </c>
      <c r="AB57" s="110">
        <v>3.54</v>
      </c>
      <c r="AC57" s="110">
        <v>3.54</v>
      </c>
      <c r="AD57" s="110">
        <v>3.54</v>
      </c>
      <c r="AE57" s="110">
        <v>3.54</v>
      </c>
      <c r="AF57" s="110">
        <v>3.54</v>
      </c>
      <c r="AG57" s="109">
        <f>AG224</f>
        <v>8.56</v>
      </c>
      <c r="AH57" s="20">
        <f t="shared" si="2"/>
        <v>3.54</v>
      </c>
      <c r="AI57" s="19">
        <f t="shared" si="3"/>
        <v>3.54</v>
      </c>
      <c r="AK57" s="41"/>
    </row>
    <row r="58" spans="1:41" ht="15.75" thickBot="1" x14ac:dyDescent="0.3">
      <c r="A58" s="87" t="s">
        <v>178</v>
      </c>
      <c r="B58" s="86">
        <f t="shared" ref="B58:AG58" si="6">SUM(B45:B57)</f>
        <v>3.54</v>
      </c>
      <c r="C58" s="86">
        <f t="shared" si="6"/>
        <v>3.54</v>
      </c>
      <c r="D58" s="86">
        <f t="shared" si="6"/>
        <v>3.54</v>
      </c>
      <c r="E58" s="86">
        <f t="shared" si="6"/>
        <v>3.54</v>
      </c>
      <c r="F58" s="86">
        <f t="shared" si="6"/>
        <v>3.54</v>
      </c>
      <c r="G58" s="86">
        <f t="shared" si="6"/>
        <v>3.54</v>
      </c>
      <c r="H58" s="86">
        <f t="shared" si="6"/>
        <v>3.54</v>
      </c>
      <c r="I58" s="86">
        <f t="shared" si="6"/>
        <v>3.54</v>
      </c>
      <c r="J58" s="86">
        <f t="shared" si="6"/>
        <v>3.54</v>
      </c>
      <c r="K58" s="86">
        <f t="shared" si="6"/>
        <v>3.54</v>
      </c>
      <c r="L58" s="86">
        <f t="shared" si="6"/>
        <v>3.54</v>
      </c>
      <c r="M58" s="86">
        <f t="shared" si="6"/>
        <v>3.54</v>
      </c>
      <c r="N58" s="86">
        <f t="shared" si="6"/>
        <v>3.54</v>
      </c>
      <c r="O58" s="86">
        <f t="shared" si="6"/>
        <v>3.54</v>
      </c>
      <c r="P58" s="86">
        <f t="shared" si="6"/>
        <v>3.54</v>
      </c>
      <c r="Q58" s="86">
        <f t="shared" si="6"/>
        <v>3.54</v>
      </c>
      <c r="R58" s="86">
        <f t="shared" si="6"/>
        <v>3.54</v>
      </c>
      <c r="S58" s="86">
        <f t="shared" si="6"/>
        <v>3.54</v>
      </c>
      <c r="T58" s="86">
        <f t="shared" si="6"/>
        <v>3.54</v>
      </c>
      <c r="U58" s="86">
        <f t="shared" si="6"/>
        <v>3.54</v>
      </c>
      <c r="V58" s="86">
        <f t="shared" si="6"/>
        <v>3.54</v>
      </c>
      <c r="W58" s="86">
        <f t="shared" si="6"/>
        <v>3.54</v>
      </c>
      <c r="X58" s="86">
        <f t="shared" si="6"/>
        <v>3.54</v>
      </c>
      <c r="Y58" s="86">
        <f t="shared" si="6"/>
        <v>3.54</v>
      </c>
      <c r="Z58" s="86">
        <f t="shared" si="6"/>
        <v>3.54</v>
      </c>
      <c r="AA58" s="86">
        <f t="shared" si="6"/>
        <v>3.54</v>
      </c>
      <c r="AB58" s="86">
        <f t="shared" si="6"/>
        <v>3.54</v>
      </c>
      <c r="AC58" s="86">
        <f t="shared" si="6"/>
        <v>3.54</v>
      </c>
      <c r="AD58" s="86">
        <f t="shared" si="6"/>
        <v>3.54</v>
      </c>
      <c r="AE58" s="86">
        <f t="shared" si="6"/>
        <v>3.54</v>
      </c>
      <c r="AF58" s="86">
        <f t="shared" si="6"/>
        <v>3.54</v>
      </c>
      <c r="AG58" s="101">
        <f t="shared" si="6"/>
        <v>489.91</v>
      </c>
      <c r="AH58" s="20">
        <f t="shared" si="2"/>
        <v>3.54</v>
      </c>
      <c r="AI58" s="19">
        <f t="shared" si="3"/>
        <v>3.54</v>
      </c>
      <c r="AK58" s="41"/>
    </row>
    <row r="59" spans="1:41" x14ac:dyDescent="0.25">
      <c r="A59" s="97" t="s">
        <v>177</v>
      </c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  <c r="AD59" s="105"/>
      <c r="AE59" s="105"/>
      <c r="AF59" s="105"/>
      <c r="AG59" s="96">
        <v>60</v>
      </c>
      <c r="AH59" s="20">
        <f t="shared" si="2"/>
        <v>0</v>
      </c>
      <c r="AI59" s="19">
        <f t="shared" si="3"/>
        <v>0</v>
      </c>
      <c r="AK59" s="41"/>
    </row>
    <row r="60" spans="1:41" x14ac:dyDescent="0.25">
      <c r="A60" s="95" t="s">
        <v>176</v>
      </c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94">
        <v>32</v>
      </c>
      <c r="AH60" s="20">
        <f t="shared" si="2"/>
        <v>0</v>
      </c>
      <c r="AI60" s="19">
        <f t="shared" si="3"/>
        <v>0</v>
      </c>
      <c r="AK60" s="41"/>
    </row>
    <row r="61" spans="1:41" ht="15.75" thickBot="1" x14ac:dyDescent="0.3">
      <c r="A61" s="108" t="s">
        <v>175</v>
      </c>
      <c r="B61" s="107"/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7"/>
      <c r="T61" s="107"/>
      <c r="U61" s="107"/>
      <c r="V61" s="107"/>
      <c r="W61" s="107"/>
      <c r="X61" s="107"/>
      <c r="Y61" s="107"/>
      <c r="Z61" s="107"/>
      <c r="AA61" s="107"/>
      <c r="AB61" s="107"/>
      <c r="AC61" s="107"/>
      <c r="AD61" s="107"/>
      <c r="AE61" s="107"/>
      <c r="AF61" s="107"/>
      <c r="AG61" s="106">
        <v>14</v>
      </c>
      <c r="AH61" s="20">
        <f t="shared" si="2"/>
        <v>0</v>
      </c>
      <c r="AI61" s="19">
        <f t="shared" si="3"/>
        <v>0</v>
      </c>
      <c r="AK61" s="41"/>
    </row>
    <row r="62" spans="1:41" ht="15.75" thickBot="1" x14ac:dyDescent="0.3">
      <c r="A62" s="87" t="s">
        <v>174</v>
      </c>
      <c r="B62" s="86">
        <f t="shared" ref="B62:AG62" si="7">SUM(B59:B61)</f>
        <v>0</v>
      </c>
      <c r="C62" s="86">
        <f t="shared" si="7"/>
        <v>0</v>
      </c>
      <c r="D62" s="86">
        <f t="shared" si="7"/>
        <v>0</v>
      </c>
      <c r="E62" s="86">
        <f t="shared" si="7"/>
        <v>0</v>
      </c>
      <c r="F62" s="86">
        <f t="shared" si="7"/>
        <v>0</v>
      </c>
      <c r="G62" s="86">
        <f t="shared" si="7"/>
        <v>0</v>
      </c>
      <c r="H62" s="86">
        <f t="shared" si="7"/>
        <v>0</v>
      </c>
      <c r="I62" s="86">
        <f t="shared" si="7"/>
        <v>0</v>
      </c>
      <c r="J62" s="86">
        <f t="shared" si="7"/>
        <v>0</v>
      </c>
      <c r="K62" s="86">
        <f t="shared" si="7"/>
        <v>0</v>
      </c>
      <c r="L62" s="86">
        <f t="shared" si="7"/>
        <v>0</v>
      </c>
      <c r="M62" s="86">
        <f t="shared" si="7"/>
        <v>0</v>
      </c>
      <c r="N62" s="86">
        <f t="shared" si="7"/>
        <v>0</v>
      </c>
      <c r="O62" s="86">
        <f t="shared" si="7"/>
        <v>0</v>
      </c>
      <c r="P62" s="86">
        <f t="shared" si="7"/>
        <v>0</v>
      </c>
      <c r="Q62" s="86">
        <f t="shared" si="7"/>
        <v>0</v>
      </c>
      <c r="R62" s="86">
        <f t="shared" si="7"/>
        <v>0</v>
      </c>
      <c r="S62" s="86">
        <f t="shared" si="7"/>
        <v>0</v>
      </c>
      <c r="T62" s="86">
        <f t="shared" si="7"/>
        <v>0</v>
      </c>
      <c r="U62" s="86">
        <f t="shared" si="7"/>
        <v>0</v>
      </c>
      <c r="V62" s="86">
        <f t="shared" si="7"/>
        <v>0</v>
      </c>
      <c r="W62" s="86">
        <f t="shared" si="7"/>
        <v>0</v>
      </c>
      <c r="X62" s="86">
        <f t="shared" si="7"/>
        <v>0</v>
      </c>
      <c r="Y62" s="86">
        <f t="shared" si="7"/>
        <v>0</v>
      </c>
      <c r="Z62" s="86">
        <f t="shared" si="7"/>
        <v>0</v>
      </c>
      <c r="AA62" s="86">
        <f t="shared" si="7"/>
        <v>0</v>
      </c>
      <c r="AB62" s="86">
        <f t="shared" si="7"/>
        <v>0</v>
      </c>
      <c r="AC62" s="86">
        <f t="shared" si="7"/>
        <v>0</v>
      </c>
      <c r="AD62" s="86">
        <f t="shared" si="7"/>
        <v>0</v>
      </c>
      <c r="AE62" s="86">
        <f t="shared" si="7"/>
        <v>0</v>
      </c>
      <c r="AF62" s="86">
        <f t="shared" si="7"/>
        <v>0</v>
      </c>
      <c r="AG62" s="101">
        <f t="shared" si="7"/>
        <v>106</v>
      </c>
      <c r="AH62" s="20">
        <f t="shared" si="2"/>
        <v>0</v>
      </c>
      <c r="AI62" s="19">
        <f t="shared" si="3"/>
        <v>0</v>
      </c>
      <c r="AK62" s="41"/>
    </row>
    <row r="63" spans="1:41" x14ac:dyDescent="0.25">
      <c r="A63" s="97" t="s">
        <v>152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  <c r="AD63" s="105"/>
      <c r="AE63" s="105"/>
      <c r="AF63" s="105"/>
      <c r="AG63" s="96"/>
      <c r="AH63" s="20">
        <f t="shared" si="2"/>
        <v>0</v>
      </c>
      <c r="AI63" s="19">
        <f t="shared" si="3"/>
        <v>0</v>
      </c>
      <c r="AK63" s="41"/>
    </row>
    <row r="64" spans="1:41" x14ac:dyDescent="0.25">
      <c r="A64" s="95" t="s">
        <v>155</v>
      </c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  <c r="AC64" s="80"/>
      <c r="AD64" s="80"/>
      <c r="AE64" s="80"/>
      <c r="AF64" s="80"/>
      <c r="AG64" s="94"/>
      <c r="AH64" s="20">
        <f t="shared" si="2"/>
        <v>0</v>
      </c>
      <c r="AI64" s="19">
        <f t="shared" si="3"/>
        <v>0</v>
      </c>
      <c r="AK64" s="41"/>
    </row>
    <row r="65" spans="1:37" x14ac:dyDescent="0.25">
      <c r="A65" s="95" t="s">
        <v>173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102"/>
      <c r="AH65" s="20">
        <f t="shared" si="2"/>
        <v>0</v>
      </c>
      <c r="AI65" s="19">
        <f t="shared" si="3"/>
        <v>0</v>
      </c>
      <c r="AK65" s="41"/>
    </row>
    <row r="66" spans="1:37" x14ac:dyDescent="0.25">
      <c r="A66" s="95" t="s">
        <v>156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102"/>
      <c r="AH66" s="20">
        <f t="shared" si="2"/>
        <v>0</v>
      </c>
      <c r="AI66" s="19">
        <f t="shared" si="3"/>
        <v>0</v>
      </c>
      <c r="AK66" s="41"/>
    </row>
    <row r="67" spans="1:37" x14ac:dyDescent="0.25">
      <c r="A67" s="95" t="s">
        <v>172</v>
      </c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  <c r="AD67" s="105"/>
      <c r="AE67" s="105"/>
      <c r="AF67" s="105"/>
      <c r="AG67" s="102"/>
      <c r="AH67" s="20">
        <f t="shared" si="2"/>
        <v>0</v>
      </c>
      <c r="AI67" s="19">
        <f t="shared" si="3"/>
        <v>0</v>
      </c>
      <c r="AK67" s="41"/>
    </row>
    <row r="68" spans="1:37" x14ac:dyDescent="0.25">
      <c r="A68" s="95" t="s">
        <v>171</v>
      </c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2"/>
      <c r="AH68" s="20">
        <f t="shared" si="2"/>
        <v>0</v>
      </c>
      <c r="AI68" s="19">
        <f t="shared" si="3"/>
        <v>0</v>
      </c>
      <c r="AK68" s="41"/>
    </row>
    <row r="69" spans="1:37" x14ac:dyDescent="0.25">
      <c r="A69" s="95" t="s">
        <v>170</v>
      </c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2"/>
      <c r="AH69" s="20">
        <f t="shared" si="2"/>
        <v>0</v>
      </c>
      <c r="AI69" s="19">
        <f t="shared" si="3"/>
        <v>0</v>
      </c>
      <c r="AK69" s="41"/>
    </row>
    <row r="70" spans="1:37" x14ac:dyDescent="0.25">
      <c r="A70" s="95" t="s">
        <v>169</v>
      </c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102"/>
      <c r="AH70" s="20">
        <f t="shared" si="2"/>
        <v>0</v>
      </c>
      <c r="AI70" s="19">
        <f t="shared" si="3"/>
        <v>0</v>
      </c>
      <c r="AK70" s="41"/>
    </row>
    <row r="71" spans="1:37" x14ac:dyDescent="0.25">
      <c r="A71" s="95" t="s">
        <v>168</v>
      </c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102"/>
      <c r="AH71" s="20">
        <f t="shared" si="2"/>
        <v>0</v>
      </c>
      <c r="AI71" s="19">
        <f t="shared" si="3"/>
        <v>0</v>
      </c>
      <c r="AK71" s="41"/>
    </row>
    <row r="72" spans="1:37" x14ac:dyDescent="0.25">
      <c r="A72" s="91" t="s">
        <v>167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89"/>
      <c r="AH72" s="20">
        <f t="shared" si="2"/>
        <v>0</v>
      </c>
      <c r="AI72" s="19">
        <f t="shared" si="3"/>
        <v>0</v>
      </c>
      <c r="AK72" s="41"/>
    </row>
    <row r="73" spans="1:37" ht="15.75" thickBot="1" x14ac:dyDescent="0.3">
      <c r="A73" s="91" t="s">
        <v>166</v>
      </c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89"/>
      <c r="AH73" s="20">
        <f t="shared" si="2"/>
        <v>0</v>
      </c>
      <c r="AI73" s="19">
        <f t="shared" si="3"/>
        <v>0</v>
      </c>
      <c r="AK73" s="41"/>
    </row>
    <row r="74" spans="1:37" ht="15.75" thickBot="1" x14ac:dyDescent="0.3">
      <c r="A74" s="87" t="s">
        <v>165</v>
      </c>
      <c r="B74" s="86">
        <f t="shared" ref="B74:AF74" si="8">SUMIF(B63:B73,"&gt;0")</f>
        <v>0</v>
      </c>
      <c r="C74" s="86">
        <f t="shared" si="8"/>
        <v>0</v>
      </c>
      <c r="D74" s="86">
        <f t="shared" si="8"/>
        <v>0</v>
      </c>
      <c r="E74" s="86">
        <f t="shared" si="8"/>
        <v>0</v>
      </c>
      <c r="F74" s="86">
        <f t="shared" si="8"/>
        <v>0</v>
      </c>
      <c r="G74" s="86">
        <f t="shared" si="8"/>
        <v>0</v>
      </c>
      <c r="H74" s="86">
        <f t="shared" si="8"/>
        <v>0</v>
      </c>
      <c r="I74" s="86">
        <f t="shared" si="8"/>
        <v>0</v>
      </c>
      <c r="J74" s="86">
        <f t="shared" si="8"/>
        <v>0</v>
      </c>
      <c r="K74" s="86">
        <f t="shared" si="8"/>
        <v>0</v>
      </c>
      <c r="L74" s="86">
        <f t="shared" si="8"/>
        <v>0</v>
      </c>
      <c r="M74" s="86">
        <f t="shared" si="8"/>
        <v>0</v>
      </c>
      <c r="N74" s="86">
        <f t="shared" si="8"/>
        <v>0</v>
      </c>
      <c r="O74" s="86">
        <f t="shared" si="8"/>
        <v>0</v>
      </c>
      <c r="P74" s="86">
        <f t="shared" si="8"/>
        <v>0</v>
      </c>
      <c r="Q74" s="86">
        <f t="shared" si="8"/>
        <v>0</v>
      </c>
      <c r="R74" s="86">
        <f t="shared" si="8"/>
        <v>0</v>
      </c>
      <c r="S74" s="86">
        <f t="shared" si="8"/>
        <v>0</v>
      </c>
      <c r="T74" s="86">
        <f t="shared" si="8"/>
        <v>0</v>
      </c>
      <c r="U74" s="86">
        <f t="shared" si="8"/>
        <v>0</v>
      </c>
      <c r="V74" s="86">
        <f t="shared" si="8"/>
        <v>0</v>
      </c>
      <c r="W74" s="86">
        <f t="shared" si="8"/>
        <v>0</v>
      </c>
      <c r="X74" s="86">
        <f t="shared" si="8"/>
        <v>0</v>
      </c>
      <c r="Y74" s="86">
        <f t="shared" si="8"/>
        <v>0</v>
      </c>
      <c r="Z74" s="86">
        <f t="shared" si="8"/>
        <v>0</v>
      </c>
      <c r="AA74" s="86">
        <f t="shared" si="8"/>
        <v>0</v>
      </c>
      <c r="AB74" s="86">
        <f t="shared" si="8"/>
        <v>0</v>
      </c>
      <c r="AC74" s="86">
        <f t="shared" si="8"/>
        <v>0</v>
      </c>
      <c r="AD74" s="86">
        <f t="shared" si="8"/>
        <v>0</v>
      </c>
      <c r="AE74" s="86">
        <f t="shared" si="8"/>
        <v>0</v>
      </c>
      <c r="AF74" s="86">
        <f t="shared" si="8"/>
        <v>0</v>
      </c>
      <c r="AG74" s="85">
        <f>SUM(AG63:AG73)</f>
        <v>0</v>
      </c>
      <c r="AH74" s="20">
        <f t="shared" si="2"/>
        <v>0</v>
      </c>
      <c r="AI74" s="19">
        <f t="shared" si="3"/>
        <v>0</v>
      </c>
      <c r="AK74" s="41"/>
    </row>
    <row r="75" spans="1:37" x14ac:dyDescent="0.25">
      <c r="A75" s="97" t="s">
        <v>164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104">
        <v>39</v>
      </c>
      <c r="AH75" s="20">
        <f t="shared" si="2"/>
        <v>0</v>
      </c>
      <c r="AI75" s="19">
        <f t="shared" si="3"/>
        <v>0</v>
      </c>
      <c r="AK75" s="41"/>
    </row>
    <row r="76" spans="1:37" x14ac:dyDescent="0.25">
      <c r="A76" s="95" t="s">
        <v>163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2">
        <v>14.4</v>
      </c>
      <c r="AH76" s="20">
        <f t="shared" ref="AH76:AH109" si="9">MAX(B76:AF76)</f>
        <v>0</v>
      </c>
      <c r="AI76" s="19">
        <f t="shared" ref="AI76:AI109" si="10">MIN(B76:AF76)</f>
        <v>0</v>
      </c>
      <c r="AK76" s="41"/>
    </row>
    <row r="77" spans="1:37" ht="15.75" thickBot="1" x14ac:dyDescent="0.3">
      <c r="A77" s="91" t="s">
        <v>162</v>
      </c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89">
        <v>2</v>
      </c>
      <c r="AH77" s="20">
        <f t="shared" si="9"/>
        <v>0</v>
      </c>
      <c r="AI77" s="19">
        <f t="shared" si="10"/>
        <v>0</v>
      </c>
    </row>
    <row r="78" spans="1:37" ht="15.75" thickBot="1" x14ac:dyDescent="0.3">
      <c r="A78" s="87" t="s">
        <v>161</v>
      </c>
      <c r="B78" s="86">
        <v>0</v>
      </c>
      <c r="C78" s="86">
        <v>0</v>
      </c>
      <c r="D78" s="86">
        <v>0</v>
      </c>
      <c r="E78" s="86">
        <v>0</v>
      </c>
      <c r="F78" s="86">
        <v>0</v>
      </c>
      <c r="G78" s="86">
        <v>0</v>
      </c>
      <c r="H78" s="86">
        <v>0</v>
      </c>
      <c r="I78" s="86">
        <v>0</v>
      </c>
      <c r="J78" s="86">
        <v>0</v>
      </c>
      <c r="K78" s="86">
        <v>0</v>
      </c>
      <c r="L78" s="86">
        <v>0</v>
      </c>
      <c r="M78" s="86">
        <v>0</v>
      </c>
      <c r="N78" s="86">
        <v>0</v>
      </c>
      <c r="O78" s="86">
        <v>0</v>
      </c>
      <c r="P78" s="86">
        <v>0</v>
      </c>
      <c r="Q78" s="86">
        <v>0</v>
      </c>
      <c r="R78" s="86">
        <v>0</v>
      </c>
      <c r="S78" s="86">
        <v>0</v>
      </c>
      <c r="T78" s="86">
        <v>0</v>
      </c>
      <c r="U78" s="86">
        <v>0</v>
      </c>
      <c r="V78" s="86">
        <v>0</v>
      </c>
      <c r="W78" s="86">
        <v>0</v>
      </c>
      <c r="X78" s="86">
        <v>0</v>
      </c>
      <c r="Y78" s="86">
        <v>0</v>
      </c>
      <c r="Z78" s="86">
        <v>0</v>
      </c>
      <c r="AA78" s="86">
        <v>0</v>
      </c>
      <c r="AB78" s="86">
        <v>0</v>
      </c>
      <c r="AC78" s="86">
        <v>0</v>
      </c>
      <c r="AD78" s="86">
        <v>0</v>
      </c>
      <c r="AE78" s="86">
        <v>0</v>
      </c>
      <c r="AF78" s="86">
        <v>0</v>
      </c>
      <c r="AG78" s="85">
        <f>SUM(AG75:AG77)</f>
        <v>55.4</v>
      </c>
      <c r="AH78" s="20">
        <f t="shared" si="9"/>
        <v>0</v>
      </c>
      <c r="AI78" s="19">
        <f t="shared" si="10"/>
        <v>0</v>
      </c>
    </row>
    <row r="79" spans="1:37" ht="15.75" thickBot="1" x14ac:dyDescent="0.3">
      <c r="A79" s="87" t="s">
        <v>160</v>
      </c>
      <c r="B79" s="98">
        <f t="shared" ref="B79:AG79" si="11">B40+B44+B62+B58+B74+B78</f>
        <v>303.54000000000002</v>
      </c>
      <c r="C79" s="98">
        <f t="shared" si="11"/>
        <v>303.54000000000002</v>
      </c>
      <c r="D79" s="98">
        <f t="shared" si="11"/>
        <v>303.54000000000002</v>
      </c>
      <c r="E79" s="98">
        <f t="shared" si="11"/>
        <v>303.54000000000002</v>
      </c>
      <c r="F79" s="98">
        <f t="shared" si="11"/>
        <v>303.54000000000002</v>
      </c>
      <c r="G79" s="98">
        <f t="shared" si="11"/>
        <v>303.54000000000002</v>
      </c>
      <c r="H79" s="98">
        <f t="shared" si="11"/>
        <v>303.54000000000002</v>
      </c>
      <c r="I79" s="98">
        <f t="shared" si="11"/>
        <v>303.54000000000002</v>
      </c>
      <c r="J79" s="98">
        <f t="shared" si="11"/>
        <v>303.54000000000002</v>
      </c>
      <c r="K79" s="98">
        <f t="shared" si="11"/>
        <v>303.54000000000002</v>
      </c>
      <c r="L79" s="98">
        <f t="shared" si="11"/>
        <v>303.54000000000002</v>
      </c>
      <c r="M79" s="98">
        <f t="shared" si="11"/>
        <v>303.54000000000002</v>
      </c>
      <c r="N79" s="98">
        <f t="shared" si="11"/>
        <v>303.54000000000002</v>
      </c>
      <c r="O79" s="98">
        <f t="shared" si="11"/>
        <v>303.54000000000002</v>
      </c>
      <c r="P79" s="98">
        <f t="shared" si="11"/>
        <v>303.54000000000002</v>
      </c>
      <c r="Q79" s="98">
        <f t="shared" si="11"/>
        <v>303.54000000000002</v>
      </c>
      <c r="R79" s="98">
        <f t="shared" si="11"/>
        <v>303.54000000000002</v>
      </c>
      <c r="S79" s="98">
        <f t="shared" si="11"/>
        <v>303.54000000000002</v>
      </c>
      <c r="T79" s="98">
        <f t="shared" si="11"/>
        <v>303.54000000000002</v>
      </c>
      <c r="U79" s="98">
        <f t="shared" si="11"/>
        <v>303.54000000000002</v>
      </c>
      <c r="V79" s="98">
        <f t="shared" si="11"/>
        <v>303.54000000000002</v>
      </c>
      <c r="W79" s="98">
        <f t="shared" si="11"/>
        <v>303.54000000000002</v>
      </c>
      <c r="X79" s="98">
        <f t="shared" si="11"/>
        <v>303.54000000000002</v>
      </c>
      <c r="Y79" s="98">
        <f t="shared" si="11"/>
        <v>303.54000000000002</v>
      </c>
      <c r="Z79" s="98">
        <f t="shared" si="11"/>
        <v>303.54000000000002</v>
      </c>
      <c r="AA79" s="98">
        <f t="shared" si="11"/>
        <v>303.54000000000002</v>
      </c>
      <c r="AB79" s="98">
        <f t="shared" si="11"/>
        <v>3.54</v>
      </c>
      <c r="AC79" s="98">
        <f t="shared" si="11"/>
        <v>3.54</v>
      </c>
      <c r="AD79" s="98">
        <f t="shared" si="11"/>
        <v>3.54</v>
      </c>
      <c r="AE79" s="98">
        <f t="shared" si="11"/>
        <v>3.54</v>
      </c>
      <c r="AF79" s="98">
        <f t="shared" si="11"/>
        <v>3.54</v>
      </c>
      <c r="AG79" s="101">
        <f t="shared" si="11"/>
        <v>1897.1900000000003</v>
      </c>
      <c r="AH79" s="20">
        <f t="shared" si="9"/>
        <v>303.54000000000002</v>
      </c>
      <c r="AI79" s="19">
        <f t="shared" si="10"/>
        <v>3.54</v>
      </c>
    </row>
    <row r="80" spans="1:37" ht="15.75" thickBot="1" x14ac:dyDescent="0.3">
      <c r="A80" s="100" t="s">
        <v>159</v>
      </c>
      <c r="B80" s="99"/>
      <c r="C80" s="9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85"/>
      <c r="AH80" s="20">
        <f t="shared" si="9"/>
        <v>0</v>
      </c>
      <c r="AI80" s="19">
        <f t="shared" si="10"/>
        <v>0</v>
      </c>
    </row>
    <row r="81" spans="1:37" ht="15.75" thickBot="1" x14ac:dyDescent="0.3">
      <c r="A81" s="87" t="s">
        <v>158</v>
      </c>
      <c r="B81" s="98">
        <f t="shared" ref="B81:AF81" si="12">B79+B80</f>
        <v>303.54000000000002</v>
      </c>
      <c r="C81" s="98">
        <f t="shared" si="12"/>
        <v>303.54000000000002</v>
      </c>
      <c r="D81" s="98">
        <f t="shared" si="12"/>
        <v>303.54000000000002</v>
      </c>
      <c r="E81" s="98">
        <f t="shared" si="12"/>
        <v>303.54000000000002</v>
      </c>
      <c r="F81" s="98">
        <f t="shared" si="12"/>
        <v>303.54000000000002</v>
      </c>
      <c r="G81" s="98">
        <f t="shared" si="12"/>
        <v>303.54000000000002</v>
      </c>
      <c r="H81" s="98">
        <f t="shared" si="12"/>
        <v>303.54000000000002</v>
      </c>
      <c r="I81" s="98">
        <f t="shared" si="12"/>
        <v>303.54000000000002</v>
      </c>
      <c r="J81" s="98">
        <f t="shared" si="12"/>
        <v>303.54000000000002</v>
      </c>
      <c r="K81" s="98">
        <f t="shared" si="12"/>
        <v>303.54000000000002</v>
      </c>
      <c r="L81" s="98">
        <f t="shared" si="12"/>
        <v>303.54000000000002</v>
      </c>
      <c r="M81" s="98">
        <f t="shared" si="12"/>
        <v>303.54000000000002</v>
      </c>
      <c r="N81" s="98">
        <f t="shared" si="12"/>
        <v>303.54000000000002</v>
      </c>
      <c r="O81" s="98">
        <f t="shared" si="12"/>
        <v>303.54000000000002</v>
      </c>
      <c r="P81" s="98">
        <f t="shared" si="12"/>
        <v>303.54000000000002</v>
      </c>
      <c r="Q81" s="98">
        <f t="shared" si="12"/>
        <v>303.54000000000002</v>
      </c>
      <c r="R81" s="98">
        <f t="shared" si="12"/>
        <v>303.54000000000002</v>
      </c>
      <c r="S81" s="98">
        <f t="shared" si="12"/>
        <v>303.54000000000002</v>
      </c>
      <c r="T81" s="98">
        <f t="shared" si="12"/>
        <v>303.54000000000002</v>
      </c>
      <c r="U81" s="98">
        <f t="shared" si="12"/>
        <v>303.54000000000002</v>
      </c>
      <c r="V81" s="98">
        <f t="shared" si="12"/>
        <v>303.54000000000002</v>
      </c>
      <c r="W81" s="98">
        <f t="shared" si="12"/>
        <v>303.54000000000002</v>
      </c>
      <c r="X81" s="98">
        <f t="shared" si="12"/>
        <v>303.54000000000002</v>
      </c>
      <c r="Y81" s="98">
        <f t="shared" si="12"/>
        <v>303.54000000000002</v>
      </c>
      <c r="Z81" s="98">
        <f t="shared" si="12"/>
        <v>303.54000000000002</v>
      </c>
      <c r="AA81" s="98">
        <f t="shared" si="12"/>
        <v>303.54000000000002</v>
      </c>
      <c r="AB81" s="98">
        <f t="shared" si="12"/>
        <v>3.54</v>
      </c>
      <c r="AC81" s="98">
        <f t="shared" si="12"/>
        <v>3.54</v>
      </c>
      <c r="AD81" s="98">
        <f t="shared" si="12"/>
        <v>3.54</v>
      </c>
      <c r="AE81" s="98">
        <f t="shared" si="12"/>
        <v>3.54</v>
      </c>
      <c r="AF81" s="98">
        <f t="shared" si="12"/>
        <v>3.54</v>
      </c>
      <c r="AG81" s="85">
        <f>AG78+AG74+AG62+AG58+AG40+AG80</f>
        <v>1359.0900000000001</v>
      </c>
      <c r="AH81" s="20">
        <f t="shared" si="9"/>
        <v>303.54000000000002</v>
      </c>
      <c r="AI81" s="19">
        <f t="shared" si="10"/>
        <v>3.54</v>
      </c>
    </row>
    <row r="82" spans="1:37" ht="15.75" thickBot="1" x14ac:dyDescent="0.3">
      <c r="A82" s="87" t="s">
        <v>157</v>
      </c>
      <c r="B82" s="98">
        <f t="shared" ref="B82:AF82" si="13">B81-B89</f>
        <v>303.54000000000002</v>
      </c>
      <c r="C82" s="98">
        <f t="shared" si="13"/>
        <v>303.54000000000002</v>
      </c>
      <c r="D82" s="98">
        <f t="shared" si="13"/>
        <v>303.54000000000002</v>
      </c>
      <c r="E82" s="98">
        <f t="shared" si="13"/>
        <v>303.54000000000002</v>
      </c>
      <c r="F82" s="98">
        <f t="shared" si="13"/>
        <v>303.54000000000002</v>
      </c>
      <c r="G82" s="98">
        <f t="shared" si="13"/>
        <v>303.54000000000002</v>
      </c>
      <c r="H82" s="98">
        <f t="shared" si="13"/>
        <v>303.54000000000002</v>
      </c>
      <c r="I82" s="98">
        <f t="shared" si="13"/>
        <v>303.54000000000002</v>
      </c>
      <c r="J82" s="98">
        <f t="shared" si="13"/>
        <v>303.54000000000002</v>
      </c>
      <c r="K82" s="98">
        <f t="shared" si="13"/>
        <v>303.54000000000002</v>
      </c>
      <c r="L82" s="98">
        <f t="shared" si="13"/>
        <v>303.54000000000002</v>
      </c>
      <c r="M82" s="98">
        <f t="shared" si="13"/>
        <v>303.54000000000002</v>
      </c>
      <c r="N82" s="98">
        <f t="shared" si="13"/>
        <v>303.54000000000002</v>
      </c>
      <c r="O82" s="98">
        <f t="shared" si="13"/>
        <v>303.54000000000002</v>
      </c>
      <c r="P82" s="98">
        <f t="shared" si="13"/>
        <v>303.54000000000002</v>
      </c>
      <c r="Q82" s="98">
        <f t="shared" si="13"/>
        <v>303.54000000000002</v>
      </c>
      <c r="R82" s="98">
        <f t="shared" si="13"/>
        <v>303.54000000000002</v>
      </c>
      <c r="S82" s="98">
        <f t="shared" si="13"/>
        <v>303.54000000000002</v>
      </c>
      <c r="T82" s="98">
        <f t="shared" si="13"/>
        <v>303.54000000000002</v>
      </c>
      <c r="U82" s="98">
        <f t="shared" si="13"/>
        <v>303.54000000000002</v>
      </c>
      <c r="V82" s="98">
        <f t="shared" si="13"/>
        <v>303.54000000000002</v>
      </c>
      <c r="W82" s="98">
        <f t="shared" si="13"/>
        <v>303.54000000000002</v>
      </c>
      <c r="X82" s="98">
        <f t="shared" si="13"/>
        <v>303.54000000000002</v>
      </c>
      <c r="Y82" s="98">
        <f t="shared" si="13"/>
        <v>303.54000000000002</v>
      </c>
      <c r="Z82" s="98">
        <f t="shared" si="13"/>
        <v>303.54000000000002</v>
      </c>
      <c r="AA82" s="98">
        <f t="shared" si="13"/>
        <v>303.54000000000002</v>
      </c>
      <c r="AB82" s="98">
        <f t="shared" si="13"/>
        <v>3.54</v>
      </c>
      <c r="AC82" s="98">
        <f t="shared" si="13"/>
        <v>3.54</v>
      </c>
      <c r="AD82" s="98">
        <f t="shared" si="13"/>
        <v>3.54</v>
      </c>
      <c r="AE82" s="98">
        <f t="shared" si="13"/>
        <v>3.54</v>
      </c>
      <c r="AF82" s="98">
        <f t="shared" si="13"/>
        <v>3.54</v>
      </c>
      <c r="AG82" s="85"/>
      <c r="AH82" s="20">
        <f t="shared" si="9"/>
        <v>303.54000000000002</v>
      </c>
      <c r="AI82" s="19">
        <f t="shared" si="10"/>
        <v>3.54</v>
      </c>
    </row>
    <row r="83" spans="1:37" x14ac:dyDescent="0.25">
      <c r="A83" s="97" t="s">
        <v>156</v>
      </c>
      <c r="B83" s="93">
        <f t="shared" ref="B83:AF83" si="14">IF(B66&lt;0,B66*-1,0)</f>
        <v>0</v>
      </c>
      <c r="C83" s="93">
        <f t="shared" si="14"/>
        <v>0</v>
      </c>
      <c r="D83" s="93">
        <f t="shared" si="14"/>
        <v>0</v>
      </c>
      <c r="E83" s="93">
        <f t="shared" si="14"/>
        <v>0</v>
      </c>
      <c r="F83" s="93">
        <f t="shared" si="14"/>
        <v>0</v>
      </c>
      <c r="G83" s="93">
        <f t="shared" si="14"/>
        <v>0</v>
      </c>
      <c r="H83" s="93">
        <f t="shared" si="14"/>
        <v>0</v>
      </c>
      <c r="I83" s="93">
        <f t="shared" si="14"/>
        <v>0</v>
      </c>
      <c r="J83" s="93">
        <f t="shared" si="14"/>
        <v>0</v>
      </c>
      <c r="K83" s="93">
        <f t="shared" si="14"/>
        <v>0</v>
      </c>
      <c r="L83" s="93">
        <f t="shared" si="14"/>
        <v>0</v>
      </c>
      <c r="M83" s="93">
        <f t="shared" si="14"/>
        <v>0</v>
      </c>
      <c r="N83" s="93">
        <f t="shared" si="14"/>
        <v>0</v>
      </c>
      <c r="O83" s="93">
        <f t="shared" si="14"/>
        <v>0</v>
      </c>
      <c r="P83" s="93">
        <f t="shared" si="14"/>
        <v>0</v>
      </c>
      <c r="Q83" s="93">
        <f t="shared" si="14"/>
        <v>0</v>
      </c>
      <c r="R83" s="93">
        <f t="shared" si="14"/>
        <v>0</v>
      </c>
      <c r="S83" s="93">
        <f t="shared" si="14"/>
        <v>0</v>
      </c>
      <c r="T83" s="93">
        <f t="shared" si="14"/>
        <v>0</v>
      </c>
      <c r="U83" s="93">
        <f t="shared" si="14"/>
        <v>0</v>
      </c>
      <c r="V83" s="93">
        <f t="shared" si="14"/>
        <v>0</v>
      </c>
      <c r="W83" s="93">
        <f t="shared" si="14"/>
        <v>0</v>
      </c>
      <c r="X83" s="93">
        <f t="shared" si="14"/>
        <v>0</v>
      </c>
      <c r="Y83" s="93">
        <f t="shared" si="14"/>
        <v>0</v>
      </c>
      <c r="Z83" s="93">
        <f t="shared" si="14"/>
        <v>0</v>
      </c>
      <c r="AA83" s="93">
        <f t="shared" si="14"/>
        <v>0</v>
      </c>
      <c r="AB83" s="93">
        <f t="shared" si="14"/>
        <v>0</v>
      </c>
      <c r="AC83" s="93">
        <f t="shared" si="14"/>
        <v>0</v>
      </c>
      <c r="AD83" s="93">
        <f t="shared" si="14"/>
        <v>0</v>
      </c>
      <c r="AE83" s="93">
        <f t="shared" si="14"/>
        <v>0</v>
      </c>
      <c r="AF83" s="93">
        <f t="shared" si="14"/>
        <v>0</v>
      </c>
      <c r="AG83" s="96"/>
      <c r="AH83" s="20">
        <f t="shared" si="9"/>
        <v>0</v>
      </c>
      <c r="AI83" s="19">
        <f t="shared" si="10"/>
        <v>0</v>
      </c>
    </row>
    <row r="84" spans="1:37" x14ac:dyDescent="0.25">
      <c r="A84" s="95" t="s">
        <v>155</v>
      </c>
      <c r="B84" s="93">
        <f t="shared" ref="B84:AF84" si="15">IF(B64&lt;0,B64*-1,0)</f>
        <v>0</v>
      </c>
      <c r="C84" s="93">
        <f t="shared" si="15"/>
        <v>0</v>
      </c>
      <c r="D84" s="93">
        <f t="shared" si="15"/>
        <v>0</v>
      </c>
      <c r="E84" s="93">
        <f t="shared" si="15"/>
        <v>0</v>
      </c>
      <c r="F84" s="93">
        <f t="shared" si="15"/>
        <v>0</v>
      </c>
      <c r="G84" s="93">
        <f t="shared" si="15"/>
        <v>0</v>
      </c>
      <c r="H84" s="93">
        <f t="shared" si="15"/>
        <v>0</v>
      </c>
      <c r="I84" s="93">
        <f t="shared" si="15"/>
        <v>0</v>
      </c>
      <c r="J84" s="93">
        <f t="shared" si="15"/>
        <v>0</v>
      </c>
      <c r="K84" s="93">
        <f t="shared" si="15"/>
        <v>0</v>
      </c>
      <c r="L84" s="93">
        <f t="shared" si="15"/>
        <v>0</v>
      </c>
      <c r="M84" s="93">
        <f t="shared" si="15"/>
        <v>0</v>
      </c>
      <c r="N84" s="93">
        <f t="shared" si="15"/>
        <v>0</v>
      </c>
      <c r="O84" s="93">
        <f t="shared" si="15"/>
        <v>0</v>
      </c>
      <c r="P84" s="93">
        <f t="shared" si="15"/>
        <v>0</v>
      </c>
      <c r="Q84" s="93">
        <f t="shared" si="15"/>
        <v>0</v>
      </c>
      <c r="R84" s="93">
        <f t="shared" si="15"/>
        <v>0</v>
      </c>
      <c r="S84" s="93">
        <f t="shared" si="15"/>
        <v>0</v>
      </c>
      <c r="T84" s="93">
        <f t="shared" si="15"/>
        <v>0</v>
      </c>
      <c r="U84" s="93">
        <f t="shared" si="15"/>
        <v>0</v>
      </c>
      <c r="V84" s="93">
        <f t="shared" si="15"/>
        <v>0</v>
      </c>
      <c r="W84" s="93">
        <f t="shared" si="15"/>
        <v>0</v>
      </c>
      <c r="X84" s="93">
        <f t="shared" si="15"/>
        <v>0</v>
      </c>
      <c r="Y84" s="93">
        <f t="shared" si="15"/>
        <v>0</v>
      </c>
      <c r="Z84" s="93">
        <f t="shared" si="15"/>
        <v>0</v>
      </c>
      <c r="AA84" s="93">
        <f t="shared" si="15"/>
        <v>0</v>
      </c>
      <c r="AB84" s="93">
        <f t="shared" si="15"/>
        <v>0</v>
      </c>
      <c r="AC84" s="93">
        <f t="shared" si="15"/>
        <v>0</v>
      </c>
      <c r="AD84" s="93">
        <f t="shared" si="15"/>
        <v>0</v>
      </c>
      <c r="AE84" s="93">
        <f t="shared" si="15"/>
        <v>0</v>
      </c>
      <c r="AF84" s="93">
        <f t="shared" si="15"/>
        <v>0</v>
      </c>
      <c r="AG84" s="94"/>
      <c r="AH84" s="20">
        <f t="shared" si="9"/>
        <v>0</v>
      </c>
      <c r="AI84" s="19">
        <f t="shared" si="10"/>
        <v>0</v>
      </c>
    </row>
    <row r="85" spans="1:37" x14ac:dyDescent="0.25">
      <c r="A85" s="91" t="s">
        <v>154</v>
      </c>
      <c r="B85" s="93">
        <f t="shared" ref="B85:AF85" si="16">IF(B67&lt;0,B67*-1,0)</f>
        <v>0</v>
      </c>
      <c r="C85" s="93">
        <f t="shared" si="16"/>
        <v>0</v>
      </c>
      <c r="D85" s="93">
        <f t="shared" si="16"/>
        <v>0</v>
      </c>
      <c r="E85" s="93">
        <f t="shared" si="16"/>
        <v>0</v>
      </c>
      <c r="F85" s="93">
        <f t="shared" si="16"/>
        <v>0</v>
      </c>
      <c r="G85" s="93">
        <f t="shared" si="16"/>
        <v>0</v>
      </c>
      <c r="H85" s="93">
        <f t="shared" si="16"/>
        <v>0</v>
      </c>
      <c r="I85" s="93">
        <f t="shared" si="16"/>
        <v>0</v>
      </c>
      <c r="J85" s="93">
        <f t="shared" si="16"/>
        <v>0</v>
      </c>
      <c r="K85" s="93">
        <f t="shared" si="16"/>
        <v>0</v>
      </c>
      <c r="L85" s="93">
        <f t="shared" si="16"/>
        <v>0</v>
      </c>
      <c r="M85" s="93">
        <f t="shared" si="16"/>
        <v>0</v>
      </c>
      <c r="N85" s="93">
        <f t="shared" si="16"/>
        <v>0</v>
      </c>
      <c r="O85" s="93">
        <f t="shared" si="16"/>
        <v>0</v>
      </c>
      <c r="P85" s="93">
        <f t="shared" si="16"/>
        <v>0</v>
      </c>
      <c r="Q85" s="93">
        <f t="shared" si="16"/>
        <v>0</v>
      </c>
      <c r="R85" s="93">
        <f t="shared" si="16"/>
        <v>0</v>
      </c>
      <c r="S85" s="93">
        <f t="shared" si="16"/>
        <v>0</v>
      </c>
      <c r="T85" s="93">
        <f t="shared" si="16"/>
        <v>0</v>
      </c>
      <c r="U85" s="93">
        <f t="shared" si="16"/>
        <v>0</v>
      </c>
      <c r="V85" s="93">
        <f t="shared" si="16"/>
        <v>0</v>
      </c>
      <c r="W85" s="93">
        <f t="shared" si="16"/>
        <v>0</v>
      </c>
      <c r="X85" s="93">
        <f t="shared" si="16"/>
        <v>0</v>
      </c>
      <c r="Y85" s="93">
        <f t="shared" si="16"/>
        <v>0</v>
      </c>
      <c r="Z85" s="93">
        <f t="shared" si="16"/>
        <v>0</v>
      </c>
      <c r="AA85" s="93">
        <f t="shared" si="16"/>
        <v>0</v>
      </c>
      <c r="AB85" s="93">
        <f t="shared" si="16"/>
        <v>0</v>
      </c>
      <c r="AC85" s="93">
        <f t="shared" si="16"/>
        <v>0</v>
      </c>
      <c r="AD85" s="93">
        <f t="shared" si="16"/>
        <v>0</v>
      </c>
      <c r="AE85" s="93">
        <f t="shared" si="16"/>
        <v>0</v>
      </c>
      <c r="AF85" s="93">
        <f t="shared" si="16"/>
        <v>0</v>
      </c>
      <c r="AG85" s="92"/>
      <c r="AH85" s="20">
        <f t="shared" si="9"/>
        <v>0</v>
      </c>
      <c r="AI85" s="19">
        <f t="shared" si="10"/>
        <v>0</v>
      </c>
    </row>
    <row r="86" spans="1:37" x14ac:dyDescent="0.25">
      <c r="A86" s="91" t="s">
        <v>153</v>
      </c>
      <c r="B86" s="93">
        <f t="shared" ref="B86:AF86" si="17">IF(B65&lt;0,B65*-1,0)</f>
        <v>0</v>
      </c>
      <c r="C86" s="93">
        <f t="shared" si="17"/>
        <v>0</v>
      </c>
      <c r="D86" s="93">
        <f t="shared" si="17"/>
        <v>0</v>
      </c>
      <c r="E86" s="93">
        <f t="shared" si="17"/>
        <v>0</v>
      </c>
      <c r="F86" s="93">
        <f t="shared" si="17"/>
        <v>0</v>
      </c>
      <c r="G86" s="93">
        <f t="shared" si="17"/>
        <v>0</v>
      </c>
      <c r="H86" s="93">
        <f t="shared" si="17"/>
        <v>0</v>
      </c>
      <c r="I86" s="93">
        <f t="shared" si="17"/>
        <v>0</v>
      </c>
      <c r="J86" s="93">
        <f t="shared" si="17"/>
        <v>0</v>
      </c>
      <c r="K86" s="93">
        <f t="shared" si="17"/>
        <v>0</v>
      </c>
      <c r="L86" s="93">
        <f t="shared" si="17"/>
        <v>0</v>
      </c>
      <c r="M86" s="93">
        <f t="shared" si="17"/>
        <v>0</v>
      </c>
      <c r="N86" s="93">
        <f t="shared" si="17"/>
        <v>0</v>
      </c>
      <c r="O86" s="93">
        <f t="shared" si="17"/>
        <v>0</v>
      </c>
      <c r="P86" s="93">
        <f t="shared" si="17"/>
        <v>0</v>
      </c>
      <c r="Q86" s="93">
        <f t="shared" si="17"/>
        <v>0</v>
      </c>
      <c r="R86" s="93">
        <f t="shared" si="17"/>
        <v>0</v>
      </c>
      <c r="S86" s="93">
        <f t="shared" si="17"/>
        <v>0</v>
      </c>
      <c r="T86" s="93">
        <f t="shared" si="17"/>
        <v>0</v>
      </c>
      <c r="U86" s="93">
        <f t="shared" si="17"/>
        <v>0</v>
      </c>
      <c r="V86" s="93">
        <f t="shared" si="17"/>
        <v>0</v>
      </c>
      <c r="W86" s="93">
        <f t="shared" si="17"/>
        <v>0</v>
      </c>
      <c r="X86" s="93">
        <f t="shared" si="17"/>
        <v>0</v>
      </c>
      <c r="Y86" s="93">
        <f t="shared" si="17"/>
        <v>0</v>
      </c>
      <c r="Z86" s="93">
        <f t="shared" si="17"/>
        <v>0</v>
      </c>
      <c r="AA86" s="93">
        <f t="shared" si="17"/>
        <v>0</v>
      </c>
      <c r="AB86" s="93">
        <f t="shared" si="17"/>
        <v>0</v>
      </c>
      <c r="AC86" s="93">
        <f t="shared" si="17"/>
        <v>0</v>
      </c>
      <c r="AD86" s="93">
        <f t="shared" si="17"/>
        <v>0</v>
      </c>
      <c r="AE86" s="93">
        <f t="shared" si="17"/>
        <v>0</v>
      </c>
      <c r="AF86" s="93">
        <f t="shared" si="17"/>
        <v>0</v>
      </c>
      <c r="AG86" s="92"/>
      <c r="AH86" s="20">
        <f t="shared" si="9"/>
        <v>0</v>
      </c>
      <c r="AI86" s="19">
        <f t="shared" si="10"/>
        <v>0</v>
      </c>
    </row>
    <row r="87" spans="1:37" x14ac:dyDescent="0.25">
      <c r="A87" s="91" t="s">
        <v>152</v>
      </c>
      <c r="B87" s="93">
        <f t="shared" ref="B87:AF87" si="18">IF(B63&lt;0,B63*-1,0)</f>
        <v>0</v>
      </c>
      <c r="C87" s="93">
        <f t="shared" si="18"/>
        <v>0</v>
      </c>
      <c r="D87" s="93">
        <f t="shared" si="18"/>
        <v>0</v>
      </c>
      <c r="E87" s="93">
        <f t="shared" si="18"/>
        <v>0</v>
      </c>
      <c r="F87" s="93">
        <f t="shared" si="18"/>
        <v>0</v>
      </c>
      <c r="G87" s="93">
        <f t="shared" si="18"/>
        <v>0</v>
      </c>
      <c r="H87" s="93">
        <f t="shared" si="18"/>
        <v>0</v>
      </c>
      <c r="I87" s="93">
        <f t="shared" si="18"/>
        <v>0</v>
      </c>
      <c r="J87" s="93">
        <f t="shared" si="18"/>
        <v>0</v>
      </c>
      <c r="K87" s="93">
        <f t="shared" si="18"/>
        <v>0</v>
      </c>
      <c r="L87" s="93">
        <f t="shared" si="18"/>
        <v>0</v>
      </c>
      <c r="M87" s="93">
        <f t="shared" si="18"/>
        <v>0</v>
      </c>
      <c r="N87" s="93">
        <f t="shared" si="18"/>
        <v>0</v>
      </c>
      <c r="O87" s="93">
        <f t="shared" si="18"/>
        <v>0</v>
      </c>
      <c r="P87" s="93">
        <f t="shared" si="18"/>
        <v>0</v>
      </c>
      <c r="Q87" s="93">
        <f t="shared" si="18"/>
        <v>0</v>
      </c>
      <c r="R87" s="93">
        <f t="shared" si="18"/>
        <v>0</v>
      </c>
      <c r="S87" s="93">
        <f t="shared" si="18"/>
        <v>0</v>
      </c>
      <c r="T87" s="93">
        <f t="shared" si="18"/>
        <v>0</v>
      </c>
      <c r="U87" s="93">
        <f t="shared" si="18"/>
        <v>0</v>
      </c>
      <c r="V87" s="93">
        <f t="shared" si="18"/>
        <v>0</v>
      </c>
      <c r="W87" s="93">
        <f t="shared" si="18"/>
        <v>0</v>
      </c>
      <c r="X87" s="93">
        <f t="shared" si="18"/>
        <v>0</v>
      </c>
      <c r="Y87" s="93">
        <f t="shared" si="18"/>
        <v>0</v>
      </c>
      <c r="Z87" s="93">
        <f t="shared" si="18"/>
        <v>0</v>
      </c>
      <c r="AA87" s="93">
        <f t="shared" si="18"/>
        <v>0</v>
      </c>
      <c r="AB87" s="93">
        <f t="shared" si="18"/>
        <v>0</v>
      </c>
      <c r="AC87" s="93">
        <f t="shared" si="18"/>
        <v>0</v>
      </c>
      <c r="AD87" s="93">
        <f t="shared" si="18"/>
        <v>0</v>
      </c>
      <c r="AE87" s="93">
        <f t="shared" si="18"/>
        <v>0</v>
      </c>
      <c r="AF87" s="93">
        <f t="shared" si="18"/>
        <v>0</v>
      </c>
      <c r="AG87" s="92"/>
      <c r="AH87" s="20">
        <f t="shared" si="9"/>
        <v>0</v>
      </c>
      <c r="AI87" s="19">
        <f t="shared" si="10"/>
        <v>0</v>
      </c>
    </row>
    <row r="88" spans="1:37" ht="15.75" thickBot="1" x14ac:dyDescent="0.3">
      <c r="A88" s="91" t="s">
        <v>151</v>
      </c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>
        <v>0</v>
      </c>
      <c r="AA88" s="90">
        <v>0</v>
      </c>
      <c r="AB88" s="90">
        <v>0</v>
      </c>
      <c r="AC88" s="90"/>
      <c r="AD88" s="90"/>
      <c r="AE88" s="90"/>
      <c r="AF88" s="90"/>
      <c r="AG88" s="89"/>
      <c r="AH88" s="20">
        <f t="shared" si="9"/>
        <v>0</v>
      </c>
      <c r="AI88" s="19">
        <f t="shared" si="10"/>
        <v>0</v>
      </c>
    </row>
    <row r="89" spans="1:37" ht="15.75" thickBot="1" x14ac:dyDescent="0.3">
      <c r="A89" s="88" t="s">
        <v>150</v>
      </c>
      <c r="B89" s="86">
        <f t="shared" ref="B89:AF89" si="19">SUM(B83:B88)</f>
        <v>0</v>
      </c>
      <c r="C89" s="86">
        <f t="shared" si="19"/>
        <v>0</v>
      </c>
      <c r="D89" s="86">
        <f t="shared" si="19"/>
        <v>0</v>
      </c>
      <c r="E89" s="86">
        <f t="shared" si="19"/>
        <v>0</v>
      </c>
      <c r="F89" s="86">
        <f t="shared" si="19"/>
        <v>0</v>
      </c>
      <c r="G89" s="86">
        <f t="shared" si="19"/>
        <v>0</v>
      </c>
      <c r="H89" s="86">
        <f t="shared" si="19"/>
        <v>0</v>
      </c>
      <c r="I89" s="86">
        <f t="shared" si="19"/>
        <v>0</v>
      </c>
      <c r="J89" s="86">
        <f t="shared" si="19"/>
        <v>0</v>
      </c>
      <c r="K89" s="86">
        <f t="shared" si="19"/>
        <v>0</v>
      </c>
      <c r="L89" s="86">
        <f t="shared" si="19"/>
        <v>0</v>
      </c>
      <c r="M89" s="86">
        <f t="shared" si="19"/>
        <v>0</v>
      </c>
      <c r="N89" s="86">
        <f t="shared" si="19"/>
        <v>0</v>
      </c>
      <c r="O89" s="86">
        <f t="shared" si="19"/>
        <v>0</v>
      </c>
      <c r="P89" s="86">
        <f t="shared" si="19"/>
        <v>0</v>
      </c>
      <c r="Q89" s="86">
        <f t="shared" si="19"/>
        <v>0</v>
      </c>
      <c r="R89" s="86">
        <f t="shared" si="19"/>
        <v>0</v>
      </c>
      <c r="S89" s="86">
        <f t="shared" si="19"/>
        <v>0</v>
      </c>
      <c r="T89" s="86">
        <f t="shared" si="19"/>
        <v>0</v>
      </c>
      <c r="U89" s="86">
        <f t="shared" si="19"/>
        <v>0</v>
      </c>
      <c r="V89" s="86">
        <f t="shared" si="19"/>
        <v>0</v>
      </c>
      <c r="W89" s="86">
        <f t="shared" si="19"/>
        <v>0</v>
      </c>
      <c r="X89" s="86">
        <f t="shared" si="19"/>
        <v>0</v>
      </c>
      <c r="Y89" s="86">
        <f t="shared" si="19"/>
        <v>0</v>
      </c>
      <c r="Z89" s="86">
        <f t="shared" si="19"/>
        <v>0</v>
      </c>
      <c r="AA89" s="86">
        <f t="shared" si="19"/>
        <v>0</v>
      </c>
      <c r="AB89" s="86">
        <f t="shared" si="19"/>
        <v>0</v>
      </c>
      <c r="AC89" s="86">
        <f t="shared" si="19"/>
        <v>0</v>
      </c>
      <c r="AD89" s="86">
        <f t="shared" si="19"/>
        <v>0</v>
      </c>
      <c r="AE89" s="86">
        <f t="shared" si="19"/>
        <v>0</v>
      </c>
      <c r="AF89" s="86">
        <f t="shared" si="19"/>
        <v>0</v>
      </c>
      <c r="AG89" s="85"/>
      <c r="AH89" s="20">
        <f t="shared" si="9"/>
        <v>0</v>
      </c>
      <c r="AI89" s="19">
        <f t="shared" si="10"/>
        <v>0</v>
      </c>
      <c r="AK89" s="41"/>
    </row>
    <row r="90" spans="1:37" ht="15.75" thickBot="1" x14ac:dyDescent="0.3">
      <c r="A90" s="87" t="s">
        <v>149</v>
      </c>
      <c r="B90" s="86">
        <f t="shared" ref="B90:AF90" si="20">B74-B89</f>
        <v>0</v>
      </c>
      <c r="C90" s="86">
        <f t="shared" si="20"/>
        <v>0</v>
      </c>
      <c r="D90" s="86">
        <f t="shared" si="20"/>
        <v>0</v>
      </c>
      <c r="E90" s="86">
        <f t="shared" si="20"/>
        <v>0</v>
      </c>
      <c r="F90" s="86">
        <f t="shared" si="20"/>
        <v>0</v>
      </c>
      <c r="G90" s="86">
        <f t="shared" si="20"/>
        <v>0</v>
      </c>
      <c r="H90" s="86">
        <f t="shared" si="20"/>
        <v>0</v>
      </c>
      <c r="I90" s="86">
        <f t="shared" si="20"/>
        <v>0</v>
      </c>
      <c r="J90" s="86">
        <f t="shared" si="20"/>
        <v>0</v>
      </c>
      <c r="K90" s="86">
        <f t="shared" si="20"/>
        <v>0</v>
      </c>
      <c r="L90" s="86">
        <f t="shared" si="20"/>
        <v>0</v>
      </c>
      <c r="M90" s="86">
        <f t="shared" si="20"/>
        <v>0</v>
      </c>
      <c r="N90" s="86">
        <f t="shared" si="20"/>
        <v>0</v>
      </c>
      <c r="O90" s="86">
        <f t="shared" si="20"/>
        <v>0</v>
      </c>
      <c r="P90" s="86">
        <f t="shared" si="20"/>
        <v>0</v>
      </c>
      <c r="Q90" s="86">
        <f t="shared" si="20"/>
        <v>0</v>
      </c>
      <c r="R90" s="86">
        <f t="shared" si="20"/>
        <v>0</v>
      </c>
      <c r="S90" s="86">
        <f t="shared" si="20"/>
        <v>0</v>
      </c>
      <c r="T90" s="86">
        <f t="shared" si="20"/>
        <v>0</v>
      </c>
      <c r="U90" s="86">
        <f t="shared" si="20"/>
        <v>0</v>
      </c>
      <c r="V90" s="86">
        <f t="shared" si="20"/>
        <v>0</v>
      </c>
      <c r="W90" s="86">
        <f t="shared" si="20"/>
        <v>0</v>
      </c>
      <c r="X90" s="86">
        <f t="shared" si="20"/>
        <v>0</v>
      </c>
      <c r="Y90" s="86">
        <f t="shared" si="20"/>
        <v>0</v>
      </c>
      <c r="Z90" s="86">
        <f t="shared" si="20"/>
        <v>0</v>
      </c>
      <c r="AA90" s="86">
        <f t="shared" si="20"/>
        <v>0</v>
      </c>
      <c r="AB90" s="86">
        <f t="shared" si="20"/>
        <v>0</v>
      </c>
      <c r="AC90" s="86">
        <f t="shared" si="20"/>
        <v>0</v>
      </c>
      <c r="AD90" s="86">
        <f t="shared" si="20"/>
        <v>0</v>
      </c>
      <c r="AE90" s="86">
        <f t="shared" si="20"/>
        <v>0</v>
      </c>
      <c r="AF90" s="86">
        <f t="shared" si="20"/>
        <v>0</v>
      </c>
      <c r="AG90" s="85"/>
      <c r="AH90" s="20">
        <f t="shared" si="9"/>
        <v>0</v>
      </c>
      <c r="AI90" s="19">
        <f t="shared" si="10"/>
        <v>0</v>
      </c>
    </row>
    <row r="91" spans="1:37" x14ac:dyDescent="0.25">
      <c r="A91" s="47" t="s">
        <v>148</v>
      </c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3"/>
      <c r="AH91" s="20">
        <f t="shared" si="9"/>
        <v>0</v>
      </c>
      <c r="AI91" s="19">
        <f t="shared" si="10"/>
        <v>0</v>
      </c>
    </row>
    <row r="92" spans="1:37" x14ac:dyDescent="0.25">
      <c r="A92" s="44" t="s">
        <v>147</v>
      </c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  <c r="AC92" s="80"/>
      <c r="AD92" s="80"/>
      <c r="AE92" s="80"/>
      <c r="AF92" s="80"/>
      <c r="AG92" s="79"/>
      <c r="AH92" s="20">
        <f t="shared" si="9"/>
        <v>0</v>
      </c>
      <c r="AI92" s="19">
        <f t="shared" si="10"/>
        <v>0</v>
      </c>
    </row>
    <row r="93" spans="1:37" x14ac:dyDescent="0.25">
      <c r="A93" s="44" t="s">
        <v>146</v>
      </c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  <c r="AC93" s="80"/>
      <c r="AD93" s="80"/>
      <c r="AE93" s="80"/>
      <c r="AF93" s="80"/>
      <c r="AG93" s="79"/>
      <c r="AH93" s="20">
        <f t="shared" si="9"/>
        <v>0</v>
      </c>
      <c r="AI93" s="19">
        <f t="shared" si="10"/>
        <v>0</v>
      </c>
    </row>
    <row r="94" spans="1:37" x14ac:dyDescent="0.25">
      <c r="A94" s="44" t="s">
        <v>145</v>
      </c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79"/>
      <c r="AH94" s="20">
        <f t="shared" si="9"/>
        <v>0</v>
      </c>
      <c r="AI94" s="19">
        <f t="shared" si="10"/>
        <v>0</v>
      </c>
    </row>
    <row r="95" spans="1:37" x14ac:dyDescent="0.25">
      <c r="A95" s="82" t="s">
        <v>144</v>
      </c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  <c r="AC95" s="80"/>
      <c r="AD95" s="80"/>
      <c r="AE95" s="80"/>
      <c r="AF95" s="80"/>
      <c r="AG95" s="79"/>
      <c r="AH95" s="20">
        <f t="shared" si="9"/>
        <v>0</v>
      </c>
      <c r="AI95" s="19">
        <f t="shared" si="10"/>
        <v>0</v>
      </c>
    </row>
    <row r="96" spans="1:37" x14ac:dyDescent="0.25">
      <c r="A96" s="82" t="s">
        <v>143</v>
      </c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81"/>
      <c r="AH96" s="20">
        <f t="shared" si="9"/>
        <v>0</v>
      </c>
      <c r="AI96" s="19">
        <f t="shared" si="10"/>
        <v>0</v>
      </c>
    </row>
    <row r="97" spans="1:37" x14ac:dyDescent="0.25">
      <c r="A97" s="44" t="s">
        <v>142</v>
      </c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  <c r="AC97" s="80"/>
      <c r="AD97" s="80"/>
      <c r="AE97" s="80"/>
      <c r="AF97" s="80"/>
      <c r="AG97" s="79"/>
      <c r="AH97" s="20">
        <f t="shared" si="9"/>
        <v>0</v>
      </c>
      <c r="AI97" s="19">
        <f t="shared" si="10"/>
        <v>0</v>
      </c>
    </row>
    <row r="98" spans="1:37" ht="15.75" thickBot="1" x14ac:dyDescent="0.3">
      <c r="A98" s="44" t="s">
        <v>141</v>
      </c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6"/>
      <c r="AH98" s="20">
        <f t="shared" si="9"/>
        <v>0</v>
      </c>
      <c r="AI98" s="19">
        <f t="shared" si="10"/>
        <v>0</v>
      </c>
    </row>
    <row r="99" spans="1:37" ht="15.75" thickBot="1" x14ac:dyDescent="0.3">
      <c r="A99" s="78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  <c r="AA99" s="77"/>
      <c r="AB99" s="77"/>
      <c r="AC99" s="77"/>
      <c r="AD99" s="77"/>
      <c r="AE99" s="77"/>
      <c r="AF99" s="77"/>
      <c r="AG99" s="76"/>
      <c r="AH99" s="20">
        <f t="shared" si="9"/>
        <v>0</v>
      </c>
      <c r="AI99" s="19">
        <f t="shared" si="10"/>
        <v>0</v>
      </c>
    </row>
    <row r="100" spans="1:37" ht="15.75" thickBot="1" x14ac:dyDescent="0.3">
      <c r="A100" s="75" t="s">
        <v>140</v>
      </c>
      <c r="B100" s="74">
        <f t="shared" ref="B100:AF100" si="21">SUM(B15,B20,B22:B23,B48,B50:B51,B53,B55,B101:B105,B127,B133,B139,B148,B150,B162,B169,B172:B173,B180,B182,B184,B188:B190,B192:B194,B199,B205:B206,B208:B210,B218,B223)</f>
        <v>0</v>
      </c>
      <c r="C100" s="74">
        <f t="shared" si="21"/>
        <v>0.94</v>
      </c>
      <c r="D100" s="74">
        <f t="shared" si="21"/>
        <v>0.94</v>
      </c>
      <c r="E100" s="74">
        <f t="shared" si="21"/>
        <v>0.94</v>
      </c>
      <c r="F100" s="74">
        <f t="shared" si="21"/>
        <v>0.94</v>
      </c>
      <c r="G100" s="74">
        <f t="shared" si="21"/>
        <v>0.94</v>
      </c>
      <c r="H100" s="74">
        <f t="shared" si="21"/>
        <v>0.94</v>
      </c>
      <c r="I100" s="74">
        <f t="shared" si="21"/>
        <v>0.94</v>
      </c>
      <c r="J100" s="74">
        <f t="shared" si="21"/>
        <v>0.94</v>
      </c>
      <c r="K100" s="74">
        <f t="shared" si="21"/>
        <v>0.94</v>
      </c>
      <c r="L100" s="74">
        <f t="shared" si="21"/>
        <v>0.94</v>
      </c>
      <c r="M100" s="74">
        <f t="shared" si="21"/>
        <v>0.94</v>
      </c>
      <c r="N100" s="74">
        <f t="shared" si="21"/>
        <v>0.94</v>
      </c>
      <c r="O100" s="74">
        <f t="shared" si="21"/>
        <v>0.94</v>
      </c>
      <c r="P100" s="74">
        <f t="shared" si="21"/>
        <v>0.94</v>
      </c>
      <c r="Q100" s="74">
        <f t="shared" si="21"/>
        <v>0</v>
      </c>
      <c r="R100" s="74">
        <f t="shared" si="21"/>
        <v>0</v>
      </c>
      <c r="S100" s="74">
        <f t="shared" si="21"/>
        <v>0</v>
      </c>
      <c r="T100" s="74">
        <f t="shared" si="21"/>
        <v>0</v>
      </c>
      <c r="U100" s="74">
        <f t="shared" si="21"/>
        <v>0</v>
      </c>
      <c r="V100" s="74">
        <f t="shared" si="21"/>
        <v>0</v>
      </c>
      <c r="W100" s="74">
        <f t="shared" si="21"/>
        <v>0</v>
      </c>
      <c r="X100" s="74">
        <f t="shared" si="21"/>
        <v>0</v>
      </c>
      <c r="Y100" s="74">
        <f t="shared" si="21"/>
        <v>0</v>
      </c>
      <c r="Z100" s="74">
        <f t="shared" si="21"/>
        <v>0</v>
      </c>
      <c r="AA100" s="74">
        <f t="shared" si="21"/>
        <v>0</v>
      </c>
      <c r="AB100" s="74">
        <f t="shared" si="21"/>
        <v>0</v>
      </c>
      <c r="AC100" s="74">
        <f t="shared" si="21"/>
        <v>0</v>
      </c>
      <c r="AD100" s="74">
        <f t="shared" si="21"/>
        <v>0</v>
      </c>
      <c r="AE100" s="74">
        <f t="shared" si="21"/>
        <v>0</v>
      </c>
      <c r="AF100" s="74">
        <f t="shared" si="21"/>
        <v>0</v>
      </c>
      <c r="AG100" s="73"/>
      <c r="AH100" s="20">
        <f t="shared" si="9"/>
        <v>0.94</v>
      </c>
      <c r="AI100" s="19">
        <f t="shared" si="10"/>
        <v>0</v>
      </c>
    </row>
    <row r="101" spans="1:37" x14ac:dyDescent="0.25">
      <c r="A101" s="47" t="s">
        <v>139</v>
      </c>
      <c r="B101" s="72"/>
      <c r="C101" s="72"/>
      <c r="D101" s="72"/>
      <c r="E101" s="72"/>
      <c r="F101" s="72"/>
      <c r="G101" s="72"/>
      <c r="H101" s="72"/>
      <c r="I101" s="72"/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0">
        <v>75</v>
      </c>
      <c r="AH101" s="20">
        <f t="shared" si="9"/>
        <v>0</v>
      </c>
      <c r="AI101" s="19">
        <f t="shared" si="10"/>
        <v>0</v>
      </c>
    </row>
    <row r="102" spans="1:37" x14ac:dyDescent="0.25">
      <c r="A102" s="44" t="s">
        <v>138</v>
      </c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0">
        <v>240</v>
      </c>
      <c r="AH102" s="20">
        <f t="shared" si="9"/>
        <v>0</v>
      </c>
      <c r="AI102" s="19">
        <f t="shared" si="10"/>
        <v>0</v>
      </c>
    </row>
    <row r="103" spans="1:37" x14ac:dyDescent="0.25">
      <c r="A103" s="44" t="s">
        <v>137</v>
      </c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0">
        <v>240</v>
      </c>
      <c r="AH103" s="20">
        <f t="shared" si="9"/>
        <v>0</v>
      </c>
      <c r="AI103" s="19">
        <f t="shared" si="10"/>
        <v>0</v>
      </c>
    </row>
    <row r="104" spans="1:37" x14ac:dyDescent="0.25">
      <c r="A104" s="44" t="s">
        <v>136</v>
      </c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0">
        <v>60</v>
      </c>
      <c r="AH104" s="20">
        <f t="shared" si="9"/>
        <v>0</v>
      </c>
      <c r="AI104" s="19">
        <f t="shared" si="10"/>
        <v>0</v>
      </c>
    </row>
    <row r="105" spans="1:37" x14ac:dyDescent="0.25">
      <c r="A105" s="40" t="s">
        <v>135</v>
      </c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9">
        <v>120</v>
      </c>
      <c r="AH105" s="20">
        <f t="shared" si="9"/>
        <v>0</v>
      </c>
      <c r="AI105" s="19">
        <f t="shared" si="10"/>
        <v>0</v>
      </c>
    </row>
    <row r="106" spans="1:37" x14ac:dyDescent="0.25">
      <c r="A106" s="40" t="s">
        <v>134</v>
      </c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9"/>
      <c r="AH106" s="20">
        <f t="shared" si="9"/>
        <v>0</v>
      </c>
      <c r="AI106" s="19">
        <f t="shared" si="10"/>
        <v>0</v>
      </c>
    </row>
    <row r="107" spans="1:37" x14ac:dyDescent="0.25">
      <c r="A107" s="40" t="s">
        <v>133</v>
      </c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48"/>
      <c r="AH107" s="20">
        <f t="shared" si="9"/>
        <v>0</v>
      </c>
      <c r="AI107" s="19">
        <f t="shared" si="10"/>
        <v>0</v>
      </c>
    </row>
    <row r="108" spans="1:37" x14ac:dyDescent="0.25">
      <c r="A108" s="67" t="s">
        <v>132</v>
      </c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48"/>
      <c r="AH108" s="20">
        <f t="shared" si="9"/>
        <v>0</v>
      </c>
      <c r="AI108" s="19">
        <f t="shared" si="10"/>
        <v>0</v>
      </c>
    </row>
    <row r="109" spans="1:37" ht="15.75" thickBot="1" x14ac:dyDescent="0.3">
      <c r="A109" s="67" t="s">
        <v>131</v>
      </c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48"/>
      <c r="AH109" s="20">
        <f t="shared" si="9"/>
        <v>0</v>
      </c>
      <c r="AI109" s="19">
        <f t="shared" si="10"/>
        <v>0</v>
      </c>
    </row>
    <row r="110" spans="1:37" ht="15.75" thickBot="1" x14ac:dyDescent="0.3">
      <c r="A110" s="64" t="s">
        <v>130</v>
      </c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2"/>
      <c r="AH110" s="20"/>
      <c r="AI110" s="19"/>
      <c r="AK110" s="41"/>
    </row>
    <row r="111" spans="1:37" x14ac:dyDescent="0.25">
      <c r="A111" s="61" t="s">
        <v>129</v>
      </c>
      <c r="B111" s="60"/>
      <c r="C111" s="56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59">
        <v>9.94</v>
      </c>
      <c r="AH111" s="20"/>
      <c r="AI111" s="19"/>
      <c r="AK111" s="41"/>
    </row>
    <row r="112" spans="1:37" x14ac:dyDescent="0.25">
      <c r="A112" s="44" t="s">
        <v>128</v>
      </c>
      <c r="B112" s="60"/>
      <c r="C112" s="56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59"/>
      <c r="AH112" s="20"/>
      <c r="AI112" s="19"/>
      <c r="AK112" s="41"/>
    </row>
    <row r="113" spans="1:37" x14ac:dyDescent="0.25">
      <c r="A113" s="44" t="s">
        <v>127</v>
      </c>
      <c r="B113" s="60"/>
      <c r="C113" s="56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59"/>
      <c r="AH113" s="20"/>
      <c r="AI113" s="19"/>
      <c r="AK113" s="41"/>
    </row>
    <row r="114" spans="1:37" x14ac:dyDescent="0.25">
      <c r="A114" s="44" t="s">
        <v>126</v>
      </c>
      <c r="B114" s="60"/>
      <c r="C114" s="56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59"/>
      <c r="AH114" s="20"/>
      <c r="AI114" s="19"/>
      <c r="AK114" s="41"/>
    </row>
    <row r="115" spans="1:37" x14ac:dyDescent="0.25">
      <c r="A115" s="44" t="s">
        <v>125</v>
      </c>
      <c r="B115" s="60"/>
      <c r="C115" s="56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59"/>
      <c r="AH115" s="20"/>
      <c r="AI115" s="19"/>
      <c r="AK115" s="41"/>
    </row>
    <row r="116" spans="1:37" x14ac:dyDescent="0.25">
      <c r="A116" s="44" t="s">
        <v>124</v>
      </c>
      <c r="B116" s="60"/>
      <c r="C116" s="56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59"/>
      <c r="AH116" s="20"/>
      <c r="AI116" s="19"/>
      <c r="AK116" s="41"/>
    </row>
    <row r="117" spans="1:37" x14ac:dyDescent="0.25">
      <c r="A117" s="44" t="s">
        <v>123</v>
      </c>
      <c r="B117" s="60"/>
      <c r="C117" s="56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59"/>
      <c r="AH117" s="20"/>
      <c r="AI117" s="19"/>
      <c r="AK117" s="41"/>
    </row>
    <row r="118" spans="1:37" x14ac:dyDescent="0.25">
      <c r="A118" s="44" t="s">
        <v>122</v>
      </c>
      <c r="B118" s="60"/>
      <c r="C118" s="56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59"/>
      <c r="AH118" s="20"/>
      <c r="AI118" s="19"/>
      <c r="AK118" s="41"/>
    </row>
    <row r="119" spans="1:37" x14ac:dyDescent="0.25">
      <c r="A119" s="44" t="s">
        <v>121</v>
      </c>
      <c r="B119" s="60"/>
      <c r="C119" s="56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59"/>
      <c r="AH119" s="20"/>
      <c r="AI119" s="19"/>
      <c r="AK119" s="41"/>
    </row>
    <row r="120" spans="1:37" x14ac:dyDescent="0.25">
      <c r="A120" s="44" t="s">
        <v>120</v>
      </c>
      <c r="B120" s="60"/>
      <c r="C120" s="56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59"/>
      <c r="AH120" s="20"/>
      <c r="AI120" s="19"/>
      <c r="AK120" s="41"/>
    </row>
    <row r="121" spans="1:37" x14ac:dyDescent="0.25">
      <c r="A121" s="44" t="s">
        <v>119</v>
      </c>
      <c r="B121" s="60"/>
      <c r="C121" s="56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59"/>
      <c r="AH121" s="20"/>
      <c r="AI121" s="19"/>
      <c r="AK121" s="41"/>
    </row>
    <row r="122" spans="1:37" x14ac:dyDescent="0.25">
      <c r="A122" s="44" t="s">
        <v>118</v>
      </c>
      <c r="B122" s="60"/>
      <c r="C122" s="56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59"/>
      <c r="AH122" s="20"/>
      <c r="AI122" s="19"/>
      <c r="AK122" s="41"/>
    </row>
    <row r="123" spans="1:37" x14ac:dyDescent="0.25">
      <c r="A123" s="44" t="s">
        <v>117</v>
      </c>
      <c r="B123" s="60"/>
      <c r="C123" s="56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59"/>
      <c r="AH123" s="20"/>
      <c r="AI123" s="19"/>
      <c r="AK123" s="41"/>
    </row>
    <row r="124" spans="1:37" x14ac:dyDescent="0.25">
      <c r="A124" s="44" t="s">
        <v>116</v>
      </c>
      <c r="B124" s="60"/>
      <c r="C124" s="56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59"/>
      <c r="AH124" s="20"/>
      <c r="AI124" s="19"/>
      <c r="AK124" s="41"/>
    </row>
    <row r="125" spans="1:37" x14ac:dyDescent="0.25">
      <c r="A125" s="44" t="s">
        <v>115</v>
      </c>
      <c r="B125" s="60"/>
      <c r="C125" s="56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59"/>
      <c r="AH125" s="20"/>
      <c r="AI125" s="19"/>
      <c r="AK125" s="41"/>
    </row>
    <row r="126" spans="1:37" x14ac:dyDescent="0.25">
      <c r="A126" s="44" t="s">
        <v>114</v>
      </c>
      <c r="B126" s="60"/>
      <c r="C126" s="56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59"/>
      <c r="AH126" s="20"/>
      <c r="AI126" s="19"/>
      <c r="AK126" s="41"/>
    </row>
    <row r="127" spans="1:37" x14ac:dyDescent="0.25">
      <c r="A127" s="44" t="s">
        <v>113</v>
      </c>
      <c r="B127" s="43"/>
      <c r="C127" s="57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58">
        <v>9.9</v>
      </c>
      <c r="AH127" s="20"/>
      <c r="AI127" s="19"/>
      <c r="AK127" s="41"/>
    </row>
    <row r="128" spans="1:37" x14ac:dyDescent="0.25">
      <c r="A128" s="40" t="s">
        <v>112</v>
      </c>
      <c r="B128" s="43"/>
      <c r="C128" s="57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54">
        <v>9.6579999999999995</v>
      </c>
      <c r="AH128" s="20"/>
      <c r="AI128" s="19"/>
      <c r="AK128" s="41"/>
    </row>
    <row r="129" spans="1:37" x14ac:dyDescent="0.25">
      <c r="A129" s="40" t="s">
        <v>111</v>
      </c>
      <c r="B129" s="43"/>
      <c r="C129" s="57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54">
        <v>9.6</v>
      </c>
      <c r="AH129" s="20"/>
      <c r="AI129" s="19"/>
      <c r="AK129" s="41"/>
    </row>
    <row r="130" spans="1:37" x14ac:dyDescent="0.25">
      <c r="A130" s="40" t="s">
        <v>110</v>
      </c>
      <c r="B130" s="43"/>
      <c r="C130" s="57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54">
        <v>9.51</v>
      </c>
      <c r="AH130" s="20"/>
      <c r="AI130" s="19"/>
      <c r="AK130" s="41"/>
    </row>
    <row r="131" spans="1:37" x14ac:dyDescent="0.25">
      <c r="A131" s="40" t="s">
        <v>109</v>
      </c>
      <c r="B131" s="43"/>
      <c r="C131" s="57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  <c r="AE131" s="43"/>
      <c r="AF131" s="43"/>
      <c r="AG131" s="54">
        <v>9.4</v>
      </c>
      <c r="AH131" s="20"/>
      <c r="AI131" s="19"/>
      <c r="AK131" s="41"/>
    </row>
    <row r="132" spans="1:37" x14ac:dyDescent="0.25">
      <c r="A132" s="40" t="s">
        <v>108</v>
      </c>
      <c r="B132" s="43"/>
      <c r="C132" s="57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54">
        <v>8.8000000000000007</v>
      </c>
      <c r="AH132" s="20"/>
      <c r="AI132" s="19"/>
      <c r="AK132" s="41"/>
    </row>
    <row r="133" spans="1:37" x14ac:dyDescent="0.25">
      <c r="A133" s="40" t="s">
        <v>107</v>
      </c>
      <c r="B133" s="43"/>
      <c r="C133" s="57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  <c r="AE133" s="43"/>
      <c r="AF133" s="43"/>
      <c r="AG133" s="54">
        <v>8.5</v>
      </c>
      <c r="AH133" s="20"/>
      <c r="AI133" s="19"/>
      <c r="AK133" s="41"/>
    </row>
    <row r="134" spans="1:37" x14ac:dyDescent="0.25">
      <c r="A134" s="40" t="s">
        <v>106</v>
      </c>
      <c r="B134" s="43"/>
      <c r="C134" s="57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  <c r="AE134" s="43"/>
      <c r="AF134" s="43"/>
      <c r="AG134" s="54">
        <v>8.5</v>
      </c>
      <c r="AH134" s="20"/>
      <c r="AI134" s="19"/>
      <c r="AK134" s="41"/>
    </row>
    <row r="135" spans="1:37" x14ac:dyDescent="0.25">
      <c r="A135" s="40" t="s">
        <v>105</v>
      </c>
      <c r="B135" s="43"/>
      <c r="C135" s="57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  <c r="AE135" s="43"/>
      <c r="AF135" s="43"/>
      <c r="AG135" s="54">
        <v>8.4</v>
      </c>
      <c r="AH135" s="20"/>
      <c r="AI135" s="19"/>
      <c r="AK135" s="41"/>
    </row>
    <row r="136" spans="1:37" ht="13.5" customHeight="1" x14ac:dyDescent="0.25">
      <c r="A136" s="40" t="s">
        <v>104</v>
      </c>
      <c r="B136" s="43"/>
      <c r="C136" s="57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54">
        <v>8</v>
      </c>
      <c r="AH136" s="20"/>
      <c r="AI136" s="19"/>
      <c r="AK136" s="41"/>
    </row>
    <row r="137" spans="1:37" x14ac:dyDescent="0.25">
      <c r="A137" s="40" t="s">
        <v>103</v>
      </c>
      <c r="B137" s="43"/>
      <c r="C137" s="57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  <c r="AE137" s="43"/>
      <c r="AF137" s="43"/>
      <c r="AG137" s="54">
        <v>8</v>
      </c>
      <c r="AH137" s="20"/>
      <c r="AI137" s="19"/>
      <c r="AK137" s="41"/>
    </row>
    <row r="138" spans="1:37" x14ac:dyDescent="0.25">
      <c r="A138" s="40" t="s">
        <v>102</v>
      </c>
      <c r="B138" s="43"/>
      <c r="C138" s="57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54">
        <v>8</v>
      </c>
      <c r="AH138" s="20"/>
      <c r="AI138" s="19"/>
      <c r="AK138" s="41"/>
    </row>
    <row r="139" spans="1:37" x14ac:dyDescent="0.25">
      <c r="A139" s="40" t="s">
        <v>101</v>
      </c>
      <c r="B139" s="43"/>
      <c r="C139" s="57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54">
        <v>7.8</v>
      </c>
      <c r="AH139" s="20"/>
      <c r="AI139" s="19"/>
      <c r="AK139" s="41"/>
    </row>
    <row r="140" spans="1:37" x14ac:dyDescent="0.25">
      <c r="A140" s="40" t="s">
        <v>100</v>
      </c>
      <c r="B140" s="43"/>
      <c r="C140" s="57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54">
        <v>7.6</v>
      </c>
      <c r="AH140" s="20"/>
      <c r="AI140" s="19"/>
      <c r="AK140" s="41"/>
    </row>
    <row r="141" spans="1:37" x14ac:dyDescent="0.25">
      <c r="A141" s="40" t="s">
        <v>99</v>
      </c>
      <c r="B141" s="43"/>
      <c r="C141" s="57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  <c r="AE141" s="43"/>
      <c r="AF141" s="43"/>
      <c r="AG141" s="54">
        <v>7.5</v>
      </c>
      <c r="AH141" s="20"/>
      <c r="AI141" s="19"/>
      <c r="AK141" s="41"/>
    </row>
    <row r="142" spans="1:37" x14ac:dyDescent="0.25">
      <c r="A142" s="40" t="s">
        <v>98</v>
      </c>
      <c r="B142" s="43"/>
      <c r="C142" s="57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  <c r="AE142" s="43"/>
      <c r="AF142" s="43"/>
      <c r="AG142" s="54">
        <v>7.5</v>
      </c>
      <c r="AH142" s="20"/>
      <c r="AI142" s="19"/>
      <c r="AK142" s="41"/>
    </row>
    <row r="143" spans="1:37" x14ac:dyDescent="0.25">
      <c r="A143" s="40" t="s">
        <v>97</v>
      </c>
      <c r="B143" s="43"/>
      <c r="C143" s="57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  <c r="AE143" s="43"/>
      <c r="AF143" s="43"/>
      <c r="AG143" s="54">
        <v>7</v>
      </c>
      <c r="AH143" s="20"/>
      <c r="AI143" s="19"/>
      <c r="AK143" s="41"/>
    </row>
    <row r="144" spans="1:37" x14ac:dyDescent="0.25">
      <c r="A144" s="40" t="s">
        <v>96</v>
      </c>
      <c r="B144" s="43"/>
      <c r="C144" s="57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  <c r="AE144" s="43"/>
      <c r="AF144" s="43"/>
      <c r="AG144" s="54">
        <v>7</v>
      </c>
      <c r="AH144" s="20"/>
      <c r="AI144" s="19"/>
      <c r="AK144" s="41"/>
    </row>
    <row r="145" spans="1:37" x14ac:dyDescent="0.25">
      <c r="A145" s="40" t="s">
        <v>95</v>
      </c>
      <c r="B145" s="43"/>
      <c r="C145" s="57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  <c r="AE145" s="43"/>
      <c r="AF145" s="43"/>
      <c r="AG145" s="54">
        <v>7</v>
      </c>
      <c r="AH145" s="20"/>
      <c r="AI145" s="19"/>
      <c r="AK145" s="41"/>
    </row>
    <row r="146" spans="1:37" x14ac:dyDescent="0.25">
      <c r="A146" s="40" t="s">
        <v>94</v>
      </c>
      <c r="B146" s="43"/>
      <c r="C146" s="57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54">
        <v>7</v>
      </c>
      <c r="AH146" s="20"/>
      <c r="AI146" s="19"/>
      <c r="AK146" s="41"/>
    </row>
    <row r="147" spans="1:37" x14ac:dyDescent="0.25">
      <c r="A147" s="40" t="s">
        <v>93</v>
      </c>
      <c r="B147" s="43"/>
      <c r="C147" s="57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  <c r="AE147" s="43"/>
      <c r="AF147" s="43"/>
      <c r="AG147" s="54">
        <v>6.6</v>
      </c>
      <c r="AH147" s="20"/>
      <c r="AI147" s="19"/>
      <c r="AK147" s="41"/>
    </row>
    <row r="148" spans="1:37" x14ac:dyDescent="0.25">
      <c r="A148" s="40" t="s">
        <v>92</v>
      </c>
      <c r="B148" s="43"/>
      <c r="C148" s="57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4">
        <v>6.6</v>
      </c>
      <c r="AH148" s="20"/>
      <c r="AI148" s="19"/>
      <c r="AK148" s="41"/>
    </row>
    <row r="149" spans="1:37" x14ac:dyDescent="0.25">
      <c r="A149" s="40" t="s">
        <v>91</v>
      </c>
      <c r="B149" s="43"/>
      <c r="C149" s="57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54">
        <v>6.4</v>
      </c>
      <c r="AH149" s="20"/>
      <c r="AI149" s="19"/>
      <c r="AK149" s="41"/>
    </row>
    <row r="150" spans="1:37" x14ac:dyDescent="0.25">
      <c r="A150" s="40" t="s">
        <v>90</v>
      </c>
      <c r="B150" s="43"/>
      <c r="C150" s="57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54">
        <v>6</v>
      </c>
      <c r="AH150" s="20"/>
      <c r="AI150" s="19"/>
      <c r="AK150" s="41"/>
    </row>
    <row r="151" spans="1:37" x14ac:dyDescent="0.25">
      <c r="A151" s="40" t="s">
        <v>89</v>
      </c>
      <c r="B151" s="43"/>
      <c r="C151" s="57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54">
        <v>5.0999999999999996</v>
      </c>
      <c r="AH151" s="20"/>
      <c r="AI151" s="19"/>
      <c r="AK151" s="41"/>
    </row>
    <row r="152" spans="1:37" x14ac:dyDescent="0.25">
      <c r="A152" s="40" t="s">
        <v>88</v>
      </c>
      <c r="B152" s="43"/>
      <c r="C152" s="57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54">
        <v>5</v>
      </c>
      <c r="AH152" s="20"/>
      <c r="AI152" s="19"/>
      <c r="AK152" s="41"/>
    </row>
    <row r="153" spans="1:37" x14ac:dyDescent="0.25">
      <c r="A153" s="44" t="s">
        <v>87</v>
      </c>
      <c r="B153" s="43"/>
      <c r="C153" s="57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58">
        <v>5</v>
      </c>
      <c r="AH153" s="20"/>
      <c r="AI153" s="19"/>
      <c r="AK153" s="41"/>
    </row>
    <row r="154" spans="1:37" x14ac:dyDescent="0.25">
      <c r="A154" s="40" t="s">
        <v>86</v>
      </c>
      <c r="B154" s="43"/>
      <c r="C154" s="57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54">
        <v>5</v>
      </c>
      <c r="AH154" s="20"/>
      <c r="AI154" s="19"/>
      <c r="AK154" s="41"/>
    </row>
    <row r="155" spans="1:37" x14ac:dyDescent="0.25">
      <c r="A155" s="40" t="s">
        <v>85</v>
      </c>
      <c r="B155" s="43"/>
      <c r="C155" s="57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54">
        <v>5</v>
      </c>
      <c r="AH155" s="20"/>
      <c r="AI155" s="19"/>
      <c r="AK155" s="41"/>
    </row>
    <row r="156" spans="1:37" x14ac:dyDescent="0.25">
      <c r="A156" s="40" t="s">
        <v>84</v>
      </c>
      <c r="B156" s="43"/>
      <c r="C156" s="57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54">
        <v>5</v>
      </c>
      <c r="AH156" s="20"/>
      <c r="AI156" s="19"/>
      <c r="AK156" s="41"/>
    </row>
    <row r="157" spans="1:37" x14ac:dyDescent="0.25">
      <c r="A157" s="40" t="s">
        <v>83</v>
      </c>
      <c r="B157" s="43"/>
      <c r="C157" s="57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54">
        <v>5</v>
      </c>
      <c r="AH157" s="20"/>
      <c r="AI157" s="19"/>
      <c r="AK157" s="41"/>
    </row>
    <row r="158" spans="1:37" x14ac:dyDescent="0.25">
      <c r="A158" s="40" t="s">
        <v>82</v>
      </c>
      <c r="B158" s="43"/>
      <c r="C158" s="57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54">
        <v>5</v>
      </c>
      <c r="AH158" s="20"/>
      <c r="AI158" s="19"/>
      <c r="AK158" s="41"/>
    </row>
    <row r="159" spans="1:37" x14ac:dyDescent="0.25">
      <c r="A159" s="40" t="s">
        <v>81</v>
      </c>
      <c r="B159" s="43"/>
      <c r="C159" s="57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54">
        <v>4.9930000000000003</v>
      </c>
      <c r="AH159" s="20"/>
      <c r="AI159" s="19"/>
      <c r="AK159" s="41"/>
    </row>
    <row r="160" spans="1:37" x14ac:dyDescent="0.25">
      <c r="A160" s="40" t="s">
        <v>80</v>
      </c>
      <c r="B160" s="43"/>
      <c r="C160" s="57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54">
        <v>4.9800000000000004</v>
      </c>
      <c r="AH160" s="20"/>
      <c r="AI160" s="19"/>
      <c r="AK160" s="41"/>
    </row>
    <row r="161" spans="1:37" x14ac:dyDescent="0.25">
      <c r="A161" s="40" t="s">
        <v>79</v>
      </c>
      <c r="B161" s="43"/>
      <c r="C161" s="57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54">
        <v>4.95</v>
      </c>
      <c r="AH161" s="20"/>
      <c r="AI161" s="19"/>
      <c r="AK161" s="41"/>
    </row>
    <row r="162" spans="1:37" x14ac:dyDescent="0.25">
      <c r="A162" s="40" t="s">
        <v>78</v>
      </c>
      <c r="B162" s="43"/>
      <c r="C162" s="57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54">
        <v>4.95</v>
      </c>
      <c r="AH162" s="20"/>
      <c r="AI162" s="19"/>
      <c r="AK162" s="41"/>
    </row>
    <row r="163" spans="1:37" x14ac:dyDescent="0.25">
      <c r="A163" s="40" t="s">
        <v>77</v>
      </c>
      <c r="B163" s="43"/>
      <c r="C163" s="57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54">
        <v>4.8</v>
      </c>
      <c r="AH163" s="20"/>
      <c r="AI163" s="19"/>
      <c r="AK163" s="41"/>
    </row>
    <row r="164" spans="1:37" x14ac:dyDescent="0.25">
      <c r="A164" s="40" t="s">
        <v>76</v>
      </c>
      <c r="B164" s="43"/>
      <c r="C164" s="57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54">
        <v>4.8</v>
      </c>
      <c r="AH164" s="20"/>
      <c r="AI164" s="19"/>
      <c r="AK164" s="41"/>
    </row>
    <row r="165" spans="1:37" x14ac:dyDescent="0.25">
      <c r="A165" s="40" t="s">
        <v>75</v>
      </c>
      <c r="B165" s="43"/>
      <c r="C165" s="57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54">
        <v>4.8</v>
      </c>
      <c r="AH165" s="20"/>
      <c r="AI165" s="19"/>
      <c r="AK165" s="41"/>
    </row>
    <row r="166" spans="1:37" x14ac:dyDescent="0.25">
      <c r="A166" s="40" t="s">
        <v>74</v>
      </c>
      <c r="B166" s="43"/>
      <c r="C166" s="57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54">
        <v>4.5</v>
      </c>
      <c r="AH166" s="20"/>
      <c r="AI166" s="19"/>
      <c r="AK166" s="41"/>
    </row>
    <row r="167" spans="1:37" x14ac:dyDescent="0.25">
      <c r="A167" s="40" t="s">
        <v>73</v>
      </c>
      <c r="B167" s="43"/>
      <c r="C167" s="57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54">
        <v>4.5</v>
      </c>
      <c r="AH167" s="20"/>
      <c r="AI167" s="19"/>
      <c r="AK167" s="41"/>
    </row>
    <row r="168" spans="1:37" x14ac:dyDescent="0.25">
      <c r="A168" s="40" t="s">
        <v>72</v>
      </c>
      <c r="B168" s="43"/>
      <c r="C168" s="57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54">
        <v>4.4550000000000001</v>
      </c>
      <c r="AH168" s="20"/>
      <c r="AI168" s="19"/>
      <c r="AK168" s="41"/>
    </row>
    <row r="169" spans="1:37" x14ac:dyDescent="0.25">
      <c r="A169" s="40" t="s">
        <v>71</v>
      </c>
      <c r="B169" s="43"/>
      <c r="C169" s="57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54">
        <v>4.41</v>
      </c>
      <c r="AH169" s="20"/>
      <c r="AI169" s="19"/>
      <c r="AK169" s="41"/>
    </row>
    <row r="170" spans="1:37" x14ac:dyDescent="0.25">
      <c r="A170" s="40" t="s">
        <v>70</v>
      </c>
      <c r="B170" s="43"/>
      <c r="C170" s="57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54">
        <v>4.4000000000000004</v>
      </c>
      <c r="AH170" s="20"/>
      <c r="AI170" s="19"/>
      <c r="AK170" s="41"/>
    </row>
    <row r="171" spans="1:37" x14ac:dyDescent="0.25">
      <c r="A171" s="40" t="s">
        <v>69</v>
      </c>
      <c r="B171" s="43"/>
      <c r="C171" s="57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54">
        <v>4.3600000000000003</v>
      </c>
      <c r="AH171" s="20"/>
      <c r="AI171" s="19"/>
      <c r="AK171" s="41"/>
    </row>
    <row r="172" spans="1:37" x14ac:dyDescent="0.25">
      <c r="A172" s="40" t="s">
        <v>68</v>
      </c>
      <c r="B172" s="43"/>
      <c r="C172" s="57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54">
        <v>4.2</v>
      </c>
      <c r="AH172" s="20"/>
      <c r="AI172" s="19"/>
      <c r="AK172" s="41"/>
    </row>
    <row r="173" spans="1:37" x14ac:dyDescent="0.25">
      <c r="A173" s="40" t="s">
        <v>67</v>
      </c>
      <c r="B173" s="43"/>
      <c r="C173" s="57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54">
        <v>4</v>
      </c>
      <c r="AH173" s="20"/>
      <c r="AI173" s="19"/>
      <c r="AK173" s="41"/>
    </row>
    <row r="174" spans="1:37" x14ac:dyDescent="0.25">
      <c r="A174" s="40" t="s">
        <v>66</v>
      </c>
      <c r="B174" s="43"/>
      <c r="C174" s="57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54">
        <v>4</v>
      </c>
      <c r="AH174" s="20"/>
      <c r="AI174" s="19"/>
      <c r="AK174" s="41"/>
    </row>
    <row r="175" spans="1:37" x14ac:dyDescent="0.25">
      <c r="A175" s="40" t="s">
        <v>65</v>
      </c>
      <c r="B175" s="43"/>
      <c r="C175" s="57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54">
        <v>4</v>
      </c>
      <c r="AH175" s="20"/>
      <c r="AI175" s="19"/>
      <c r="AK175" s="41"/>
    </row>
    <row r="176" spans="1:37" x14ac:dyDescent="0.25">
      <c r="A176" s="40" t="s">
        <v>64</v>
      </c>
      <c r="B176" s="43"/>
      <c r="C176" s="57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54">
        <v>4</v>
      </c>
      <c r="AH176" s="20"/>
      <c r="AI176" s="19"/>
      <c r="AK176" s="41"/>
    </row>
    <row r="177" spans="1:37" x14ac:dyDescent="0.25">
      <c r="A177" s="40" t="s">
        <v>63</v>
      </c>
      <c r="B177" s="43"/>
      <c r="C177" s="57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54">
        <v>4</v>
      </c>
      <c r="AH177" s="20"/>
      <c r="AI177" s="19"/>
      <c r="AK177" s="41"/>
    </row>
    <row r="178" spans="1:37" x14ac:dyDescent="0.25">
      <c r="A178" s="40" t="s">
        <v>62</v>
      </c>
      <c r="B178" s="43"/>
      <c r="C178" s="57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54">
        <v>4</v>
      </c>
      <c r="AH178" s="20"/>
      <c r="AI178" s="19"/>
      <c r="AK178" s="41"/>
    </row>
    <row r="179" spans="1:37" x14ac:dyDescent="0.25">
      <c r="A179" s="40" t="s">
        <v>61</v>
      </c>
      <c r="B179" s="43"/>
      <c r="C179" s="57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54">
        <v>4</v>
      </c>
      <c r="AH179" s="20"/>
      <c r="AI179" s="19"/>
      <c r="AK179" s="41"/>
    </row>
    <row r="180" spans="1:37" x14ac:dyDescent="0.25">
      <c r="A180" s="40" t="s">
        <v>60</v>
      </c>
      <c r="B180" s="43"/>
      <c r="C180" s="57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54">
        <v>4</v>
      </c>
      <c r="AH180" s="20"/>
      <c r="AI180" s="19"/>
      <c r="AK180" s="41"/>
    </row>
    <row r="181" spans="1:37" x14ac:dyDescent="0.25">
      <c r="A181" s="40" t="s">
        <v>59</v>
      </c>
      <c r="B181" s="43"/>
      <c r="C181" s="57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54">
        <v>3.75</v>
      </c>
      <c r="AH181" s="20"/>
      <c r="AI181" s="19"/>
      <c r="AK181" s="41"/>
    </row>
    <row r="182" spans="1:37" x14ac:dyDescent="0.25">
      <c r="A182" s="40" t="s">
        <v>58</v>
      </c>
      <c r="B182" s="43"/>
      <c r="C182" s="57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54">
        <v>3.52</v>
      </c>
      <c r="AH182" s="20"/>
      <c r="AI182" s="19"/>
      <c r="AK182" s="41"/>
    </row>
    <row r="183" spans="1:37" x14ac:dyDescent="0.25">
      <c r="A183" s="40" t="s">
        <v>57</v>
      </c>
      <c r="B183" s="43"/>
      <c r="C183" s="57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54">
        <v>3.33</v>
      </c>
      <c r="AH183" s="20"/>
      <c r="AI183" s="19"/>
      <c r="AK183" s="41"/>
    </row>
    <row r="184" spans="1:37" x14ac:dyDescent="0.25">
      <c r="A184" s="40" t="s">
        <v>56</v>
      </c>
      <c r="B184" s="43"/>
      <c r="C184" s="57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54">
        <v>3.2</v>
      </c>
      <c r="AH184" s="20"/>
      <c r="AI184" s="19"/>
      <c r="AK184" s="41"/>
    </row>
    <row r="185" spans="1:37" x14ac:dyDescent="0.25">
      <c r="A185" s="40" t="s">
        <v>55</v>
      </c>
      <c r="B185" s="43"/>
      <c r="C185" s="57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54">
        <v>3</v>
      </c>
      <c r="AH185" s="20"/>
      <c r="AI185" s="19"/>
      <c r="AK185" s="41"/>
    </row>
    <row r="186" spans="1:37" x14ac:dyDescent="0.25">
      <c r="A186" s="40" t="s">
        <v>54</v>
      </c>
      <c r="B186" s="43"/>
      <c r="C186" s="57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54">
        <v>3</v>
      </c>
      <c r="AH186" s="20"/>
      <c r="AI186" s="19"/>
      <c r="AK186" s="41"/>
    </row>
    <row r="187" spans="1:37" x14ac:dyDescent="0.25">
      <c r="A187" s="40" t="s">
        <v>53</v>
      </c>
      <c r="B187" s="43"/>
      <c r="C187" s="57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54">
        <v>3</v>
      </c>
      <c r="AH187" s="20"/>
      <c r="AI187" s="19"/>
      <c r="AK187" s="41"/>
    </row>
    <row r="188" spans="1:37" x14ac:dyDescent="0.25">
      <c r="A188" s="40" t="s">
        <v>52</v>
      </c>
      <c r="B188" s="43"/>
      <c r="C188" s="57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54">
        <v>3</v>
      </c>
      <c r="AH188" s="20"/>
      <c r="AI188" s="19"/>
      <c r="AK188" s="41"/>
    </row>
    <row r="189" spans="1:37" x14ac:dyDescent="0.25">
      <c r="A189" s="40" t="s">
        <v>51</v>
      </c>
      <c r="B189" s="43"/>
      <c r="C189" s="57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54">
        <v>3</v>
      </c>
      <c r="AH189" s="20"/>
      <c r="AI189" s="19"/>
      <c r="AK189" s="41"/>
    </row>
    <row r="190" spans="1:37" x14ac:dyDescent="0.25">
      <c r="A190" s="40" t="s">
        <v>50</v>
      </c>
      <c r="B190" s="43"/>
      <c r="C190" s="57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54">
        <v>3</v>
      </c>
      <c r="AH190" s="20"/>
      <c r="AI190" s="19"/>
      <c r="AK190" s="41"/>
    </row>
    <row r="191" spans="1:37" x14ac:dyDescent="0.25">
      <c r="A191" s="40" t="s">
        <v>49</v>
      </c>
      <c r="B191" s="43"/>
      <c r="C191" s="57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54">
        <v>3</v>
      </c>
      <c r="AH191" s="20"/>
      <c r="AI191" s="19"/>
      <c r="AK191" s="41"/>
    </row>
    <row r="192" spans="1:37" x14ac:dyDescent="0.25">
      <c r="A192" s="40" t="s">
        <v>48</v>
      </c>
      <c r="B192" s="43"/>
      <c r="C192" s="57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54">
        <v>3</v>
      </c>
      <c r="AH192" s="20"/>
      <c r="AI192" s="19"/>
      <c r="AK192" s="41"/>
    </row>
    <row r="193" spans="1:37" x14ac:dyDescent="0.25">
      <c r="A193" s="40" t="s">
        <v>47</v>
      </c>
      <c r="B193" s="43"/>
      <c r="C193" s="57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54">
        <v>2.83</v>
      </c>
      <c r="AH193" s="20"/>
      <c r="AI193" s="19"/>
      <c r="AK193" s="41"/>
    </row>
    <row r="194" spans="1:37" x14ac:dyDescent="0.25">
      <c r="A194" s="40" t="s">
        <v>46</v>
      </c>
      <c r="B194" s="43"/>
      <c r="C194" s="57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54">
        <v>2.5</v>
      </c>
      <c r="AH194" s="20"/>
      <c r="AI194" s="19"/>
      <c r="AK194" s="41"/>
    </row>
    <row r="195" spans="1:37" x14ac:dyDescent="0.25">
      <c r="A195" s="40" t="s">
        <v>45</v>
      </c>
      <c r="B195" s="43"/>
      <c r="C195" s="57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54">
        <v>2.5</v>
      </c>
      <c r="AH195" s="20"/>
      <c r="AI195" s="19"/>
      <c r="AK195" s="41"/>
    </row>
    <row r="196" spans="1:37" x14ac:dyDescent="0.25">
      <c r="A196" s="40" t="s">
        <v>44</v>
      </c>
      <c r="B196" s="43"/>
      <c r="C196" s="57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54">
        <v>2.4</v>
      </c>
      <c r="AH196" s="20"/>
      <c r="AI196" s="19"/>
      <c r="AK196" s="41"/>
    </row>
    <row r="197" spans="1:37" x14ac:dyDescent="0.25">
      <c r="A197" s="40" t="s">
        <v>43</v>
      </c>
      <c r="B197" s="43"/>
      <c r="C197" s="57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54">
        <v>2.4</v>
      </c>
      <c r="AH197" s="20"/>
      <c r="AI197" s="19"/>
      <c r="AK197" s="41"/>
    </row>
    <row r="198" spans="1:37" x14ac:dyDescent="0.25">
      <c r="A198" s="40" t="s">
        <v>42</v>
      </c>
      <c r="B198" s="43"/>
      <c r="C198" s="57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54">
        <v>2.2000000000000002</v>
      </c>
      <c r="AH198" s="20"/>
      <c r="AI198" s="19"/>
      <c r="AK198" s="41"/>
    </row>
    <row r="199" spans="1:37" x14ac:dyDescent="0.25">
      <c r="A199" s="40" t="s">
        <v>41</v>
      </c>
      <c r="B199" s="43"/>
      <c r="C199" s="57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54">
        <v>2</v>
      </c>
      <c r="AH199" s="20"/>
      <c r="AI199" s="19"/>
      <c r="AK199" s="41"/>
    </row>
    <row r="200" spans="1:37" x14ac:dyDescent="0.25">
      <c r="A200" s="40" t="s">
        <v>40</v>
      </c>
      <c r="B200" s="43"/>
      <c r="C200" s="57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54">
        <v>2</v>
      </c>
      <c r="AH200" s="20"/>
      <c r="AI200" s="19"/>
      <c r="AK200" s="41"/>
    </row>
    <row r="201" spans="1:37" x14ac:dyDescent="0.25">
      <c r="A201" s="40" t="s">
        <v>39</v>
      </c>
      <c r="B201" s="43"/>
      <c r="C201" s="57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54">
        <v>2</v>
      </c>
      <c r="AH201" s="20"/>
      <c r="AI201" s="19"/>
      <c r="AK201" s="41"/>
    </row>
    <row r="202" spans="1:37" x14ac:dyDescent="0.25">
      <c r="A202" s="40" t="s">
        <v>38</v>
      </c>
      <c r="B202" s="43"/>
      <c r="C202" s="57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54">
        <v>1.8</v>
      </c>
      <c r="AH202" s="20"/>
      <c r="AI202" s="19"/>
      <c r="AK202" s="41"/>
    </row>
    <row r="203" spans="1:37" x14ac:dyDescent="0.25">
      <c r="A203" s="40" t="s">
        <v>37</v>
      </c>
      <c r="B203" s="43"/>
      <c r="C203" s="57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54">
        <v>1.8</v>
      </c>
      <c r="AH203" s="20"/>
      <c r="AI203" s="19"/>
      <c r="AK203" s="41"/>
    </row>
    <row r="204" spans="1:37" x14ac:dyDescent="0.25">
      <c r="A204" s="40" t="s">
        <v>36</v>
      </c>
      <c r="B204" s="43"/>
      <c r="C204" s="57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54">
        <v>1.65</v>
      </c>
      <c r="AH204" s="20"/>
      <c r="AI204" s="19"/>
      <c r="AK204" s="41"/>
    </row>
    <row r="205" spans="1:37" x14ac:dyDescent="0.25">
      <c r="A205" s="40" t="s">
        <v>35</v>
      </c>
      <c r="B205" s="43"/>
      <c r="C205" s="57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54">
        <v>1.5</v>
      </c>
      <c r="AH205" s="20"/>
      <c r="AI205" s="19"/>
      <c r="AK205" s="41"/>
    </row>
    <row r="206" spans="1:37" x14ac:dyDescent="0.25">
      <c r="A206" s="40" t="s">
        <v>34</v>
      </c>
      <c r="B206" s="43"/>
      <c r="C206" s="57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54">
        <v>0.998</v>
      </c>
      <c r="AH206" s="20"/>
      <c r="AI206" s="19"/>
      <c r="AK206" s="41"/>
    </row>
    <row r="207" spans="1:37" x14ac:dyDescent="0.25">
      <c r="A207" s="40" t="s">
        <v>33</v>
      </c>
      <c r="B207" s="43"/>
      <c r="C207" s="57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54">
        <v>0.997</v>
      </c>
      <c r="AH207" s="20"/>
      <c r="AI207" s="19"/>
      <c r="AK207" s="41"/>
    </row>
    <row r="208" spans="1:37" x14ac:dyDescent="0.25">
      <c r="A208" s="40" t="s">
        <v>32</v>
      </c>
      <c r="B208" s="43"/>
      <c r="C208" s="57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54">
        <v>0.997</v>
      </c>
      <c r="AH208" s="20"/>
      <c r="AI208" s="19"/>
      <c r="AK208" s="41"/>
    </row>
    <row r="209" spans="1:37" x14ac:dyDescent="0.25">
      <c r="A209" s="40" t="s">
        <v>31</v>
      </c>
      <c r="B209" s="43"/>
      <c r="C209" s="57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54">
        <v>0.996</v>
      </c>
      <c r="AH209" s="20"/>
      <c r="AI209" s="19"/>
      <c r="AK209" s="41"/>
    </row>
    <row r="210" spans="1:37" x14ac:dyDescent="0.25">
      <c r="A210" s="40" t="s">
        <v>30</v>
      </c>
      <c r="B210" s="43"/>
      <c r="C210" s="57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54">
        <v>0.996</v>
      </c>
      <c r="AH210" s="20"/>
      <c r="AI210" s="19"/>
      <c r="AK210" s="41"/>
    </row>
    <row r="211" spans="1:37" x14ac:dyDescent="0.25">
      <c r="A211" s="40" t="s">
        <v>29</v>
      </c>
      <c r="B211" s="43"/>
      <c r="C211" s="57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54">
        <v>0.996</v>
      </c>
      <c r="AH211" s="20"/>
      <c r="AI211" s="19"/>
      <c r="AK211" s="41"/>
    </row>
    <row r="212" spans="1:37" x14ac:dyDescent="0.25">
      <c r="A212" s="40" t="s">
        <v>28</v>
      </c>
      <c r="B212" s="43"/>
      <c r="C212" s="57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54">
        <v>0.995</v>
      </c>
      <c r="AH212" s="20"/>
      <c r="AI212" s="19"/>
      <c r="AK212" s="41"/>
    </row>
    <row r="213" spans="1:37" x14ac:dyDescent="0.25">
      <c r="A213" s="40" t="s">
        <v>27</v>
      </c>
      <c r="B213" s="43"/>
      <c r="C213" s="57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54">
        <v>0.99299999999999999</v>
      </c>
      <c r="AH213" s="20"/>
      <c r="AI213" s="19"/>
      <c r="AK213" s="41"/>
    </row>
    <row r="214" spans="1:37" x14ac:dyDescent="0.25">
      <c r="A214" s="40" t="s">
        <v>26</v>
      </c>
      <c r="B214" s="43"/>
      <c r="C214" s="56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54">
        <v>0.99</v>
      </c>
      <c r="AH214" s="20"/>
      <c r="AI214" s="19"/>
      <c r="AK214" s="41"/>
    </row>
    <row r="215" spans="1:37" ht="15.75" thickBot="1" x14ac:dyDescent="0.3">
      <c r="A215" s="40" t="s">
        <v>25</v>
      </c>
      <c r="B215" s="39"/>
      <c r="C215" s="55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39"/>
      <c r="AF215" s="39"/>
      <c r="AG215" s="54">
        <v>0.97899999999999998</v>
      </c>
      <c r="AH215" s="20"/>
      <c r="AI215" s="19"/>
      <c r="AK215" s="41"/>
    </row>
    <row r="216" spans="1:37" ht="15.75" thickBot="1" x14ac:dyDescent="0.3">
      <c r="A216" s="53" t="s">
        <v>24</v>
      </c>
      <c r="B216" s="52">
        <f t="shared" ref="B216:AG216" si="22">SUM(B111:B215)</f>
        <v>0</v>
      </c>
      <c r="C216" s="36">
        <f t="shared" si="22"/>
        <v>0</v>
      </c>
      <c r="D216" s="36">
        <f t="shared" si="22"/>
        <v>0</v>
      </c>
      <c r="E216" s="36">
        <f t="shared" si="22"/>
        <v>0</v>
      </c>
      <c r="F216" s="36">
        <f t="shared" si="22"/>
        <v>0</v>
      </c>
      <c r="G216" s="36">
        <f t="shared" si="22"/>
        <v>0</v>
      </c>
      <c r="H216" s="36">
        <f t="shared" si="22"/>
        <v>0</v>
      </c>
      <c r="I216" s="36">
        <f t="shared" si="22"/>
        <v>0</v>
      </c>
      <c r="J216" s="36">
        <f t="shared" si="22"/>
        <v>0</v>
      </c>
      <c r="K216" s="36">
        <f t="shared" si="22"/>
        <v>0</v>
      </c>
      <c r="L216" s="36">
        <f t="shared" si="22"/>
        <v>0</v>
      </c>
      <c r="M216" s="36">
        <f t="shared" si="22"/>
        <v>0</v>
      </c>
      <c r="N216" s="36">
        <f t="shared" si="22"/>
        <v>0</v>
      </c>
      <c r="O216" s="36">
        <f t="shared" si="22"/>
        <v>0</v>
      </c>
      <c r="P216" s="36">
        <f t="shared" si="22"/>
        <v>0</v>
      </c>
      <c r="Q216" s="36">
        <f t="shared" si="22"/>
        <v>0</v>
      </c>
      <c r="R216" s="36">
        <f t="shared" si="22"/>
        <v>0</v>
      </c>
      <c r="S216" s="36">
        <f t="shared" si="22"/>
        <v>0</v>
      </c>
      <c r="T216" s="36">
        <f t="shared" si="22"/>
        <v>0</v>
      </c>
      <c r="U216" s="36">
        <f t="shared" si="22"/>
        <v>0</v>
      </c>
      <c r="V216" s="36">
        <f t="shared" si="22"/>
        <v>0</v>
      </c>
      <c r="W216" s="36">
        <f t="shared" si="22"/>
        <v>0</v>
      </c>
      <c r="X216" s="36">
        <f t="shared" si="22"/>
        <v>0</v>
      </c>
      <c r="Y216" s="36">
        <f t="shared" si="22"/>
        <v>0</v>
      </c>
      <c r="Z216" s="36">
        <f t="shared" si="22"/>
        <v>0</v>
      </c>
      <c r="AA216" s="36">
        <f t="shared" si="22"/>
        <v>0</v>
      </c>
      <c r="AB216" s="36">
        <f t="shared" si="22"/>
        <v>0</v>
      </c>
      <c r="AC216" s="36">
        <f t="shared" si="22"/>
        <v>0</v>
      </c>
      <c r="AD216" s="36">
        <f t="shared" si="22"/>
        <v>0</v>
      </c>
      <c r="AE216" s="36">
        <f t="shared" si="22"/>
        <v>0</v>
      </c>
      <c r="AF216" s="51">
        <f t="shared" si="22"/>
        <v>0</v>
      </c>
      <c r="AG216" s="50">
        <f t="shared" si="22"/>
        <v>412.72299999999984</v>
      </c>
      <c r="AH216" s="20"/>
      <c r="AI216" s="19"/>
      <c r="AK216" s="41"/>
    </row>
    <row r="217" spans="1:37" ht="15.75" thickBot="1" x14ac:dyDescent="0.3">
      <c r="A217" s="49" t="s">
        <v>17</v>
      </c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48"/>
      <c r="AH217" s="20"/>
      <c r="AI217" s="19"/>
      <c r="AK217" s="41"/>
    </row>
    <row r="218" spans="1:37" x14ac:dyDescent="0.25">
      <c r="A218" s="47" t="s">
        <v>23</v>
      </c>
      <c r="B218" s="46">
        <f t="shared" ref="B218:B223" si="23">AF218</f>
        <v>0</v>
      </c>
      <c r="C218" s="46">
        <v>0.3</v>
      </c>
      <c r="D218" s="46">
        <f t="shared" ref="D218:P223" si="24">C218</f>
        <v>0.3</v>
      </c>
      <c r="E218" s="46">
        <f t="shared" si="24"/>
        <v>0.3</v>
      </c>
      <c r="F218" s="46">
        <f t="shared" si="24"/>
        <v>0.3</v>
      </c>
      <c r="G218" s="46">
        <f t="shared" si="24"/>
        <v>0.3</v>
      </c>
      <c r="H218" s="46">
        <f t="shared" si="24"/>
        <v>0.3</v>
      </c>
      <c r="I218" s="46">
        <f t="shared" si="24"/>
        <v>0.3</v>
      </c>
      <c r="J218" s="46">
        <f t="shared" si="24"/>
        <v>0.3</v>
      </c>
      <c r="K218" s="46">
        <f t="shared" si="24"/>
        <v>0.3</v>
      </c>
      <c r="L218" s="46">
        <f t="shared" si="24"/>
        <v>0.3</v>
      </c>
      <c r="M218" s="46">
        <f t="shared" si="24"/>
        <v>0.3</v>
      </c>
      <c r="N218" s="46">
        <f t="shared" si="24"/>
        <v>0.3</v>
      </c>
      <c r="O218" s="46">
        <f t="shared" si="24"/>
        <v>0.3</v>
      </c>
      <c r="P218" s="46">
        <f t="shared" si="24"/>
        <v>0.3</v>
      </c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5">
        <v>2.4</v>
      </c>
      <c r="AH218" s="20"/>
      <c r="AI218" s="19"/>
      <c r="AK218" s="41"/>
    </row>
    <row r="219" spans="1:37" x14ac:dyDescent="0.25">
      <c r="A219" s="44" t="s">
        <v>22</v>
      </c>
      <c r="B219" s="43">
        <f t="shared" si="23"/>
        <v>0</v>
      </c>
      <c r="C219" s="43">
        <v>0.4</v>
      </c>
      <c r="D219" s="43">
        <f t="shared" si="24"/>
        <v>0.4</v>
      </c>
      <c r="E219" s="43">
        <f t="shared" si="24"/>
        <v>0.4</v>
      </c>
      <c r="F219" s="43">
        <f t="shared" si="24"/>
        <v>0.4</v>
      </c>
      <c r="G219" s="43">
        <f t="shared" si="24"/>
        <v>0.4</v>
      </c>
      <c r="H219" s="43">
        <f t="shared" si="24"/>
        <v>0.4</v>
      </c>
      <c r="I219" s="43">
        <f t="shared" si="24"/>
        <v>0.4</v>
      </c>
      <c r="J219" s="43">
        <f t="shared" si="24"/>
        <v>0.4</v>
      </c>
      <c r="K219" s="43">
        <f t="shared" si="24"/>
        <v>0.4</v>
      </c>
      <c r="L219" s="43">
        <f t="shared" si="24"/>
        <v>0.4</v>
      </c>
      <c r="M219" s="43">
        <f t="shared" si="24"/>
        <v>0.4</v>
      </c>
      <c r="N219" s="43">
        <f t="shared" si="24"/>
        <v>0.4</v>
      </c>
      <c r="O219" s="43">
        <f t="shared" si="24"/>
        <v>0.4</v>
      </c>
      <c r="P219" s="43">
        <f t="shared" si="24"/>
        <v>0.4</v>
      </c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2">
        <v>2</v>
      </c>
      <c r="AH219" s="20"/>
      <c r="AI219" s="19"/>
      <c r="AK219" s="41"/>
    </row>
    <row r="220" spans="1:37" x14ac:dyDescent="0.25">
      <c r="A220" s="44" t="s">
        <v>21</v>
      </c>
      <c r="B220" s="43">
        <f t="shared" si="23"/>
        <v>0</v>
      </c>
      <c r="C220" s="43">
        <v>1.5</v>
      </c>
      <c r="D220" s="43">
        <f t="shared" si="24"/>
        <v>1.5</v>
      </c>
      <c r="E220" s="43">
        <f t="shared" si="24"/>
        <v>1.5</v>
      </c>
      <c r="F220" s="43">
        <f t="shared" si="24"/>
        <v>1.5</v>
      </c>
      <c r="G220" s="43">
        <f t="shared" si="24"/>
        <v>1.5</v>
      </c>
      <c r="H220" s="43">
        <f t="shared" si="24"/>
        <v>1.5</v>
      </c>
      <c r="I220" s="43">
        <f t="shared" si="24"/>
        <v>1.5</v>
      </c>
      <c r="J220" s="43">
        <f t="shared" si="24"/>
        <v>1.5</v>
      </c>
      <c r="K220" s="43">
        <f t="shared" si="24"/>
        <v>1.5</v>
      </c>
      <c r="L220" s="43">
        <f t="shared" si="24"/>
        <v>1.5</v>
      </c>
      <c r="M220" s="43">
        <f t="shared" si="24"/>
        <v>1.5</v>
      </c>
      <c r="N220" s="43">
        <f t="shared" si="24"/>
        <v>1.5</v>
      </c>
      <c r="O220" s="43">
        <f t="shared" si="24"/>
        <v>1.5</v>
      </c>
      <c r="P220" s="43">
        <f t="shared" si="24"/>
        <v>1.5</v>
      </c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2">
        <v>1.5</v>
      </c>
      <c r="AH220" s="20"/>
      <c r="AI220" s="19"/>
      <c r="AK220" s="41"/>
    </row>
    <row r="221" spans="1:37" x14ac:dyDescent="0.25">
      <c r="A221" s="44" t="s">
        <v>20</v>
      </c>
      <c r="B221" s="43">
        <f t="shared" si="23"/>
        <v>0</v>
      </c>
      <c r="C221" s="43">
        <v>0.3</v>
      </c>
      <c r="D221" s="43">
        <f t="shared" si="24"/>
        <v>0.3</v>
      </c>
      <c r="E221" s="43">
        <f t="shared" si="24"/>
        <v>0.3</v>
      </c>
      <c r="F221" s="43">
        <f t="shared" si="24"/>
        <v>0.3</v>
      </c>
      <c r="G221" s="43">
        <f t="shared" si="24"/>
        <v>0.3</v>
      </c>
      <c r="H221" s="43">
        <f t="shared" si="24"/>
        <v>0.3</v>
      </c>
      <c r="I221" s="43">
        <f t="shared" si="24"/>
        <v>0.3</v>
      </c>
      <c r="J221" s="43">
        <f t="shared" si="24"/>
        <v>0.3</v>
      </c>
      <c r="K221" s="43">
        <f t="shared" si="24"/>
        <v>0.3</v>
      </c>
      <c r="L221" s="43">
        <f t="shared" si="24"/>
        <v>0.3</v>
      </c>
      <c r="M221" s="43">
        <f t="shared" si="24"/>
        <v>0.3</v>
      </c>
      <c r="N221" s="43">
        <f t="shared" si="24"/>
        <v>0.3</v>
      </c>
      <c r="O221" s="43">
        <f t="shared" si="24"/>
        <v>0.3</v>
      </c>
      <c r="P221" s="43">
        <f t="shared" si="24"/>
        <v>0.3</v>
      </c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2">
        <v>1</v>
      </c>
      <c r="AH221" s="20"/>
      <c r="AI221" s="19"/>
      <c r="AK221" s="41"/>
    </row>
    <row r="222" spans="1:37" x14ac:dyDescent="0.25">
      <c r="A222" s="44" t="s">
        <v>19</v>
      </c>
      <c r="B222" s="43">
        <f t="shared" si="23"/>
        <v>0</v>
      </c>
      <c r="C222" s="43">
        <v>0.4</v>
      </c>
      <c r="D222" s="43">
        <f t="shared" si="24"/>
        <v>0.4</v>
      </c>
      <c r="E222" s="43">
        <f t="shared" si="24"/>
        <v>0.4</v>
      </c>
      <c r="F222" s="43">
        <f t="shared" si="24"/>
        <v>0.4</v>
      </c>
      <c r="G222" s="43">
        <f t="shared" si="24"/>
        <v>0.4</v>
      </c>
      <c r="H222" s="43">
        <f t="shared" si="24"/>
        <v>0.4</v>
      </c>
      <c r="I222" s="43">
        <f t="shared" si="24"/>
        <v>0.4</v>
      </c>
      <c r="J222" s="43">
        <f t="shared" si="24"/>
        <v>0.4</v>
      </c>
      <c r="K222" s="43">
        <f t="shared" si="24"/>
        <v>0.4</v>
      </c>
      <c r="L222" s="43">
        <f t="shared" si="24"/>
        <v>0.4</v>
      </c>
      <c r="M222" s="43">
        <f t="shared" si="24"/>
        <v>0.4</v>
      </c>
      <c r="N222" s="43">
        <f t="shared" si="24"/>
        <v>0.4</v>
      </c>
      <c r="O222" s="43">
        <f t="shared" si="24"/>
        <v>0.4</v>
      </c>
      <c r="P222" s="43">
        <f t="shared" si="24"/>
        <v>0.4</v>
      </c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2">
        <v>1</v>
      </c>
      <c r="AH222" s="20"/>
      <c r="AI222" s="19"/>
      <c r="AK222" s="41"/>
    </row>
    <row r="223" spans="1:37" ht="15.75" thickBot="1" x14ac:dyDescent="0.3">
      <c r="A223" s="40" t="s">
        <v>18</v>
      </c>
      <c r="B223" s="39">
        <f t="shared" si="23"/>
        <v>0</v>
      </c>
      <c r="C223" s="39">
        <v>0.64</v>
      </c>
      <c r="D223" s="39">
        <f t="shared" si="24"/>
        <v>0.64</v>
      </c>
      <c r="E223" s="39">
        <f t="shared" si="24"/>
        <v>0.64</v>
      </c>
      <c r="F223" s="39">
        <f t="shared" si="24"/>
        <v>0.64</v>
      </c>
      <c r="G223" s="39">
        <f t="shared" si="24"/>
        <v>0.64</v>
      </c>
      <c r="H223" s="39">
        <f t="shared" si="24"/>
        <v>0.64</v>
      </c>
      <c r="I223" s="39">
        <f t="shared" si="24"/>
        <v>0.64</v>
      </c>
      <c r="J223" s="39">
        <f t="shared" si="24"/>
        <v>0.64</v>
      </c>
      <c r="K223" s="39">
        <f t="shared" si="24"/>
        <v>0.64</v>
      </c>
      <c r="L223" s="39">
        <f t="shared" si="24"/>
        <v>0.64</v>
      </c>
      <c r="M223" s="39">
        <f t="shared" si="24"/>
        <v>0.64</v>
      </c>
      <c r="N223" s="39">
        <f t="shared" si="24"/>
        <v>0.64</v>
      </c>
      <c r="O223" s="39">
        <f t="shared" si="24"/>
        <v>0.64</v>
      </c>
      <c r="P223" s="39">
        <f t="shared" si="24"/>
        <v>0.64</v>
      </c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8">
        <v>0.66</v>
      </c>
      <c r="AH223" s="20"/>
      <c r="AI223" s="19"/>
    </row>
    <row r="224" spans="1:37" ht="15.75" thickBot="1" x14ac:dyDescent="0.3">
      <c r="A224" s="37" t="s">
        <v>17</v>
      </c>
      <c r="B224" s="36">
        <f t="shared" ref="B224:AG224" si="25">SUM(B218:B223)</f>
        <v>0</v>
      </c>
      <c r="C224" s="36">
        <f t="shared" si="25"/>
        <v>3.54</v>
      </c>
      <c r="D224" s="36">
        <f t="shared" si="25"/>
        <v>3.54</v>
      </c>
      <c r="E224" s="36">
        <f t="shared" si="25"/>
        <v>3.54</v>
      </c>
      <c r="F224" s="36">
        <f t="shared" si="25"/>
        <v>3.54</v>
      </c>
      <c r="G224" s="36">
        <f t="shared" si="25"/>
        <v>3.54</v>
      </c>
      <c r="H224" s="36">
        <f t="shared" si="25"/>
        <v>3.54</v>
      </c>
      <c r="I224" s="36">
        <f t="shared" si="25"/>
        <v>3.54</v>
      </c>
      <c r="J224" s="36">
        <f t="shared" si="25"/>
        <v>3.54</v>
      </c>
      <c r="K224" s="36">
        <f t="shared" si="25"/>
        <v>3.54</v>
      </c>
      <c r="L224" s="36">
        <f t="shared" si="25"/>
        <v>3.54</v>
      </c>
      <c r="M224" s="36">
        <f t="shared" si="25"/>
        <v>3.54</v>
      </c>
      <c r="N224" s="36">
        <f t="shared" si="25"/>
        <v>3.54</v>
      </c>
      <c r="O224" s="36">
        <f t="shared" si="25"/>
        <v>3.54</v>
      </c>
      <c r="P224" s="36">
        <f t="shared" si="25"/>
        <v>3.54</v>
      </c>
      <c r="Q224" s="36">
        <f t="shared" si="25"/>
        <v>0</v>
      </c>
      <c r="R224" s="36">
        <f t="shared" si="25"/>
        <v>0</v>
      </c>
      <c r="S224" s="36">
        <f t="shared" si="25"/>
        <v>0</v>
      </c>
      <c r="T224" s="36">
        <f t="shared" si="25"/>
        <v>0</v>
      </c>
      <c r="U224" s="36">
        <f t="shared" si="25"/>
        <v>0</v>
      </c>
      <c r="V224" s="36">
        <f t="shared" si="25"/>
        <v>0</v>
      </c>
      <c r="W224" s="36">
        <f t="shared" si="25"/>
        <v>0</v>
      </c>
      <c r="X224" s="36">
        <f t="shared" si="25"/>
        <v>0</v>
      </c>
      <c r="Y224" s="36">
        <f t="shared" si="25"/>
        <v>0</v>
      </c>
      <c r="Z224" s="36">
        <f t="shared" si="25"/>
        <v>0</v>
      </c>
      <c r="AA224" s="36">
        <f t="shared" si="25"/>
        <v>0</v>
      </c>
      <c r="AB224" s="36">
        <f t="shared" si="25"/>
        <v>0</v>
      </c>
      <c r="AC224" s="36">
        <f t="shared" si="25"/>
        <v>0</v>
      </c>
      <c r="AD224" s="36">
        <f t="shared" si="25"/>
        <v>0</v>
      </c>
      <c r="AE224" s="36">
        <f t="shared" si="25"/>
        <v>0</v>
      </c>
      <c r="AF224" s="36">
        <f t="shared" si="25"/>
        <v>0</v>
      </c>
      <c r="AG224" s="35">
        <f t="shared" si="25"/>
        <v>8.56</v>
      </c>
      <c r="AH224" s="20"/>
      <c r="AI224" s="19"/>
    </row>
    <row r="225" spans="1:50" ht="15.75" thickBot="1" x14ac:dyDescent="0.3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34"/>
      <c r="AH225" s="2"/>
    </row>
    <row r="226" spans="1:50" x14ac:dyDescent="0.25">
      <c r="A226" s="33" t="s">
        <v>0</v>
      </c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1"/>
      <c r="AG226" s="2"/>
      <c r="AH226" s="20"/>
      <c r="AI226" s="19"/>
    </row>
    <row r="227" spans="1:50" x14ac:dyDescent="0.25">
      <c r="A227" s="30" t="s">
        <v>16</v>
      </c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8"/>
      <c r="AG227" s="21"/>
      <c r="AH227" s="20"/>
      <c r="AI227" s="19"/>
    </row>
    <row r="228" spans="1:50" x14ac:dyDescent="0.25">
      <c r="A228" s="27" t="s">
        <v>15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5"/>
      <c r="AG228" s="21"/>
      <c r="AH228" s="20"/>
      <c r="AI228" s="19"/>
    </row>
    <row r="229" spans="1:50" x14ac:dyDescent="0.25">
      <c r="A229" s="27" t="s">
        <v>14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5"/>
      <c r="AG229" s="21"/>
      <c r="AH229" s="20"/>
      <c r="AI229" s="19"/>
    </row>
    <row r="230" spans="1:50" ht="15.75" thickBot="1" x14ac:dyDescent="0.3">
      <c r="A230" s="24" t="s">
        <v>13</v>
      </c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2"/>
      <c r="AG230" s="21"/>
      <c r="AH230" s="20"/>
      <c r="AI230" s="19"/>
    </row>
    <row r="231" spans="1:50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spans="1:5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spans="1:50" x14ac:dyDescent="0.25">
      <c r="A233" s="18" t="s">
        <v>12</v>
      </c>
      <c r="B233" s="17">
        <f>MAX(G81:N81)</f>
        <v>303.54000000000002</v>
      </c>
      <c r="C233" s="16">
        <f>INDEX(G9:N9,1,MATCH(MAX(G81:N81),G81:N81,0))</f>
        <v>0.20833333333333301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spans="1:50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15" t="str">
        <f ca="1">MID(CELL("filename",C7),FIND("]",CELL("filename",C7))+1,600)</f>
        <v>Sample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spans="1:50" x14ac:dyDescent="0.25">
      <c r="A235" s="195" t="s">
        <v>11</v>
      </c>
      <c r="B235" s="195"/>
      <c r="C235" s="2"/>
      <c r="D235" s="15" t="e">
        <f ca="1">"Pie Chart of Daily Peak Demand(Inclusive of Export) of Nepal ("&amp;A4&amp;" "&amp;B4&amp;")"</f>
        <v>#VALUE!</v>
      </c>
      <c r="E235" s="2"/>
      <c r="F235" s="2"/>
      <c r="G235" s="15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15" t="e">
        <f ca="1">"Daily Load Curve(Excluding of Export) of Nepal ("&amp;A4&amp;" "&amp;B4&amp;")"</f>
        <v>#VALUE!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spans="1:50" ht="12.75" customHeight="1" thickBot="1" x14ac:dyDescent="0.3">
      <c r="A236" s="7" t="s">
        <v>10</v>
      </c>
      <c r="B236" s="6"/>
      <c r="C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spans="1:50" ht="15.75" thickTop="1" x14ac:dyDescent="0.25">
      <c r="A237" s="7" t="s">
        <v>9</v>
      </c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14" t="s">
        <v>8</v>
      </c>
      <c r="T237" s="13">
        <v>0</v>
      </c>
      <c r="U237" s="12">
        <v>4.1666666666666664E-2</v>
      </c>
      <c r="V237" s="10">
        <v>8.3333333333333301E-2</v>
      </c>
      <c r="W237" s="10">
        <v>0.125</v>
      </c>
      <c r="X237" s="10">
        <v>0.16666666666666699</v>
      </c>
      <c r="Y237" s="10">
        <v>0.20833333333333301</v>
      </c>
      <c r="Z237" s="10">
        <v>0.22916666666666666</v>
      </c>
      <c r="AA237" s="10">
        <v>0.25</v>
      </c>
      <c r="AB237" s="10">
        <v>0.27083333333333331</v>
      </c>
      <c r="AC237" s="10">
        <v>0.29166666666666669</v>
      </c>
      <c r="AD237" s="10">
        <v>0.3125</v>
      </c>
      <c r="AE237" s="11">
        <v>0.33333333333333331</v>
      </c>
      <c r="AF237" s="11">
        <v>0.375</v>
      </c>
      <c r="AG237" s="11">
        <v>0.41666666666666702</v>
      </c>
      <c r="AH237" s="11">
        <v>0.45833333333333298</v>
      </c>
      <c r="AI237" s="11">
        <v>0.5</v>
      </c>
      <c r="AJ237" s="11">
        <v>0.54166666666666696</v>
      </c>
      <c r="AK237" s="11">
        <v>0.58333333333333304</v>
      </c>
      <c r="AL237" s="11">
        <v>0.625</v>
      </c>
      <c r="AM237" s="11">
        <v>0.66666666666666696</v>
      </c>
      <c r="AN237" s="11">
        <v>0.70833333333333304</v>
      </c>
      <c r="AO237" s="11">
        <v>0.72916666666666663</v>
      </c>
      <c r="AP237" s="11">
        <v>0.75</v>
      </c>
      <c r="AQ237" s="11">
        <v>0.77083333333333337</v>
      </c>
      <c r="AR237" s="11">
        <v>0.79166666666666663</v>
      </c>
      <c r="AS237" s="11">
        <v>0.8125</v>
      </c>
      <c r="AT237" s="10">
        <v>0.83333333333333337</v>
      </c>
      <c r="AU237" s="10">
        <v>0.85416666666666663</v>
      </c>
      <c r="AV237" s="10">
        <v>0.875</v>
      </c>
      <c r="AW237" s="10">
        <v>0.91666666666666696</v>
      </c>
      <c r="AX237" s="10">
        <v>0.95833333333333304</v>
      </c>
    </row>
    <row r="238" spans="1:50" x14ac:dyDescent="0.25">
      <c r="A238" s="7" t="s">
        <v>7</v>
      </c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 t="s">
        <v>6</v>
      </c>
      <c r="T238" s="9">
        <f t="shared" ref="T238:AX238" si="26">B81</f>
        <v>303.54000000000002</v>
      </c>
      <c r="U238" s="9">
        <f t="shared" si="26"/>
        <v>303.54000000000002</v>
      </c>
      <c r="V238" s="9">
        <f t="shared" si="26"/>
        <v>303.54000000000002</v>
      </c>
      <c r="W238" s="9">
        <f t="shared" si="26"/>
        <v>303.54000000000002</v>
      </c>
      <c r="X238" s="9">
        <f t="shared" si="26"/>
        <v>303.54000000000002</v>
      </c>
      <c r="Y238" s="9">
        <f t="shared" si="26"/>
        <v>303.54000000000002</v>
      </c>
      <c r="Z238" s="9">
        <f t="shared" si="26"/>
        <v>303.54000000000002</v>
      </c>
      <c r="AA238" s="9">
        <f t="shared" si="26"/>
        <v>303.54000000000002</v>
      </c>
      <c r="AB238" s="9">
        <f t="shared" si="26"/>
        <v>303.54000000000002</v>
      </c>
      <c r="AC238" s="9">
        <f t="shared" si="26"/>
        <v>303.54000000000002</v>
      </c>
      <c r="AD238" s="9">
        <f t="shared" si="26"/>
        <v>303.54000000000002</v>
      </c>
      <c r="AE238" s="9">
        <f t="shared" si="26"/>
        <v>303.54000000000002</v>
      </c>
      <c r="AF238" s="9">
        <f t="shared" si="26"/>
        <v>303.54000000000002</v>
      </c>
      <c r="AG238" s="9">
        <f t="shared" si="26"/>
        <v>303.54000000000002</v>
      </c>
      <c r="AH238" s="9">
        <f t="shared" si="26"/>
        <v>303.54000000000002</v>
      </c>
      <c r="AI238" s="9">
        <f t="shared" si="26"/>
        <v>303.54000000000002</v>
      </c>
      <c r="AJ238" s="9">
        <f t="shared" si="26"/>
        <v>303.54000000000002</v>
      </c>
      <c r="AK238" s="9">
        <f t="shared" si="26"/>
        <v>303.54000000000002</v>
      </c>
      <c r="AL238" s="9">
        <f t="shared" si="26"/>
        <v>303.54000000000002</v>
      </c>
      <c r="AM238" s="9">
        <f t="shared" si="26"/>
        <v>303.54000000000002</v>
      </c>
      <c r="AN238" s="9">
        <f t="shared" si="26"/>
        <v>303.54000000000002</v>
      </c>
      <c r="AO238" s="9">
        <f t="shared" si="26"/>
        <v>303.54000000000002</v>
      </c>
      <c r="AP238" s="9">
        <f t="shared" si="26"/>
        <v>303.54000000000002</v>
      </c>
      <c r="AQ238" s="9">
        <f t="shared" si="26"/>
        <v>303.54000000000002</v>
      </c>
      <c r="AR238" s="9">
        <f t="shared" si="26"/>
        <v>303.54000000000002</v>
      </c>
      <c r="AS238" s="9">
        <f t="shared" si="26"/>
        <v>303.54000000000002</v>
      </c>
      <c r="AT238" s="9">
        <f t="shared" si="26"/>
        <v>3.54</v>
      </c>
      <c r="AU238" s="9">
        <f t="shared" si="26"/>
        <v>3.54</v>
      </c>
      <c r="AV238" s="9">
        <f t="shared" si="26"/>
        <v>3.54</v>
      </c>
      <c r="AW238" s="9">
        <f t="shared" si="26"/>
        <v>3.54</v>
      </c>
      <c r="AX238" s="9">
        <f t="shared" si="26"/>
        <v>3.54</v>
      </c>
    </row>
    <row r="239" spans="1:50" x14ac:dyDescent="0.25">
      <c r="A239" s="7" t="s">
        <v>5</v>
      </c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50" x14ac:dyDescent="0.25">
      <c r="A240" s="7" t="s">
        <v>4</v>
      </c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x14ac:dyDescent="0.25">
      <c r="A241" s="7" t="s">
        <v>3</v>
      </c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x14ac:dyDescent="0.25">
      <c r="A242" s="7" t="s">
        <v>2</v>
      </c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x14ac:dyDescent="0.25">
      <c r="A243" s="7" t="s">
        <v>1</v>
      </c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 spans="1:34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 spans="1:34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 spans="1:34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 spans="1:34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 spans="1:34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 spans="1:34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 spans="1:34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 spans="1:34" x14ac:dyDescent="0.25">
      <c r="A259" s="5" t="s">
        <v>0</v>
      </c>
      <c r="B259" s="4">
        <f t="shared" ref="B259:AE259" si="27">C223</f>
        <v>0.64</v>
      </c>
      <c r="C259" s="4">
        <f t="shared" si="27"/>
        <v>0.64</v>
      </c>
      <c r="D259" s="4">
        <f t="shared" si="27"/>
        <v>0.64</v>
      </c>
      <c r="E259" s="4">
        <f t="shared" si="27"/>
        <v>0.64</v>
      </c>
      <c r="F259" s="4">
        <f t="shared" si="27"/>
        <v>0.64</v>
      </c>
      <c r="G259" s="4">
        <f t="shared" si="27"/>
        <v>0.64</v>
      </c>
      <c r="H259" s="4">
        <f t="shared" si="27"/>
        <v>0.64</v>
      </c>
      <c r="I259" s="4">
        <f t="shared" si="27"/>
        <v>0.64</v>
      </c>
      <c r="J259" s="4">
        <f t="shared" si="27"/>
        <v>0.64</v>
      </c>
      <c r="K259" s="4">
        <f t="shared" si="27"/>
        <v>0.64</v>
      </c>
      <c r="L259" s="4">
        <f t="shared" si="27"/>
        <v>0.64</v>
      </c>
      <c r="M259" s="4">
        <f t="shared" si="27"/>
        <v>0.64</v>
      </c>
      <c r="N259" s="4">
        <f t="shared" si="27"/>
        <v>0.64</v>
      </c>
      <c r="O259" s="4">
        <f t="shared" si="27"/>
        <v>0.64</v>
      </c>
      <c r="P259" s="4">
        <f t="shared" si="27"/>
        <v>0</v>
      </c>
      <c r="Q259" s="4">
        <f t="shared" si="27"/>
        <v>0</v>
      </c>
      <c r="R259" s="4">
        <f t="shared" si="27"/>
        <v>0</v>
      </c>
      <c r="S259" s="4">
        <f t="shared" si="27"/>
        <v>0</v>
      </c>
      <c r="T259" s="4">
        <f t="shared" si="27"/>
        <v>0</v>
      </c>
      <c r="U259" s="4">
        <f t="shared" si="27"/>
        <v>0</v>
      </c>
      <c r="V259" s="4">
        <f t="shared" si="27"/>
        <v>0</v>
      </c>
      <c r="W259" s="4">
        <f t="shared" si="27"/>
        <v>0</v>
      </c>
      <c r="X259" s="4">
        <f t="shared" si="27"/>
        <v>0</v>
      </c>
      <c r="Y259" s="4">
        <f t="shared" si="27"/>
        <v>0</v>
      </c>
      <c r="Z259" s="4">
        <f t="shared" si="27"/>
        <v>0</v>
      </c>
      <c r="AA259" s="4">
        <f t="shared" si="27"/>
        <v>0</v>
      </c>
      <c r="AB259" s="4">
        <f t="shared" si="27"/>
        <v>0</v>
      </c>
      <c r="AC259" s="4">
        <f t="shared" si="27"/>
        <v>0</v>
      </c>
      <c r="AD259" s="4">
        <f t="shared" si="27"/>
        <v>0</v>
      </c>
      <c r="AE259" s="4">
        <f t="shared" si="27"/>
        <v>0</v>
      </c>
      <c r="AF259" s="4">
        <f>B223</f>
        <v>0</v>
      </c>
      <c r="AG259" s="2"/>
      <c r="AH259" s="2"/>
    </row>
    <row r="260" spans="1:34" x14ac:dyDescent="0.25">
      <c r="A260" s="3" t="str">
        <f>A227</f>
        <v>KGA</v>
      </c>
      <c r="B260" s="3" t="str">
        <f t="shared" ref="B260:AF260" si="28">IF(B227&lt;100,"",B227-520)</f>
        <v/>
      </c>
      <c r="C260" s="3" t="str">
        <f t="shared" si="28"/>
        <v/>
      </c>
      <c r="D260" s="3" t="str">
        <f t="shared" si="28"/>
        <v/>
      </c>
      <c r="E260" s="3" t="str">
        <f t="shared" si="28"/>
        <v/>
      </c>
      <c r="F260" s="3" t="str">
        <f t="shared" si="28"/>
        <v/>
      </c>
      <c r="G260" s="3" t="str">
        <f t="shared" si="28"/>
        <v/>
      </c>
      <c r="H260" s="3" t="str">
        <f t="shared" si="28"/>
        <v/>
      </c>
      <c r="I260" s="3" t="str">
        <f t="shared" si="28"/>
        <v/>
      </c>
      <c r="J260" s="3" t="str">
        <f t="shared" si="28"/>
        <v/>
      </c>
      <c r="K260" s="3" t="str">
        <f t="shared" si="28"/>
        <v/>
      </c>
      <c r="L260" s="3" t="str">
        <f t="shared" si="28"/>
        <v/>
      </c>
      <c r="M260" s="3" t="str">
        <f t="shared" si="28"/>
        <v/>
      </c>
      <c r="N260" s="3" t="str">
        <f t="shared" si="28"/>
        <v/>
      </c>
      <c r="O260" s="3" t="str">
        <f t="shared" si="28"/>
        <v/>
      </c>
      <c r="P260" s="3" t="str">
        <f t="shared" si="28"/>
        <v/>
      </c>
      <c r="Q260" s="3" t="str">
        <f t="shared" si="28"/>
        <v/>
      </c>
      <c r="R260" s="3" t="str">
        <f t="shared" si="28"/>
        <v/>
      </c>
      <c r="S260" s="3" t="str">
        <f t="shared" si="28"/>
        <v/>
      </c>
      <c r="T260" s="3" t="str">
        <f t="shared" si="28"/>
        <v/>
      </c>
      <c r="U260" s="3" t="str">
        <f t="shared" si="28"/>
        <v/>
      </c>
      <c r="V260" s="3" t="str">
        <f t="shared" si="28"/>
        <v/>
      </c>
      <c r="W260" s="3" t="str">
        <f t="shared" si="28"/>
        <v/>
      </c>
      <c r="X260" s="3" t="str">
        <f t="shared" si="28"/>
        <v/>
      </c>
      <c r="Y260" s="3" t="str">
        <f t="shared" si="28"/>
        <v/>
      </c>
      <c r="Z260" s="3" t="str">
        <f t="shared" si="28"/>
        <v/>
      </c>
      <c r="AA260" s="3" t="str">
        <f t="shared" si="28"/>
        <v/>
      </c>
      <c r="AB260" s="3" t="str">
        <f t="shared" si="28"/>
        <v/>
      </c>
      <c r="AC260" s="3" t="str">
        <f t="shared" si="28"/>
        <v/>
      </c>
      <c r="AD260" s="3" t="str">
        <f t="shared" si="28"/>
        <v/>
      </c>
      <c r="AE260" s="3" t="str">
        <f t="shared" si="28"/>
        <v/>
      </c>
      <c r="AF260" s="3" t="str">
        <f t="shared" si="28"/>
        <v/>
      </c>
      <c r="AG260" s="2"/>
      <c r="AH260" s="2"/>
    </row>
    <row r="261" spans="1:34" x14ac:dyDescent="0.25">
      <c r="A261" s="3" t="str">
        <f>A228</f>
        <v>MMRS</v>
      </c>
      <c r="B261" s="3" t="str">
        <f t="shared" ref="B261:AF261" si="29">IF(B228&lt;100,"",B228-620)</f>
        <v/>
      </c>
      <c r="C261" s="3" t="str">
        <f t="shared" si="29"/>
        <v/>
      </c>
      <c r="D261" s="3" t="str">
        <f t="shared" si="29"/>
        <v/>
      </c>
      <c r="E261" s="3" t="str">
        <f t="shared" si="29"/>
        <v/>
      </c>
      <c r="F261" s="3" t="str">
        <f t="shared" si="29"/>
        <v/>
      </c>
      <c r="G261" s="3" t="str">
        <f t="shared" si="29"/>
        <v/>
      </c>
      <c r="H261" s="3" t="str">
        <f t="shared" si="29"/>
        <v/>
      </c>
      <c r="I261" s="3" t="str">
        <f t="shared" si="29"/>
        <v/>
      </c>
      <c r="J261" s="3" t="str">
        <f t="shared" si="29"/>
        <v/>
      </c>
      <c r="K261" s="3" t="str">
        <f t="shared" si="29"/>
        <v/>
      </c>
      <c r="L261" s="3" t="str">
        <f t="shared" si="29"/>
        <v/>
      </c>
      <c r="M261" s="3" t="str">
        <f t="shared" si="29"/>
        <v/>
      </c>
      <c r="N261" s="3" t="str">
        <f t="shared" si="29"/>
        <v/>
      </c>
      <c r="O261" s="3" t="str">
        <f t="shared" si="29"/>
        <v/>
      </c>
      <c r="P261" s="3" t="str">
        <f t="shared" si="29"/>
        <v/>
      </c>
      <c r="Q261" s="3" t="str">
        <f t="shared" si="29"/>
        <v/>
      </c>
      <c r="R261" s="3" t="str">
        <f t="shared" si="29"/>
        <v/>
      </c>
      <c r="S261" s="3" t="str">
        <f t="shared" si="29"/>
        <v/>
      </c>
      <c r="T261" s="3" t="str">
        <f t="shared" si="29"/>
        <v/>
      </c>
      <c r="U261" s="3" t="str">
        <f t="shared" si="29"/>
        <v/>
      </c>
      <c r="V261" s="3" t="str">
        <f t="shared" si="29"/>
        <v/>
      </c>
      <c r="W261" s="3" t="str">
        <f t="shared" si="29"/>
        <v/>
      </c>
      <c r="X261" s="3" t="str">
        <f t="shared" si="29"/>
        <v/>
      </c>
      <c r="Y261" s="3" t="str">
        <f t="shared" si="29"/>
        <v/>
      </c>
      <c r="Z261" s="3" t="str">
        <f t="shared" si="29"/>
        <v/>
      </c>
      <c r="AA261" s="3" t="str">
        <f t="shared" si="29"/>
        <v/>
      </c>
      <c r="AB261" s="3" t="str">
        <f t="shared" si="29"/>
        <v/>
      </c>
      <c r="AC261" s="3" t="str">
        <f t="shared" si="29"/>
        <v/>
      </c>
      <c r="AD261" s="3" t="str">
        <f t="shared" si="29"/>
        <v/>
      </c>
      <c r="AE261" s="3" t="str">
        <f t="shared" si="29"/>
        <v/>
      </c>
      <c r="AF261" s="3" t="str">
        <f t="shared" si="29"/>
        <v/>
      </c>
      <c r="AG261" s="2"/>
      <c r="AH261" s="2"/>
    </row>
    <row r="262" spans="1:34" x14ac:dyDescent="0.25">
      <c r="A262" s="3" t="str">
        <f>A229</f>
        <v>MRS</v>
      </c>
      <c r="B262" s="3" t="str">
        <f t="shared" ref="B262:AF262" si="30">IF(B229&lt;100,"",B229-330)</f>
        <v/>
      </c>
      <c r="C262" s="3" t="str">
        <f t="shared" si="30"/>
        <v/>
      </c>
      <c r="D262" s="3" t="str">
        <f t="shared" si="30"/>
        <v/>
      </c>
      <c r="E262" s="3" t="str">
        <f t="shared" si="30"/>
        <v/>
      </c>
      <c r="F262" s="3" t="str">
        <f t="shared" si="30"/>
        <v/>
      </c>
      <c r="G262" s="3" t="str">
        <f t="shared" si="30"/>
        <v/>
      </c>
      <c r="H262" s="3" t="str">
        <f t="shared" si="30"/>
        <v/>
      </c>
      <c r="I262" s="3" t="str">
        <f t="shared" si="30"/>
        <v/>
      </c>
      <c r="J262" s="3" t="str">
        <f t="shared" si="30"/>
        <v/>
      </c>
      <c r="K262" s="3" t="str">
        <f t="shared" si="30"/>
        <v/>
      </c>
      <c r="L262" s="3" t="str">
        <f t="shared" si="30"/>
        <v/>
      </c>
      <c r="M262" s="3" t="str">
        <f t="shared" si="30"/>
        <v/>
      </c>
      <c r="N262" s="3" t="str">
        <f t="shared" si="30"/>
        <v/>
      </c>
      <c r="O262" s="3" t="str">
        <f t="shared" si="30"/>
        <v/>
      </c>
      <c r="P262" s="3" t="str">
        <f t="shared" si="30"/>
        <v/>
      </c>
      <c r="Q262" s="3" t="str">
        <f t="shared" si="30"/>
        <v/>
      </c>
      <c r="R262" s="3" t="str">
        <f t="shared" si="30"/>
        <v/>
      </c>
      <c r="S262" s="3" t="str">
        <f t="shared" si="30"/>
        <v/>
      </c>
      <c r="T262" s="3" t="str">
        <f t="shared" si="30"/>
        <v/>
      </c>
      <c r="U262" s="3" t="str">
        <f t="shared" si="30"/>
        <v/>
      </c>
      <c r="V262" s="3" t="str">
        <f t="shared" si="30"/>
        <v/>
      </c>
      <c r="W262" s="3" t="str">
        <f t="shared" si="30"/>
        <v/>
      </c>
      <c r="X262" s="3" t="str">
        <f t="shared" si="30"/>
        <v/>
      </c>
      <c r="Y262" s="3" t="str">
        <f t="shared" si="30"/>
        <v/>
      </c>
      <c r="Z262" s="3" t="str">
        <f t="shared" si="30"/>
        <v/>
      </c>
      <c r="AA262" s="3" t="str">
        <f t="shared" si="30"/>
        <v/>
      </c>
      <c r="AB262" s="3" t="str">
        <f t="shared" si="30"/>
        <v/>
      </c>
      <c r="AC262" s="3" t="str">
        <f t="shared" si="30"/>
        <v/>
      </c>
      <c r="AD262" s="3" t="str">
        <f t="shared" si="30"/>
        <v/>
      </c>
      <c r="AE262" s="3" t="str">
        <f t="shared" si="30"/>
        <v/>
      </c>
      <c r="AF262" s="3" t="str">
        <f t="shared" si="30"/>
        <v/>
      </c>
      <c r="AG262" s="2"/>
      <c r="AH262" s="2"/>
    </row>
    <row r="263" spans="1:34" x14ac:dyDescent="0.25">
      <c r="A263" s="3" t="str">
        <f>A230</f>
        <v>KL 1</v>
      </c>
      <c r="B263" s="3" t="str">
        <f t="shared" ref="B263:AF263" si="31">IF(B230&lt;100,"",B230-1500)</f>
        <v/>
      </c>
      <c r="C263" s="3" t="str">
        <f t="shared" si="31"/>
        <v/>
      </c>
      <c r="D263" s="3" t="str">
        <f t="shared" si="31"/>
        <v/>
      </c>
      <c r="E263" s="3" t="str">
        <f t="shared" si="31"/>
        <v/>
      </c>
      <c r="F263" s="3" t="str">
        <f t="shared" si="31"/>
        <v/>
      </c>
      <c r="G263" s="3" t="str">
        <f t="shared" si="31"/>
        <v/>
      </c>
      <c r="H263" s="3" t="str">
        <f t="shared" si="31"/>
        <v/>
      </c>
      <c r="I263" s="3" t="str">
        <f t="shared" si="31"/>
        <v/>
      </c>
      <c r="J263" s="3" t="str">
        <f t="shared" si="31"/>
        <v/>
      </c>
      <c r="K263" s="3" t="str">
        <f t="shared" si="31"/>
        <v/>
      </c>
      <c r="L263" s="3" t="str">
        <f t="shared" si="31"/>
        <v/>
      </c>
      <c r="M263" s="3" t="str">
        <f t="shared" si="31"/>
        <v/>
      </c>
      <c r="N263" s="3" t="str">
        <f t="shared" si="31"/>
        <v/>
      </c>
      <c r="O263" s="3" t="str">
        <f t="shared" si="31"/>
        <v/>
      </c>
      <c r="P263" s="3" t="str">
        <f t="shared" si="31"/>
        <v/>
      </c>
      <c r="Q263" s="3" t="str">
        <f t="shared" si="31"/>
        <v/>
      </c>
      <c r="R263" s="3" t="str">
        <f t="shared" si="31"/>
        <v/>
      </c>
      <c r="S263" s="3" t="str">
        <f t="shared" si="31"/>
        <v/>
      </c>
      <c r="T263" s="3" t="str">
        <f t="shared" si="31"/>
        <v/>
      </c>
      <c r="U263" s="3" t="str">
        <f t="shared" si="31"/>
        <v/>
      </c>
      <c r="V263" s="3" t="str">
        <f t="shared" si="31"/>
        <v/>
      </c>
      <c r="W263" s="3" t="str">
        <f t="shared" si="31"/>
        <v/>
      </c>
      <c r="X263" s="3" t="str">
        <f t="shared" si="31"/>
        <v/>
      </c>
      <c r="Y263" s="3" t="str">
        <f t="shared" si="31"/>
        <v/>
      </c>
      <c r="Z263" s="3" t="str">
        <f t="shared" si="31"/>
        <v/>
      </c>
      <c r="AA263" s="3" t="str">
        <f t="shared" si="31"/>
        <v/>
      </c>
      <c r="AB263" s="3" t="str">
        <f t="shared" si="31"/>
        <v/>
      </c>
      <c r="AC263" s="3" t="str">
        <f t="shared" si="31"/>
        <v/>
      </c>
      <c r="AD263" s="3" t="str">
        <f t="shared" si="31"/>
        <v/>
      </c>
      <c r="AE263" s="3" t="str">
        <f t="shared" si="31"/>
        <v/>
      </c>
      <c r="AF263" s="3" t="str">
        <f t="shared" si="31"/>
        <v/>
      </c>
      <c r="AG263" s="2"/>
      <c r="AH263" s="2"/>
    </row>
    <row r="264" spans="1:34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 spans="1:34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 spans="1:34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 spans="1:34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 spans="1:34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 spans="1:34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</sheetData>
  <mergeCells count="48">
    <mergeCell ref="A235:B235"/>
    <mergeCell ref="AB9:AB10"/>
    <mergeCell ref="AC9:AC10"/>
    <mergeCell ref="AD9:AD10"/>
    <mergeCell ref="AE9:AE10"/>
    <mergeCell ref="P9:P10"/>
    <mergeCell ref="Q9:Q10"/>
    <mergeCell ref="R9:R10"/>
    <mergeCell ref="S9:S10"/>
    <mergeCell ref="T9:T10"/>
    <mergeCell ref="U9:U10"/>
    <mergeCell ref="J9:J10"/>
    <mergeCell ref="K9:K10"/>
    <mergeCell ref="L9:L10"/>
    <mergeCell ref="M9:M10"/>
    <mergeCell ref="N9:N10"/>
    <mergeCell ref="AG9:AG10"/>
    <mergeCell ref="V9:V10"/>
    <mergeCell ref="W9:W10"/>
    <mergeCell ref="X9:X10"/>
    <mergeCell ref="Y9:Y10"/>
    <mergeCell ref="Z9:Z10"/>
    <mergeCell ref="AA9:AA10"/>
    <mergeCell ref="O9:O10"/>
    <mergeCell ref="AB8:AF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S8:AA8"/>
    <mergeCell ref="AF9:AF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V3 AB3">
    <cfRule type="iconSet" priority="244">
      <iconSet iconSet="3TrafficLights2" reverse="1">
        <cfvo type="percent" val="0"/>
        <cfvo type="num" val="1"/>
        <cfvo type="num" val="1"/>
      </iconSet>
    </cfRule>
  </conditionalFormatting>
  <conditionalFormatting sqref="O3:P3">
    <cfRule type="iconSet" priority="243">
      <iconSet iconSet="3TrafficLights2" reverse="1">
        <cfvo type="percent" val="0"/>
        <cfvo type="num" val="1"/>
        <cfvo type="num" val="1"/>
      </iconSet>
    </cfRule>
  </conditionalFormatting>
  <conditionalFormatting sqref="D218:AF224 B218:B224 B216:AF216 U237:AF237 B9:AF10 T11:AF11 C101:AF101 C103:AF108 B20:AF23 B16:AF16">
    <cfRule type="expression" dxfId="1222" priority="239">
      <formula>B$9&gt;=20/24</formula>
    </cfRule>
    <cfRule type="expression" dxfId="1221" priority="240">
      <formula>AND(B$9&gt;=14/24,B$9&lt;20/24)</formula>
    </cfRule>
    <cfRule type="expression" dxfId="1220" priority="241">
      <formula>AND(B$9&gt;=8/24,B$9&lt;14/24)</formula>
    </cfRule>
    <cfRule type="expression" dxfId="1219" priority="242">
      <formula>B$9&lt;8/24</formula>
    </cfRule>
  </conditionalFormatting>
  <conditionalFormatting sqref="AL4:AL6">
    <cfRule type="iconSet" priority="238">
      <iconSet iconSet="3TrafficLights2" reverse="1">
        <cfvo type="percent" val="0"/>
        <cfvo type="num" val="1"/>
        <cfvo type="num" val="1"/>
      </iconSet>
    </cfRule>
  </conditionalFormatting>
  <conditionalFormatting sqref="S39:AF39">
    <cfRule type="expression" dxfId="1218" priority="234">
      <formula>S$9&gt;=20/24</formula>
    </cfRule>
    <cfRule type="expression" dxfId="1217" priority="235">
      <formula>AND(S$9&gt;=14/24,S$9&lt;20/24)</formula>
    </cfRule>
    <cfRule type="expression" dxfId="1216" priority="236">
      <formula>AND(S$9&gt;=8/24,S$9&lt;14/24)</formula>
    </cfRule>
    <cfRule type="expression" dxfId="1215" priority="237">
      <formula>S$9&lt;8/24</formula>
    </cfRule>
  </conditionalFormatting>
  <conditionalFormatting sqref="AG57 B12:Q15 S39:AF39 R11:AF15 B37:AF37 B18:AF18 B20:AF23 B16:AF16">
    <cfRule type="expression" dxfId="1214" priority="233">
      <formula>B11&gt;$AG11</formula>
    </cfRule>
  </conditionalFormatting>
  <conditionalFormatting sqref="A91:A101 A11:A14 A51:A78 A87:A89 A194:A224 A38:A49 A110:A181 A34:A35 A83:A85 A80:A81 A103:A105 A31:A32 A18:A29 A16">
    <cfRule type="expression" dxfId="1213" priority="232">
      <formula>$AH11=0</formula>
    </cfRule>
  </conditionalFormatting>
  <conditionalFormatting sqref="A106">
    <cfRule type="expression" dxfId="1212" priority="231">
      <formula>$AH106=0</formula>
    </cfRule>
  </conditionalFormatting>
  <conditionalFormatting sqref="AL35">
    <cfRule type="iconSet" priority="230">
      <iconSet iconSet="3TrafficLights2" reverse="1">
        <cfvo type="percent" val="0"/>
        <cfvo type="num" val="1"/>
        <cfvo type="num" val="1"/>
      </iconSet>
    </cfRule>
  </conditionalFormatting>
  <conditionalFormatting sqref="A37">
    <cfRule type="expression" dxfId="1211" priority="229">
      <formula>$AH37=0</formula>
    </cfRule>
  </conditionalFormatting>
  <conditionalFormatting sqref="A90">
    <cfRule type="expression" dxfId="1210" priority="228">
      <formula>$AH90=0</formula>
    </cfRule>
  </conditionalFormatting>
  <conditionalFormatting sqref="A15">
    <cfRule type="expression" dxfId="1209" priority="227">
      <formula>$AH15=0</formula>
    </cfRule>
  </conditionalFormatting>
  <conditionalFormatting sqref="A188:A193">
    <cfRule type="expression" dxfId="1208" priority="226">
      <formula>$AH188=0</formula>
    </cfRule>
  </conditionalFormatting>
  <conditionalFormatting sqref="A182:A187">
    <cfRule type="expression" dxfId="1207" priority="225">
      <formula>$AH182=0</formula>
    </cfRule>
  </conditionalFormatting>
  <conditionalFormatting sqref="A50">
    <cfRule type="expression" dxfId="1206" priority="224">
      <formula>$AH50=0</formula>
    </cfRule>
  </conditionalFormatting>
  <conditionalFormatting sqref="A86">
    <cfRule type="expression" dxfId="1205" priority="223">
      <formula>$AH86=0</formula>
    </cfRule>
  </conditionalFormatting>
  <conditionalFormatting sqref="C91:AF91">
    <cfRule type="expression" dxfId="1204" priority="219">
      <formula>C$9&gt;=20/24</formula>
    </cfRule>
    <cfRule type="expression" dxfId="1203" priority="220">
      <formula>AND(C$9&gt;=14/24,C$9&lt;20/24)</formula>
    </cfRule>
    <cfRule type="expression" dxfId="1202" priority="221">
      <formula>AND(C$9&gt;=8/24,C$9&lt;14/24)</formula>
    </cfRule>
    <cfRule type="expression" dxfId="1201" priority="222">
      <formula>C$9&lt;8/24</formula>
    </cfRule>
  </conditionalFormatting>
  <conditionalFormatting sqref="AL36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B8 M8 S8 AB8">
    <cfRule type="expression" dxfId="1200" priority="245">
      <formula>C$9&gt;=20/24</formula>
    </cfRule>
    <cfRule type="expression" dxfId="1199" priority="246">
      <formula>AND(C$9&gt;=14/24,C$9&lt;20/24)</formula>
    </cfRule>
    <cfRule type="expression" dxfId="1198" priority="247">
      <formula>AND(C$9&gt;=8/24,C$9&lt;14/24)</formula>
    </cfRule>
    <cfRule type="expression" dxfId="1197" priority="248">
      <formula>C$9&lt;8/24</formula>
    </cfRule>
  </conditionalFormatting>
  <conditionalFormatting sqref="A225">
    <cfRule type="expression" dxfId="1196" priority="249">
      <formula>$AH225=0</formula>
    </cfRule>
  </conditionalFormatting>
  <conditionalFormatting sqref="AG237">
    <cfRule type="expression" dxfId="1195" priority="250">
      <formula>B$9&gt;=20/24</formula>
    </cfRule>
    <cfRule type="expression" dxfId="1194" priority="251">
      <formula>AND(B$9&gt;=14/24,B$9&lt;20/24)</formula>
    </cfRule>
    <cfRule type="expression" dxfId="1193" priority="252">
      <formula>AND(B$9&gt;=8/24,B$9&lt;14/24)</formula>
    </cfRule>
    <cfRule type="expression" dxfId="1192" priority="253">
      <formula>B$9&lt;8/24</formula>
    </cfRule>
  </conditionalFormatting>
  <conditionalFormatting sqref="S8">
    <cfRule type="expression" dxfId="1191" priority="214">
      <formula>U$9&gt;=20/24</formula>
    </cfRule>
    <cfRule type="expression" dxfId="1190" priority="215">
      <formula>AND(U$9&gt;=14/24,U$9&lt;20/24)</formula>
    </cfRule>
    <cfRule type="expression" dxfId="1189" priority="216">
      <formula>AND(U$9&gt;=8/24,U$9&lt;14/24)</formula>
    </cfRule>
    <cfRule type="expression" dxfId="1188" priority="217">
      <formula>U$9&lt;8/24</formula>
    </cfRule>
  </conditionalFormatting>
  <conditionalFormatting sqref="AB8">
    <cfRule type="expression" dxfId="1187" priority="210">
      <formula>AD$9&gt;=20/24</formula>
    </cfRule>
    <cfRule type="expression" dxfId="1186" priority="211">
      <formula>AND(AD$9&gt;=14/24,AD$9&lt;20/24)</formula>
    </cfRule>
    <cfRule type="expression" dxfId="1185" priority="212">
      <formula>AND(AD$9&gt;=8/24,AD$9&lt;14/24)</formula>
    </cfRule>
    <cfRule type="expression" dxfId="1184" priority="213">
      <formula>AD$9&lt;8/24</formula>
    </cfRule>
  </conditionalFormatting>
  <conditionalFormatting sqref="AH237:AX237">
    <cfRule type="expression" dxfId="1183" priority="254">
      <formula>AG$9&gt;=20/24</formula>
    </cfRule>
    <cfRule type="expression" dxfId="1182" priority="255">
      <formula>AND(AG$9&gt;=14/24,AG$9&lt;20/24)</formula>
    </cfRule>
    <cfRule type="expression" dxfId="1181" priority="256">
      <formula>AND(AG$9&gt;=8/24,AG$9&lt;14/24)</formula>
    </cfRule>
    <cfRule type="expression" dxfId="1180" priority="257">
      <formula>AG$9&lt;8/24</formula>
    </cfRule>
  </conditionalFormatting>
  <conditionalFormatting sqref="T237">
    <cfRule type="expression" dxfId="1179" priority="258">
      <formula>AX$9&gt;=20/24</formula>
    </cfRule>
    <cfRule type="expression" dxfId="1178" priority="259">
      <formula>AND(AX$9&gt;=14/24,AX$9&lt;20/24)</formula>
    </cfRule>
    <cfRule type="expression" dxfId="1177" priority="260">
      <formula>AND(AX$9&gt;=8/24,AX$9&lt;14/24)</formula>
    </cfRule>
    <cfRule type="expression" dxfId="1176" priority="261">
      <formula>AX$9&lt;8/24</formula>
    </cfRule>
  </conditionalFormatting>
  <conditionalFormatting sqref="A107:A108">
    <cfRule type="expression" dxfId="1175" priority="209">
      <formula>$AH107=0</formula>
    </cfRule>
  </conditionalFormatting>
  <conditionalFormatting sqref="S46:W47 AB38:AF38 E46:M47 Y46:AF47 E63:AF63 M48:M49">
    <cfRule type="expression" dxfId="1174" priority="205">
      <formula>E$9&gt;=20/24</formula>
    </cfRule>
    <cfRule type="expression" dxfId="1173" priority="206">
      <formula>AND(E$9&gt;=14/24,E$9&lt;20/24)</formula>
    </cfRule>
    <cfRule type="expression" dxfId="1172" priority="207">
      <formula>AND(E$9&gt;=8/24,E$9&lt;14/24)</formula>
    </cfRule>
    <cfRule type="expression" dxfId="1171" priority="208">
      <formula>E$9&lt;8/24</formula>
    </cfRule>
  </conditionalFormatting>
  <conditionalFormatting sqref="S45:W45 E45:L45 Y45:AF45">
    <cfRule type="expression" dxfId="1170" priority="201">
      <formula>E$9&gt;=20/24</formula>
    </cfRule>
    <cfRule type="expression" dxfId="1169" priority="202">
      <formula>AND(E$9&gt;=14/24,E$9&lt;20/24)</formula>
    </cfRule>
    <cfRule type="expression" dxfId="1168" priority="203">
      <formula>AND(E$9&gt;=8/24,E$9&lt;14/24)</formula>
    </cfRule>
    <cfRule type="expression" dxfId="1167" priority="204">
      <formula>E$9&lt;8/24</formula>
    </cfRule>
  </conditionalFormatting>
  <conditionalFormatting sqref="S45:W47 AB38:AF38 E45:L45 E46:M47 Y45:AF47 M48:M49">
    <cfRule type="expression" dxfId="1166" priority="200">
      <formula>E38&gt;$AG38</formula>
    </cfRule>
  </conditionalFormatting>
  <conditionalFormatting sqref="C88:AF88 C75:AF78 L39:R39 R11:S14 E64:S65 D92:AF98 T38:AA38 T25:AF27 T29:AF29 T12:AF14 R18:AF18 S59:AF61 T64:AF73 T31:AF34">
    <cfRule type="expression" dxfId="1165" priority="196">
      <formula>C$9&gt;=20/24</formula>
    </cfRule>
    <cfRule type="expression" dxfId="1164" priority="197">
      <formula>AND(C$9&gt;=14/24,C$9&lt;20/24)</formula>
    </cfRule>
    <cfRule type="expression" dxfId="1163" priority="198">
      <formula>AND(C$9&gt;=8/24,C$9&lt;14/24)</formula>
    </cfRule>
    <cfRule type="expression" dxfId="1162" priority="199">
      <formula>C$9&lt;8/24</formula>
    </cfRule>
  </conditionalFormatting>
  <conditionalFormatting sqref="T35:AF35">
    <cfRule type="expression" dxfId="1161" priority="192">
      <formula>T$9&gt;=20/24</formula>
    </cfRule>
    <cfRule type="expression" dxfId="1160" priority="193">
      <formula>AND(T$9&gt;=14/24,T$9&lt;20/24)</formula>
    </cfRule>
    <cfRule type="expression" dxfId="1159" priority="194">
      <formula>AND(T$9&gt;=8/24,T$9&lt;14/24)</formula>
    </cfRule>
    <cfRule type="expression" dxfId="1158" priority="195">
      <formula>T$9&lt;8/24</formula>
    </cfRule>
  </conditionalFormatting>
  <conditionalFormatting sqref="AB48:AF49 C57:AF57 L39:R39 E48:L48 R11:S11 T38:AA38 T25:AF29 S59:AF61 T31:AF35">
    <cfRule type="expression" dxfId="1157" priority="191">
      <formula>C11&gt;$AG11</formula>
    </cfRule>
  </conditionalFormatting>
  <conditionalFormatting sqref="T37:AF37">
    <cfRule type="expression" dxfId="1156" priority="187">
      <formula>T$9&gt;=20/24</formula>
    </cfRule>
    <cfRule type="expression" dxfId="1155" priority="188">
      <formula>AND(T$9&gt;=14/24,T$9&lt;20/24)</formula>
    </cfRule>
    <cfRule type="expression" dxfId="1154" priority="189">
      <formula>AND(T$9&gt;=8/24,T$9&lt;14/24)</formula>
    </cfRule>
    <cfRule type="expression" dxfId="1153" priority="190">
      <formula>T$9&lt;8/24</formula>
    </cfRule>
  </conditionalFormatting>
  <conditionalFormatting sqref="R15:AF15">
    <cfRule type="expression" dxfId="1152" priority="183">
      <formula>R$9&gt;=20/24</formula>
    </cfRule>
    <cfRule type="expression" dxfId="1151" priority="184">
      <formula>AND(R$9&gt;=14/24,R$9&lt;20/24)</formula>
    </cfRule>
    <cfRule type="expression" dxfId="1150" priority="185">
      <formula>AND(R$9&gt;=8/24,R$9&lt;14/24)</formula>
    </cfRule>
    <cfRule type="expression" dxfId="1149" priority="186">
      <formula>R$9&lt;8/24</formula>
    </cfRule>
  </conditionalFormatting>
  <conditionalFormatting sqref="T36:AF36">
    <cfRule type="expression" dxfId="1148" priority="179">
      <formula>T$9&gt;=20/24</formula>
    </cfRule>
    <cfRule type="expression" dxfId="1147" priority="180">
      <formula>AND(T$9&gt;=14/24,T$9&lt;20/24)</formula>
    </cfRule>
    <cfRule type="expression" dxfId="1146" priority="181">
      <formula>AND(T$9&gt;=8/24,T$9&lt;14/24)</formula>
    </cfRule>
    <cfRule type="expression" dxfId="1145" priority="182">
      <formula>T$9&lt;8/24</formula>
    </cfRule>
  </conditionalFormatting>
  <conditionalFormatting sqref="T36:AF36">
    <cfRule type="expression" dxfId="1144" priority="178">
      <formula>T36&gt;$AG36</formula>
    </cfRule>
  </conditionalFormatting>
  <conditionalFormatting sqref="AB50:AF56 V48:AA49">
    <cfRule type="expression" dxfId="1143" priority="174">
      <formula>V$9&gt;=20/24</formula>
    </cfRule>
    <cfRule type="expression" dxfId="1142" priority="175">
      <formula>AND(V$9&gt;=14/24,V$9&lt;20/24)</formula>
    </cfRule>
    <cfRule type="expression" dxfId="1141" priority="176">
      <formula>AND(V$9&gt;=8/24,V$9&lt;14/24)</formula>
    </cfRule>
    <cfRule type="expression" dxfId="1140" priority="177">
      <formula>V$9&lt;8/24</formula>
    </cfRule>
  </conditionalFormatting>
  <conditionalFormatting sqref="AB50:AF56 V48:AA49">
    <cfRule type="expression" dxfId="1139" priority="173">
      <formula>V48&gt;$AG48</formula>
    </cfRule>
  </conditionalFormatting>
  <conditionalFormatting sqref="M45:N45 N46:N47 O45:R47 T52:T56 R50:AA51 N48:U49">
    <cfRule type="expression" dxfId="1138" priority="169">
      <formula>M$9&gt;=20/24</formula>
    </cfRule>
    <cfRule type="expression" dxfId="1137" priority="170">
      <formula>AND(M$9&gt;=14/24,M$9&lt;20/24)</formula>
    </cfRule>
    <cfRule type="expression" dxfId="1136" priority="171">
      <formula>AND(M$9&gt;=8/24,M$9&lt;14/24)</formula>
    </cfRule>
    <cfRule type="expression" dxfId="1135" priority="172">
      <formula>M$9&lt;8/24</formula>
    </cfRule>
  </conditionalFormatting>
  <conditionalFormatting sqref="M45:N45 N46:N47 O45:R47 T52:T56 R50:AA51 N48:U49">
    <cfRule type="expression" dxfId="1134" priority="168">
      <formula>M45&gt;$AG45</formula>
    </cfRule>
  </conditionalFormatting>
  <conditionalFormatting sqref="T28:AF28">
    <cfRule type="expression" dxfId="1133" priority="164">
      <formula>T$9&gt;=20/24</formula>
    </cfRule>
    <cfRule type="expression" dxfId="1132" priority="165">
      <formula>AND(T$9&gt;=14/24,T$9&lt;20/24)</formula>
    </cfRule>
    <cfRule type="expression" dxfId="1131" priority="166">
      <formula>AND(T$9&gt;=8/24,T$9&lt;14/24)</formula>
    </cfRule>
    <cfRule type="expression" dxfId="1130" priority="167">
      <formula>T$9&lt;8/24</formula>
    </cfRule>
  </conditionalFormatting>
  <conditionalFormatting sqref="C31:S31 T19:AF19 T24:AF24">
    <cfRule type="expression" dxfId="1129" priority="160">
      <formula>C$9&gt;=20/24</formula>
    </cfRule>
    <cfRule type="expression" dxfId="1128" priority="161">
      <formula>AND(C$9&gt;=14/24,C$9&lt;20/24)</formula>
    </cfRule>
    <cfRule type="expression" dxfId="1127" priority="162">
      <formula>AND(C$9&gt;=8/24,C$9&lt;14/24)</formula>
    </cfRule>
    <cfRule type="expression" dxfId="1126" priority="163">
      <formula>C$9&lt;8/24</formula>
    </cfRule>
  </conditionalFormatting>
  <conditionalFormatting sqref="C31:S31 T19:AF19 T24:AF24">
    <cfRule type="expression" dxfId="1125" priority="159">
      <formula>C19&gt;$AG19</formula>
    </cfRule>
  </conditionalFormatting>
  <conditionalFormatting sqref="D45">
    <cfRule type="expression" dxfId="1124" priority="155">
      <formula>D$9&gt;=20/24</formula>
    </cfRule>
    <cfRule type="expression" dxfId="1123" priority="156">
      <formula>AND(D$9&gt;=14/24,D$9&lt;20/24)</formula>
    </cfRule>
    <cfRule type="expression" dxfId="1122" priority="157">
      <formula>AND(D$9&gt;=8/24,D$9&lt;14/24)</formula>
    </cfRule>
    <cfRule type="expression" dxfId="1121" priority="158">
      <formula>D$9&lt;8/24</formula>
    </cfRule>
  </conditionalFormatting>
  <conditionalFormatting sqref="D45">
    <cfRule type="expression" dxfId="1120" priority="154">
      <formula>D45&gt;$AG45</formula>
    </cfRule>
  </conditionalFormatting>
  <conditionalFormatting sqref="X46:X47">
    <cfRule type="expression" dxfId="1119" priority="150">
      <formula>X$9&gt;=20/24</formula>
    </cfRule>
    <cfRule type="expression" dxfId="1118" priority="151">
      <formula>AND(X$9&gt;=14/24,X$9&lt;20/24)</formula>
    </cfRule>
    <cfRule type="expression" dxfId="1117" priority="152">
      <formula>AND(X$9&gt;=8/24,X$9&lt;14/24)</formula>
    </cfRule>
    <cfRule type="expression" dxfId="1116" priority="153">
      <formula>X$9&lt;8/24</formula>
    </cfRule>
  </conditionalFormatting>
  <conditionalFormatting sqref="X45">
    <cfRule type="expression" dxfId="1115" priority="146">
      <formula>X$9&gt;=20/24</formula>
    </cfRule>
    <cfRule type="expression" dxfId="1114" priority="147">
      <formula>AND(X$9&gt;=14/24,X$9&lt;20/24)</formula>
    </cfRule>
    <cfRule type="expression" dxfId="1113" priority="148">
      <formula>AND(X$9&gt;=8/24,X$9&lt;14/24)</formula>
    </cfRule>
    <cfRule type="expression" dxfId="1112" priority="149">
      <formula>X$9&lt;8/24</formula>
    </cfRule>
  </conditionalFormatting>
  <conditionalFormatting sqref="X45:X47">
    <cfRule type="expression" dxfId="1111" priority="145">
      <formula>X45&gt;$AG45</formula>
    </cfRule>
  </conditionalFormatting>
  <conditionalFormatting sqref="B101 B80:AF80 B89:AF89 B103:B108 B11:Q11">
    <cfRule type="expression" dxfId="1110" priority="141">
      <formula>B$9&gt;=20/24</formula>
    </cfRule>
    <cfRule type="expression" dxfId="1109" priority="142">
      <formula>AND(B$9&gt;=14/24,B$9&lt;20/24)</formula>
    </cfRule>
    <cfRule type="expression" dxfId="1108" priority="143">
      <formula>AND(B$9&gt;=8/24,B$9&lt;14/24)</formula>
    </cfRule>
    <cfRule type="expression" dxfId="1107" priority="144">
      <formula>B$9&lt;8/24</formula>
    </cfRule>
  </conditionalFormatting>
  <conditionalFormatting sqref="B39:K39">
    <cfRule type="expression" dxfId="1106" priority="137">
      <formula>B$9&gt;=20/24</formula>
    </cfRule>
    <cfRule type="expression" dxfId="1105" priority="138">
      <formula>AND(B$9&gt;=14/24,B$9&lt;20/24)</formula>
    </cfRule>
    <cfRule type="expression" dxfId="1104" priority="139">
      <formula>AND(B$9&gt;=8/24,B$9&lt;14/24)</formula>
    </cfRule>
    <cfRule type="expression" dxfId="1103" priority="140">
      <formula>B$9&lt;8/24</formula>
    </cfRule>
  </conditionalFormatting>
  <conditionalFormatting sqref="B39:K39 B11:Q11">
    <cfRule type="expression" dxfId="1102" priority="136">
      <formula>B11&gt;$AG11</formula>
    </cfRule>
  </conditionalFormatting>
  <conditionalFormatting sqref="B91">
    <cfRule type="expression" dxfId="1101" priority="132">
      <formula>B$9&gt;=20/24</formula>
    </cfRule>
    <cfRule type="expression" dxfId="1100" priority="133">
      <formula>AND(B$9&gt;=14/24,B$9&lt;20/24)</formula>
    </cfRule>
    <cfRule type="expression" dxfId="1099" priority="134">
      <formula>AND(B$9&gt;=8/24,B$9&lt;14/24)</formula>
    </cfRule>
    <cfRule type="expression" dxfId="1098" priority="135">
      <formula>B$9&lt;8/24</formula>
    </cfRule>
  </conditionalFormatting>
  <conditionalFormatting sqref="B46:D47 B63:D63 B38:S38">
    <cfRule type="expression" dxfId="1097" priority="128">
      <formula>B$9&gt;=20/24</formula>
    </cfRule>
    <cfRule type="expression" dxfId="1096" priority="129">
      <formula>AND(B$9&gt;=14/24,B$9&lt;20/24)</formula>
    </cfRule>
    <cfRule type="expression" dxfId="1095" priority="130">
      <formula>AND(B$9&gt;=8/24,B$9&lt;14/24)</formula>
    </cfRule>
    <cfRule type="expression" dxfId="1094" priority="131">
      <formula>B$9&lt;8/24</formula>
    </cfRule>
  </conditionalFormatting>
  <conditionalFormatting sqref="B45:C45">
    <cfRule type="expression" dxfId="1093" priority="124">
      <formula>B$9&gt;=20/24</formula>
    </cfRule>
    <cfRule type="expression" dxfId="1092" priority="125">
      <formula>AND(B$9&gt;=14/24,B$9&lt;20/24)</formula>
    </cfRule>
    <cfRule type="expression" dxfId="1091" priority="126">
      <formula>AND(B$9&gt;=8/24,B$9&lt;14/24)</formula>
    </cfRule>
    <cfRule type="expression" dxfId="1090" priority="127">
      <formula>B$9&lt;8/24</formula>
    </cfRule>
  </conditionalFormatting>
  <conditionalFormatting sqref="B45:C47 D46:D47 B38:S38">
    <cfRule type="expression" dxfId="1089" priority="123">
      <formula>B38&gt;$AG38</formula>
    </cfRule>
  </conditionalFormatting>
  <conditionalFormatting sqref="B59:B62 B75:B79 B81:AF81 B88 C62:AG62 C79:AG79 B90:AF90 B92:C98 B64:D73 B12:Q14 B18:Q18 C59:R61 B25:S27 B29:S29 C32:S34 E66:S73 B31:B34">
    <cfRule type="expression" dxfId="1088" priority="119">
      <formula>B$9&gt;=20/24</formula>
    </cfRule>
    <cfRule type="expression" dxfId="1087" priority="120">
      <formula>AND(B$9&gt;=14/24,B$9&lt;20/24)</formula>
    </cfRule>
    <cfRule type="expression" dxfId="1086" priority="121">
      <formula>AND(B$9&gt;=8/24,B$9&lt;14/24)</formula>
    </cfRule>
    <cfRule type="expression" dxfId="1085" priority="122">
      <formula>B$9&lt;8/24</formula>
    </cfRule>
  </conditionalFormatting>
  <conditionalFormatting sqref="B35:S35">
    <cfRule type="expression" dxfId="1084" priority="115">
      <formula>B$9&gt;=20/24</formula>
    </cfRule>
    <cfRule type="expression" dxfId="1083" priority="116">
      <formula>AND(B$9&gt;=14/24,B$9&lt;20/24)</formula>
    </cfRule>
    <cfRule type="expression" dxfId="1082" priority="117">
      <formula>AND(B$9&gt;=8/24,B$9&lt;14/24)</formula>
    </cfRule>
    <cfRule type="expression" dxfId="1081" priority="118">
      <formula>B$9&lt;8/24</formula>
    </cfRule>
  </conditionalFormatting>
  <conditionalFormatting sqref="B57:B62 B40:AG40 C58:AG58 C62:AG62 B48:D49 E49:L49 C59:R61 B25:S29 C32:S35 B31:B35">
    <cfRule type="expression" dxfId="1080" priority="114">
      <formula>B25&gt;$AG25</formula>
    </cfRule>
  </conditionalFormatting>
  <conditionalFormatting sqref="B37:S37">
    <cfRule type="expression" dxfId="1079" priority="110">
      <formula>B$9&gt;=20/24</formula>
    </cfRule>
    <cfRule type="expression" dxfId="1078" priority="111">
      <formula>AND(B$9&gt;=14/24,B$9&lt;20/24)</formula>
    </cfRule>
    <cfRule type="expression" dxfId="1077" priority="112">
      <formula>AND(B$9&gt;=8/24,B$9&lt;14/24)</formula>
    </cfRule>
    <cfRule type="expression" dxfId="1076" priority="113">
      <formula>B$9&lt;8/24</formula>
    </cfRule>
  </conditionalFormatting>
  <conditionalFormatting sqref="B15:Q15">
    <cfRule type="expression" dxfId="1075" priority="106">
      <formula>B$9&gt;=20/24</formula>
    </cfRule>
    <cfRule type="expression" dxfId="1074" priority="107">
      <formula>AND(B$9&gt;=14/24,B$9&lt;20/24)</formula>
    </cfRule>
    <cfRule type="expression" dxfId="1073" priority="108">
      <formula>AND(B$9&gt;=8/24,B$9&lt;14/24)</formula>
    </cfRule>
    <cfRule type="expression" dxfId="1072" priority="109">
      <formula>B$9&lt;8/24</formula>
    </cfRule>
  </conditionalFormatting>
  <conditionalFormatting sqref="B36:S36">
    <cfRule type="expression" dxfId="1071" priority="102">
      <formula>B$9&gt;=20/24</formula>
    </cfRule>
    <cfRule type="expression" dxfId="1070" priority="103">
      <formula>AND(B$9&gt;=14/24,B$9&lt;20/24)</formula>
    </cfRule>
    <cfRule type="expression" dxfId="1069" priority="104">
      <formula>AND(B$9&gt;=8/24,B$9&lt;14/24)</formula>
    </cfRule>
    <cfRule type="expression" dxfId="1068" priority="105">
      <formula>B$9&lt;8/24</formula>
    </cfRule>
  </conditionalFormatting>
  <conditionalFormatting sqref="B36:S36">
    <cfRule type="expression" dxfId="1067" priority="101">
      <formula>B36&gt;$AG36</formula>
    </cfRule>
  </conditionalFormatting>
  <conditionalFormatting sqref="B50:Q56 R52:S56">
    <cfRule type="expression" dxfId="1066" priority="97">
      <formula>B$9&gt;=20/24</formula>
    </cfRule>
    <cfRule type="expression" dxfId="1065" priority="98">
      <formula>AND(B$9&gt;=14/24,B$9&lt;20/24)</formula>
    </cfRule>
    <cfRule type="expression" dxfId="1064" priority="99">
      <formula>AND(B$9&gt;=8/24,B$9&lt;14/24)</formula>
    </cfRule>
    <cfRule type="expression" dxfId="1063" priority="100">
      <formula>B$9&lt;8/24</formula>
    </cfRule>
  </conditionalFormatting>
  <conditionalFormatting sqref="B50:Q56 R52:S56">
    <cfRule type="expression" dxfId="1062" priority="96">
      <formula>B50&gt;$AG50</formula>
    </cfRule>
  </conditionalFormatting>
  <conditionalFormatting sqref="B28:S28">
    <cfRule type="expression" dxfId="1061" priority="92">
      <formula>B$9&gt;=20/24</formula>
    </cfRule>
    <cfRule type="expression" dxfId="1060" priority="93">
      <formula>AND(B$9&gt;=14/24,B$9&lt;20/24)</formula>
    </cfRule>
    <cfRule type="expression" dxfId="1059" priority="94">
      <formula>AND(B$9&gt;=8/24,B$9&lt;14/24)</formula>
    </cfRule>
    <cfRule type="expression" dxfId="1058" priority="95">
      <formula>B$9&lt;8/24</formula>
    </cfRule>
  </conditionalFormatting>
  <conditionalFormatting sqref="B19:S19 B24:S24">
    <cfRule type="expression" dxfId="1057" priority="88">
      <formula>B$9&gt;=20/24</formula>
    </cfRule>
    <cfRule type="expression" dxfId="1056" priority="89">
      <formula>AND(B$9&gt;=14/24,B$9&lt;20/24)</formula>
    </cfRule>
    <cfRule type="expression" dxfId="1055" priority="90">
      <formula>AND(B$9&gt;=8/24,B$9&lt;14/24)</formula>
    </cfRule>
    <cfRule type="expression" dxfId="1054" priority="91">
      <formula>B$9&lt;8/24</formula>
    </cfRule>
  </conditionalFormatting>
  <conditionalFormatting sqref="B19:S19 B24:S24">
    <cfRule type="expression" dxfId="1053" priority="87">
      <formula>B19&gt;$AG19</formula>
    </cfRule>
  </conditionalFormatting>
  <conditionalFormatting sqref="A36">
    <cfRule type="expression" dxfId="1052" priority="86">
      <formula>$AH36=0</formula>
    </cfRule>
  </conditionalFormatting>
  <conditionalFormatting sqref="B74:AF74">
    <cfRule type="expression" dxfId="1051" priority="82">
      <formula>B$9&gt;=20/24</formula>
    </cfRule>
    <cfRule type="expression" dxfId="1050" priority="83">
      <formula>AND(B$9&gt;=14/24,B$9&lt;20/24)</formula>
    </cfRule>
    <cfRule type="expression" dxfId="1049" priority="84">
      <formula>AND(B$9&gt;=8/24,B$9&lt;14/24)</formula>
    </cfRule>
    <cfRule type="expression" dxfId="1048" priority="85">
      <formula>B$9&lt;8/24</formula>
    </cfRule>
  </conditionalFormatting>
  <conditionalFormatting sqref="B83:AF87">
    <cfRule type="expression" dxfId="1047" priority="78">
      <formula>B$9&gt;=20/24</formula>
    </cfRule>
    <cfRule type="expression" dxfId="1046" priority="79">
      <formula>AND(B$9&gt;=14/24,B$9&lt;20/24)</formula>
    </cfRule>
    <cfRule type="expression" dxfId="1045" priority="80">
      <formula>AND(B$9&gt;=8/24,B$9&lt;14/24)</formula>
    </cfRule>
    <cfRule type="expression" dxfId="1044" priority="81">
      <formula>B$9&lt;8/24</formula>
    </cfRule>
  </conditionalFormatting>
  <conditionalFormatting sqref="AL37 AL34 AL18:AL29 AL7:AL16 AL31:AL32">
    <cfRule type="iconSet" priority="262">
      <iconSet iconSet="3TrafficLights2" reverse="1">
        <cfvo type="percent" val="0"/>
        <cfvo type="num" val="1"/>
        <cfvo type="num" val="1"/>
      </iconSet>
    </cfRule>
  </conditionalFormatting>
  <conditionalFormatting sqref="C41:AF43">
    <cfRule type="expression" dxfId="1043" priority="74">
      <formula>C$9&gt;=20/24</formula>
    </cfRule>
    <cfRule type="expression" dxfId="1042" priority="75">
      <formula>AND(C$9&gt;=14/24,C$9&lt;20/24)</formula>
    </cfRule>
    <cfRule type="expression" dxfId="1041" priority="76">
      <formula>AND(C$9&gt;=8/24,C$9&lt;14/24)</formula>
    </cfRule>
    <cfRule type="expression" dxfId="1040" priority="77">
      <formula>C$9&lt;8/24</formula>
    </cfRule>
  </conditionalFormatting>
  <conditionalFormatting sqref="C41:AF43">
    <cfRule type="expression" dxfId="1039" priority="73">
      <formula>C41&gt;$AG41</formula>
    </cfRule>
  </conditionalFormatting>
  <conditionalFormatting sqref="B41:B44 C44:AG44">
    <cfRule type="expression" dxfId="1038" priority="69">
      <formula>B$9&gt;=20/24</formula>
    </cfRule>
    <cfRule type="expression" dxfId="1037" priority="70">
      <formula>AND(B$9&gt;=14/24,B$9&lt;20/24)</formula>
    </cfRule>
    <cfRule type="expression" dxfId="1036" priority="71">
      <formula>AND(B$9&gt;=8/24,B$9&lt;14/24)</formula>
    </cfRule>
    <cfRule type="expression" dxfId="1035" priority="72">
      <formula>B$9&lt;8/24</formula>
    </cfRule>
  </conditionalFormatting>
  <conditionalFormatting sqref="B41:B44 C44:AG44">
    <cfRule type="expression" dxfId="1034" priority="68">
      <formula>B41&gt;$AG41</formula>
    </cfRule>
  </conditionalFormatting>
  <conditionalFormatting sqref="C99:AF99">
    <cfRule type="expression" dxfId="1033" priority="64">
      <formula>C$9&gt;=20/24</formula>
    </cfRule>
    <cfRule type="expression" dxfId="1032" priority="65">
      <formula>AND(C$9&gt;=14/24,C$9&lt;20/24)</formula>
    </cfRule>
    <cfRule type="expression" dxfId="1031" priority="66">
      <formula>AND(C$9&gt;=8/24,C$9&lt;14/24)</formula>
    </cfRule>
    <cfRule type="expression" dxfId="1030" priority="67">
      <formula>C$9&lt;8/24</formula>
    </cfRule>
  </conditionalFormatting>
  <conditionalFormatting sqref="B99">
    <cfRule type="expression" dxfId="1029" priority="60">
      <formula>B$9&gt;=20/24</formula>
    </cfRule>
    <cfRule type="expression" dxfId="1028" priority="61">
      <formula>AND(B$9&gt;=14/24,B$9&lt;20/24)</formula>
    </cfRule>
    <cfRule type="expression" dxfId="1027" priority="62">
      <formula>AND(B$9&gt;=8/24,B$9&lt;14/24)</formula>
    </cfRule>
    <cfRule type="expression" dxfId="1026" priority="63">
      <formula>B$9&lt;8/24</formula>
    </cfRule>
  </conditionalFormatting>
  <conditionalFormatting sqref="AL33">
    <cfRule type="iconSet" priority="59">
      <iconSet iconSet="3TrafficLights2" reverse="1">
        <cfvo type="percent" val="0"/>
        <cfvo type="num" val="1"/>
        <cfvo type="num" val="1"/>
      </iconSet>
    </cfRule>
  </conditionalFormatting>
  <conditionalFormatting sqref="A33">
    <cfRule type="expression" dxfId="1025" priority="54">
      <formula>$AH33=0</formula>
    </cfRule>
  </conditionalFormatting>
  <conditionalFormatting sqref="A82">
    <cfRule type="expression" dxfId="1024" priority="52">
      <formula>$AH82=0</formula>
    </cfRule>
  </conditionalFormatting>
  <conditionalFormatting sqref="A79">
    <cfRule type="expression" dxfId="1023" priority="53">
      <formula>$AH79=0</formula>
    </cfRule>
  </conditionalFormatting>
  <conditionalFormatting sqref="A109">
    <cfRule type="expression" dxfId="1022" priority="43">
      <formula>$AH109=0</formula>
    </cfRule>
  </conditionalFormatting>
  <conditionalFormatting sqref="C102:AF102">
    <cfRule type="expression" dxfId="1021" priority="39">
      <formula>C$9&gt;=20/24</formula>
    </cfRule>
    <cfRule type="expression" dxfId="1020" priority="40">
      <formula>AND(C$9&gt;=14/24,C$9&lt;20/24)</formula>
    </cfRule>
    <cfRule type="expression" dxfId="1019" priority="41">
      <formula>AND(C$9&gt;=8/24,C$9&lt;14/24)</formula>
    </cfRule>
    <cfRule type="expression" dxfId="1018" priority="42">
      <formula>C$9&lt;8/24</formula>
    </cfRule>
  </conditionalFormatting>
  <conditionalFormatting sqref="A102">
    <cfRule type="expression" dxfId="1017" priority="38">
      <formula>$AH102=0</formula>
    </cfRule>
  </conditionalFormatting>
  <conditionalFormatting sqref="B102">
    <cfRule type="expression" dxfId="1016" priority="34">
      <formula>B$9&gt;=20/24</formula>
    </cfRule>
    <cfRule type="expression" dxfId="1015" priority="35">
      <formula>AND(B$9&gt;=14/24,B$9&lt;20/24)</formula>
    </cfRule>
    <cfRule type="expression" dxfId="1014" priority="36">
      <formula>AND(B$9&gt;=8/24,B$9&lt;14/24)</formula>
    </cfRule>
    <cfRule type="expression" dxfId="1013" priority="37">
      <formula>B$9&lt;8/24</formula>
    </cfRule>
  </conditionalFormatting>
  <conditionalFormatting sqref="U52:AA56">
    <cfRule type="expression" dxfId="1012" priority="30">
      <formula>U$9&gt;=20/24</formula>
    </cfRule>
    <cfRule type="expression" dxfId="1011" priority="31">
      <formula>AND(U$9&gt;=14/24,U$9&lt;20/24)</formula>
    </cfRule>
    <cfRule type="expression" dxfId="1010" priority="32">
      <formula>AND(U$9&gt;=8/24,U$9&lt;14/24)</formula>
    </cfRule>
    <cfRule type="expression" dxfId="1009" priority="33">
      <formula>U$9&lt;8/24</formula>
    </cfRule>
  </conditionalFormatting>
  <conditionalFormatting sqref="U52:AA56">
    <cfRule type="expression" dxfId="1008" priority="29">
      <formula>U52&gt;$AG52</formula>
    </cfRule>
  </conditionalFormatting>
  <conditionalFormatting sqref="B17:AF17">
    <cfRule type="expression" dxfId="1007" priority="27">
      <formula>B17&gt;$AG17</formula>
    </cfRule>
  </conditionalFormatting>
  <conditionalFormatting sqref="A17">
    <cfRule type="expression" dxfId="1006" priority="26">
      <formula>$AH17=0</formula>
    </cfRule>
  </conditionalFormatting>
  <conditionalFormatting sqref="R17:AF17">
    <cfRule type="expression" dxfId="1005" priority="22">
      <formula>R$9&gt;=20/24</formula>
    </cfRule>
    <cfRule type="expression" dxfId="1004" priority="23">
      <formula>AND(R$9&gt;=14/24,R$9&lt;20/24)</formula>
    </cfRule>
    <cfRule type="expression" dxfId="1003" priority="24">
      <formula>AND(R$9&gt;=8/24,R$9&lt;14/24)</formula>
    </cfRule>
    <cfRule type="expression" dxfId="1002" priority="25">
      <formula>R$9&lt;8/24</formula>
    </cfRule>
  </conditionalFormatting>
  <conditionalFormatting sqref="B17:Q17">
    <cfRule type="expression" dxfId="1001" priority="18">
      <formula>B$9&gt;=20/24</formula>
    </cfRule>
    <cfRule type="expression" dxfId="1000" priority="19">
      <formula>AND(B$9&gt;=14/24,B$9&lt;20/24)</formula>
    </cfRule>
    <cfRule type="expression" dxfId="999" priority="20">
      <formula>AND(B$9&gt;=8/24,B$9&lt;14/24)</formula>
    </cfRule>
    <cfRule type="expression" dxfId="998" priority="21">
      <formula>B$9&lt;8/24</formula>
    </cfRule>
  </conditionalFormatting>
  <conditionalFormatting sqref="AL17">
    <cfRule type="iconSet" priority="28">
      <iconSet iconSet="3TrafficLights2" reverse="1">
        <cfvo type="percent" val="0"/>
        <cfvo type="num" val="1"/>
        <cfvo type="num" val="1"/>
      </iconSet>
    </cfRule>
  </conditionalFormatting>
  <conditionalFormatting sqref="A30">
    <cfRule type="expression" dxfId="997" priority="16">
      <formula>$AH30=0</formula>
    </cfRule>
  </conditionalFormatting>
  <conditionalFormatting sqref="T30:AF30">
    <cfRule type="expression" dxfId="996" priority="12">
      <formula>T$9&gt;=20/24</formula>
    </cfRule>
    <cfRule type="expression" dxfId="995" priority="13">
      <formula>AND(T$9&gt;=14/24,T$9&lt;20/24)</formula>
    </cfRule>
    <cfRule type="expression" dxfId="994" priority="14">
      <formula>AND(T$9&gt;=8/24,T$9&lt;14/24)</formula>
    </cfRule>
    <cfRule type="expression" dxfId="993" priority="15">
      <formula>T$9&lt;8/24</formula>
    </cfRule>
  </conditionalFormatting>
  <conditionalFormatting sqref="T30:AF30">
    <cfRule type="expression" dxfId="992" priority="11">
      <formula>T30&gt;$AG30</formula>
    </cfRule>
  </conditionalFormatting>
  <conditionalFormatting sqref="C30:S30">
    <cfRule type="expression" dxfId="991" priority="7">
      <formula>C$9&gt;=20/24</formula>
    </cfRule>
    <cfRule type="expression" dxfId="990" priority="8">
      <formula>AND(C$9&gt;=14/24,C$9&lt;20/24)</formula>
    </cfRule>
    <cfRule type="expression" dxfId="989" priority="9">
      <formula>AND(C$9&gt;=8/24,C$9&lt;14/24)</formula>
    </cfRule>
    <cfRule type="expression" dxfId="988" priority="10">
      <formula>C$9&lt;8/24</formula>
    </cfRule>
  </conditionalFormatting>
  <conditionalFormatting sqref="C30:S30">
    <cfRule type="expression" dxfId="987" priority="6">
      <formula>C30&gt;$AG30</formula>
    </cfRule>
  </conditionalFormatting>
  <conditionalFormatting sqref="B30">
    <cfRule type="expression" dxfId="986" priority="2">
      <formula>B$9&gt;=20/24</formula>
    </cfRule>
    <cfRule type="expression" dxfId="985" priority="3">
      <formula>AND(B$9&gt;=14/24,B$9&lt;20/24)</formula>
    </cfRule>
    <cfRule type="expression" dxfId="984" priority="4">
      <formula>AND(B$9&gt;=8/24,B$9&lt;14/24)</formula>
    </cfRule>
    <cfRule type="expression" dxfId="983" priority="5">
      <formula>B$9&lt;8/24</formula>
    </cfRule>
  </conditionalFormatting>
  <conditionalFormatting sqref="B30">
    <cfRule type="expression" dxfId="982" priority="1">
      <formula>B30&gt;$AG30</formula>
    </cfRule>
  </conditionalFormatting>
  <conditionalFormatting sqref="AL30">
    <cfRule type="iconSet" priority="17">
      <iconSet iconSet="3TrafficLights2" reverse="1">
        <cfvo type="percent" val="0"/>
        <cfvo type="num" val="1"/>
        <cfvo type="num" val="1"/>
      </iconSet>
    </cfRule>
  </conditionalFormatting>
  <pageMargins left="0.7" right="0.7" top="0.75" bottom="0.75" header="0.3" footer="0.3"/>
  <pageSetup orientation="portrait" horizontalDpi="1200" verticalDpi="120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5" id="{985BD8CC-69EE-4590-9DDA-C7F18573F25B}">
            <xm:f>'C:\Users\Data Server\AppData\Local\Microsoft\Windows\INetCache\Content.MSO\[Daily-Logsheet-2079-04 Shrawan.xlsx]2'!#REF!&gt;=20/24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56" id="{81009880-18CF-4D34-B01E-7B21203CA660}">
            <xm:f>AND('C:\Users\Data Server\AppData\Local\Microsoft\Windows\INetCache\Content.MSO\[Daily-Logsheet-2079-04 Shrawan.xlsx]2'!#REF!&gt;=14/24,'C:\Users\Data Server\AppData\Local\Microsoft\Windows\INetCache\Content.MSO\[Daily-Logsheet-2079-04 Shrawan.xlsx]2'!#REF!&lt;20/24)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7" id="{5AF213ED-8B5B-4A46-8D4D-A0B6EDA8432D}">
            <xm:f>AND('C:\Users\Data Server\AppData\Local\Microsoft\Windows\INetCache\Content.MSO\[Daily-Logsheet-2079-04 Shrawan.xlsx]2'!#REF!&gt;=8/24,'C:\Users\Data Server\AppData\Local\Microsoft\Windows\INetCache\Content.MSO\[Daily-Logsheet-2079-04 Shrawan.xlsx]2'!#REF!&lt;14/24)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8" id="{CA47CEA4-1002-434D-A821-567BDCD4A305}">
            <xm:f>'C:\Users\Data Server\AppData\Local\Microsoft\Windows\INetCache\Content.MSO\[Daily-Logsheet-2079-04 Shrawan.xlsx]2'!#REF!&lt;8/24</xm:f>
            <x14:dxf>
              <fill>
                <patternFill>
                  <bgColor rgb="FFFFFF66"/>
                </patternFill>
              </fill>
            </x14:dxf>
          </x14:cfRule>
          <xm:sqref>B82:AF82</xm:sqref>
        </x14:conditionalFormatting>
        <x14:conditionalFormatting xmlns:xm="http://schemas.microsoft.com/office/excel/2006/main">
          <x14:cfRule type="expression" priority="48" id="{8890C305-0F02-48E9-9B87-FA1A779BB514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9" id="{CD660AFA-2345-4222-86EF-5C92E862D936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50" id="{C08E9C67-8CDF-4B4B-B4BE-89DAC13457F1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51" id="{6C3E041F-2D38-4EC4-89C5-83FD061195B8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C109:AF109</xm:sqref>
        </x14:conditionalFormatting>
        <x14:conditionalFormatting xmlns:xm="http://schemas.microsoft.com/office/excel/2006/main">
          <x14:cfRule type="expression" priority="44" id="{F5CAAF14-0A57-44B7-996F-D0C00B554871}">
            <xm:f>'C:\Users\Data Server\AppData\Local\Microsoft\Windows\INetCache\Content.MSO\[Daily-Logsheet-2079-04 Shrawan.xlsx]28'!#REF!&gt;=20/24</xm:f>
            <x14:dxf>
              <fill>
                <patternFill>
                  <bgColor rgb="FFFFFF66"/>
                </patternFill>
              </fill>
            </x14:dxf>
          </x14:cfRule>
          <x14:cfRule type="expression" priority="45" id="{003F1F2A-42F4-4ADB-AA06-95DC31089BAD}">
            <xm:f>AND('C:\Users\Data Server\AppData\Local\Microsoft\Windows\INetCache\Content.MSO\[Daily-Logsheet-2079-04 Shrawan.xlsx]28'!#REF!&gt;=14/24,'C:\Users\Data Server\AppData\Local\Microsoft\Windows\INetCache\Content.MSO\[Daily-Logsheet-2079-04 Shrawan.xlsx]28'!#REF!&lt;20/24)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46" id="{2E879503-3F6D-4B2C-8042-ED6C26C473EC}">
            <xm:f>AND('C:\Users\Data Server\AppData\Local\Microsoft\Windows\INetCache\Content.MSO\[Daily-Logsheet-2079-04 Shrawan.xlsx]28'!#REF!&gt;=8/24,'C:\Users\Data Server\AppData\Local\Microsoft\Windows\INetCache\Content.MSO\[Daily-Logsheet-2079-04 Shrawan.xlsx]28'!#REF!&lt;14/24)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7" id="{D3F90915-3C75-42B1-859A-1C75A9FBEA8A}">
            <xm:f>'C:\Users\Data Server\AppData\Local\Microsoft\Windows\INetCache\Content.MSO\[Daily-Logsheet-2079-04 Shrawan.xlsx]28'!#REF!&lt;8/24</xm:f>
            <x14:dxf>
              <fill>
                <patternFill>
                  <bgColor rgb="FFFFFF66"/>
                </patternFill>
              </fill>
            </x14:dxf>
          </x14:cfRule>
          <xm:sqref>B109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kartik1</vt:lpstr>
      <vt:lpstr>Sample</vt:lpstr>
      <vt:lpstr>Sheet1</vt:lpstr>
      <vt:lpstr>Sheet2</vt:lpstr>
      <vt:lpstr>Sheet3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Server</dc:creator>
  <cp:lastModifiedBy>Control Room LDC  System Operation Department</cp:lastModifiedBy>
  <dcterms:created xsi:type="dcterms:W3CDTF">2022-09-16T21:17:12Z</dcterms:created>
  <dcterms:modified xsi:type="dcterms:W3CDTF">2023-10-19T13:05:53Z</dcterms:modified>
</cp:coreProperties>
</file>